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27.xml" ContentType="application/vnd.openxmlformats-officedocument.drawing+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22.xml" ContentType="application/vnd.openxmlformats-officedocument.drawingml.chart+xml"/>
  <Override PartName="/xl/drawings/drawing31.xml" ContentType="application/vnd.openxmlformats-officedocument.drawing+xml"/>
  <Override PartName="/xl/charts/chart23.xml" ContentType="application/vnd.openxmlformats-officedocument.drawingml.chart+xml"/>
  <Override PartName="/xl/drawings/drawing32.xml" ContentType="application/vnd.openxmlformats-officedocument.drawing+xml"/>
  <Override PartName="/xl/charts/chart24.xml" ContentType="application/vnd.openxmlformats-officedocument.drawingml.chart+xml"/>
  <Override PartName="/xl/drawings/drawing33.xml" ContentType="application/vnd.openxmlformats-officedocument.drawing+xml"/>
  <Override PartName="/xl/charts/chart25.xml" ContentType="application/vnd.openxmlformats-officedocument.drawingml.chart+xml"/>
  <Override PartName="/xl/drawings/drawing34.xml" ContentType="application/vnd.openxmlformats-officedocument.drawing+xml"/>
  <Override PartName="/xl/charts/chart26.xml" ContentType="application/vnd.openxmlformats-officedocument.drawingml.chart+xml"/>
  <Override PartName="/xl/drawings/drawing35.xml" ContentType="application/vnd.openxmlformats-officedocument.drawing+xml"/>
  <Override PartName="/xl/charts/chart27.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omments1.xml" ContentType="application/vnd.openxmlformats-officedocument.spreadsheetml.comments+xml"/>
  <Override PartName="/xl/drawings/drawing3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9.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0.xml" ContentType="application/vnd.openxmlformats-officedocument.drawing+xml"/>
  <Override PartName="/xl/comments2.xml" ContentType="application/vnd.openxmlformats-officedocument.spreadsheetml.comments+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drawings/drawing41.xml" ContentType="application/vnd.openxmlformats-officedocument.drawing+xml"/>
  <Override PartName="/xl/comments3.xml" ContentType="application/vnd.openxmlformats-officedocument.spreadsheetml.comments+xml"/>
  <Override PartName="/xl/charts/chart32.xml" ContentType="application/vnd.openxmlformats-officedocument.drawingml.chart+xml"/>
  <Override PartName="/xl/charts/style21.xml" ContentType="application/vnd.ms-office.chartstyle+xml"/>
  <Override PartName="/xl/charts/colors21.xml" ContentType="application/vnd.ms-office.chartcolorstyle+xml"/>
  <Override PartName="/xl/charts/chart33.xml" ContentType="application/vnd.openxmlformats-officedocument.drawingml.chart+xml"/>
  <Override PartName="/xl/charts/style22.xml" ContentType="application/vnd.ms-office.chartstyle+xml"/>
  <Override PartName="/xl/charts/colors22.xml" ContentType="application/vnd.ms-office.chartcolorstyle+xml"/>
  <Override PartName="/xl/charts/chart34.xml" ContentType="application/vnd.openxmlformats-officedocument.drawingml.chart+xml"/>
  <Override PartName="/xl/drawings/drawing42.xml" ContentType="application/vnd.openxmlformats-officedocument.drawing+xml"/>
  <Override PartName="/xl/comments4.xml" ContentType="application/vnd.openxmlformats-officedocument.spreadsheetml.comments+xml"/>
  <Override PartName="/xl/charts/chart35.xml" ContentType="application/vnd.openxmlformats-officedocument.drawingml.chart+xml"/>
  <Override PartName="/xl/charts/style23.xml" ContentType="application/vnd.ms-office.chartstyle+xml"/>
  <Override PartName="/xl/charts/colors23.xml" ContentType="application/vnd.ms-office.chartcolorstyle+xml"/>
  <Override PartName="/xl/charts/chart36.xml" ContentType="application/vnd.openxmlformats-officedocument.drawingml.chart+xml"/>
  <Override PartName="/xl/charts/style24.xml" ContentType="application/vnd.ms-office.chartstyle+xml"/>
  <Override PartName="/xl/charts/colors24.xml" ContentType="application/vnd.ms-office.chartcolorstyle+xml"/>
  <Override PartName="/xl/charts/chart37.xml" ContentType="application/vnd.openxmlformats-officedocument.drawingml.chart+xml"/>
  <Override PartName="/xl/drawings/drawing43.xml" ContentType="application/vnd.openxmlformats-officedocument.drawing+xml"/>
  <Override PartName="/xl/comments5.xml" ContentType="application/vnd.openxmlformats-officedocument.spreadsheetml.comments+xml"/>
  <Override PartName="/xl/charts/chart38.xml" ContentType="application/vnd.openxmlformats-officedocument.drawingml.chart+xml"/>
  <Override PartName="/xl/charts/style25.xml" ContentType="application/vnd.ms-office.chartstyle+xml"/>
  <Override PartName="/xl/charts/colors25.xml" ContentType="application/vnd.ms-office.chartcolorstyle+xml"/>
  <Override PartName="/xl/charts/chart39.xml" ContentType="application/vnd.openxmlformats-officedocument.drawingml.chart+xml"/>
  <Override PartName="/xl/charts/style26.xml" ContentType="application/vnd.ms-office.chartstyle+xml"/>
  <Override PartName="/xl/charts/colors26.xml" ContentType="application/vnd.ms-office.chartcolorstyle+xml"/>
  <Override PartName="/xl/charts/chart40.xml" ContentType="application/vnd.openxmlformats-officedocument.drawingml.chart+xml"/>
  <Override PartName="/xl/drawings/drawing44.xml" ContentType="application/vnd.openxmlformats-officedocument.drawing+xml"/>
  <Override PartName="/xl/comments6.xml" ContentType="application/vnd.openxmlformats-officedocument.spreadsheetml.comments+xml"/>
  <Override PartName="/xl/charts/chart41.xml" ContentType="application/vnd.openxmlformats-officedocument.drawingml.chart+xml"/>
  <Override PartName="/xl/charts/style27.xml" ContentType="application/vnd.ms-office.chartstyle+xml"/>
  <Override PartName="/xl/charts/colors27.xml" ContentType="application/vnd.ms-office.chartcolorstyle+xml"/>
  <Override PartName="/xl/charts/chart42.xml" ContentType="application/vnd.openxmlformats-officedocument.drawingml.chart+xml"/>
  <Override PartName="/xl/charts/style28.xml" ContentType="application/vnd.ms-office.chartstyle+xml"/>
  <Override PartName="/xl/charts/colors28.xml" ContentType="application/vnd.ms-office.chartcolorstyle+xml"/>
  <Override PartName="/xl/charts/chart43.xml" ContentType="application/vnd.openxmlformats-officedocument.drawingml.chart+xml"/>
  <Override PartName="/xl/drawings/drawing45.xml" ContentType="application/vnd.openxmlformats-officedocument.drawing+xml"/>
  <Override PartName="/xl/comments7.xml" ContentType="application/vnd.openxmlformats-officedocument.spreadsheetml.comments+xml"/>
  <Override PartName="/xl/charts/chart44.xml" ContentType="application/vnd.openxmlformats-officedocument.drawingml.chart+xml"/>
  <Override PartName="/xl/charts/style29.xml" ContentType="application/vnd.ms-office.chartstyle+xml"/>
  <Override PartName="/xl/charts/colors29.xml" ContentType="application/vnd.ms-office.chartcolorstyle+xml"/>
  <Override PartName="/xl/charts/chart45.xml" ContentType="application/vnd.openxmlformats-officedocument.drawingml.chart+xml"/>
  <Override PartName="/xl/charts/style30.xml" ContentType="application/vnd.ms-office.chartstyle+xml"/>
  <Override PartName="/xl/charts/colors30.xml" ContentType="application/vnd.ms-office.chartcolorstyle+xml"/>
  <Override PartName="/xl/charts/chart46.xml" ContentType="application/vnd.openxmlformats-officedocument.drawingml.chart+xml"/>
  <Override PartName="/xl/drawings/drawing46.xml" ContentType="application/vnd.openxmlformats-officedocument.drawing+xml"/>
  <Override PartName="/xl/comments8.xml" ContentType="application/vnd.openxmlformats-officedocument.spreadsheetml.comments+xml"/>
  <Override PartName="/xl/charts/chart47.xml" ContentType="application/vnd.openxmlformats-officedocument.drawingml.chart+xml"/>
  <Override PartName="/xl/charts/style31.xml" ContentType="application/vnd.ms-office.chartstyle+xml"/>
  <Override PartName="/xl/charts/colors31.xml" ContentType="application/vnd.ms-office.chartcolorstyle+xml"/>
  <Override PartName="/xl/charts/chart48.xml" ContentType="application/vnd.openxmlformats-officedocument.drawingml.chart+xml"/>
  <Override PartName="/xl/charts/style32.xml" ContentType="application/vnd.ms-office.chartstyle+xml"/>
  <Override PartName="/xl/charts/colors32.xml" ContentType="application/vnd.ms-office.chartcolorstyle+xml"/>
  <Override PartName="/xl/charts/chart49.xml" ContentType="application/vnd.openxmlformats-officedocument.drawingml.chart+xml"/>
  <Override PartName="/xl/drawings/drawing47.xml" ContentType="application/vnd.openxmlformats-officedocument.drawing+xml"/>
  <Override PartName="/xl/comments9.xml" ContentType="application/vnd.openxmlformats-officedocument.spreadsheetml.comments+xml"/>
  <Override PartName="/xl/charts/chart50.xml" ContentType="application/vnd.openxmlformats-officedocument.drawingml.chart+xml"/>
  <Override PartName="/xl/charts/style33.xml" ContentType="application/vnd.ms-office.chartstyle+xml"/>
  <Override PartName="/xl/charts/colors33.xml" ContentType="application/vnd.ms-office.chartcolorstyle+xml"/>
  <Override PartName="/xl/charts/chart51.xml" ContentType="application/vnd.openxmlformats-officedocument.drawingml.chart+xml"/>
  <Override PartName="/xl/charts/style34.xml" ContentType="application/vnd.ms-office.chartstyle+xml"/>
  <Override PartName="/xl/charts/colors34.xml" ContentType="application/vnd.ms-office.chartcolorstyle+xml"/>
  <Override PartName="/xl/charts/chart52.xml" ContentType="application/vnd.openxmlformats-officedocument.drawingml.chart+xml"/>
  <Override PartName="/xl/drawings/drawing48.xml" ContentType="application/vnd.openxmlformats-officedocument.drawing+xml"/>
  <Override PartName="/xl/comments10.xml" ContentType="application/vnd.openxmlformats-officedocument.spreadsheetml.comments+xml"/>
  <Override PartName="/xl/charts/chart53.xml" ContentType="application/vnd.openxmlformats-officedocument.drawingml.chart+xml"/>
  <Override PartName="/xl/charts/style35.xml" ContentType="application/vnd.ms-office.chartstyle+xml"/>
  <Override PartName="/xl/charts/colors35.xml" ContentType="application/vnd.ms-office.chartcolorstyle+xml"/>
  <Override PartName="/xl/charts/chart54.xml" ContentType="application/vnd.openxmlformats-officedocument.drawingml.chart+xml"/>
  <Override PartName="/xl/charts/style36.xml" ContentType="application/vnd.ms-office.chartstyle+xml"/>
  <Override PartName="/xl/charts/colors36.xml" ContentType="application/vnd.ms-office.chartcolorstyle+xml"/>
  <Override PartName="/xl/charts/chart55.xml" ContentType="application/vnd.openxmlformats-officedocument.drawingml.chart+xml"/>
  <Override PartName="/xl/drawings/drawing49.xml" ContentType="application/vnd.openxmlformats-officedocument.drawing+xml"/>
  <Override PartName="/xl/comments11.xml" ContentType="application/vnd.openxmlformats-officedocument.spreadsheetml.comments+xml"/>
  <Override PartName="/xl/charts/chart56.xml" ContentType="application/vnd.openxmlformats-officedocument.drawingml.chart+xml"/>
  <Override PartName="/xl/charts/style37.xml" ContentType="application/vnd.ms-office.chartstyle+xml"/>
  <Override PartName="/xl/charts/colors37.xml" ContentType="application/vnd.ms-office.chartcolorstyle+xml"/>
  <Override PartName="/xl/charts/chart57.xml" ContentType="application/vnd.openxmlformats-officedocument.drawingml.chart+xml"/>
  <Override PartName="/xl/charts/style38.xml" ContentType="application/vnd.ms-office.chartstyle+xml"/>
  <Override PartName="/xl/charts/colors38.xml" ContentType="application/vnd.ms-office.chartcolorstyle+xml"/>
  <Override PartName="/xl/charts/chart58.xml" ContentType="application/vnd.openxmlformats-officedocument.drawingml.chart+xml"/>
  <Override PartName="/xl/drawings/drawing50.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omments12.xml" ContentType="application/vnd.openxmlformats-officedocument.spreadsheetml.comments+xml"/>
  <Override PartName="/xl/charts/chart59.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2"/>
  <workbookPr showInkAnnotation="0" updateLinks="never"/>
  <mc:AlternateContent xmlns:mc="http://schemas.openxmlformats.org/markup-compatibility/2006">
    <mc:Choice Requires="x15">
      <x15ac:absPath xmlns:x15ac="http://schemas.microsoft.com/office/spreadsheetml/2010/11/ac" url="E:\00000 - GROEPSPLAN ORIGINEEL\"/>
    </mc:Choice>
  </mc:AlternateContent>
  <xr:revisionPtr revIDLastSave="0" documentId="13_ncr:1_{0A4E0C0C-C3AB-4D62-8927-C75CB127A711}" xr6:coauthVersionLast="36" xr6:coauthVersionMax="47" xr10:uidLastSave="{00000000-0000-0000-0000-000000000000}"/>
  <bookViews>
    <workbookView xWindow="-105" yWindow="-105" windowWidth="19425" windowHeight="10425" tabRatio="962" firstSheet="43" activeTab="51" xr2:uid="{00000000-000D-0000-FFFF-FFFF00000000}"/>
  </bookViews>
  <sheets>
    <sheet name="info-1" sheetId="156" r:id="rId1"/>
    <sheet name="info-2" sheetId="93" r:id="rId2"/>
    <sheet name="info-3" sheetId="94" r:id="rId3"/>
    <sheet name="info-4" sheetId="106" r:id="rId4"/>
    <sheet name="info-5" sheetId="181" r:id="rId5"/>
    <sheet name="info-6" sheetId="155" r:id="rId6"/>
    <sheet name="info-7" sheetId="157" r:id="rId7"/>
    <sheet name="info-8" sheetId="171" r:id="rId8"/>
    <sheet name="info-9" sheetId="159" r:id="rId9"/>
    <sheet name="info-10" sheetId="158" r:id="rId10"/>
    <sheet name="info-11" sheetId="174" r:id="rId11"/>
    <sheet name="info-12" sheetId="162" r:id="rId12"/>
    <sheet name="info-13" sheetId="167" r:id="rId13"/>
    <sheet name="info-14" sheetId="168" r:id="rId14"/>
    <sheet name="info-15" sheetId="182" r:id="rId15"/>
    <sheet name="info-16" sheetId="186" r:id="rId16"/>
    <sheet name="NIVEAU WAARDE - vorig jaar" sheetId="56" r:id="rId17"/>
    <sheet name="NIVEAU WAARDE - 1e toetsperiode" sheetId="55" r:id="rId18"/>
    <sheet name="NIVEAU WAARDE - 2e toetsperiode" sheetId="31" r:id="rId19"/>
    <sheet name="Referentieniveau" sheetId="178" r:id="rId20"/>
    <sheet name="schoolweging" sheetId="177" r:id="rId21"/>
    <sheet name="OPP vorige jaar" sheetId="135" r:id="rId22"/>
    <sheet name="OPP 1e periode" sheetId="136" r:id="rId23"/>
    <sheet name="OPP 2e periode" sheetId="134" r:id="rId24"/>
    <sheet name="ONTW.PERSPECTIEF" sheetId="185" r:id="rId25"/>
    <sheet name="DL - DLE" sheetId="170" r:id="rId26"/>
    <sheet name="OPO" sheetId="179" r:id="rId27"/>
    <sheet name="LIJV" sheetId="175" r:id="rId28"/>
    <sheet name="TOETSAFSPRAKEN" sheetId="184" r:id="rId29"/>
    <sheet name="NOTITIES" sheetId="125" r:id="rId30"/>
    <sheet name="INTENSIEF - 1e periode" sheetId="130" r:id="rId31"/>
    <sheet name="INTENSIEF - 2e periode" sheetId="138" r:id="rId32"/>
    <sheet name="BASISAANPAK - 1e periode" sheetId="131" r:id="rId33"/>
    <sheet name="BASISAANPAK - 2e periode" sheetId="139" r:id="rId34"/>
    <sheet name="VERRIJKT - 1e periode" sheetId="132" r:id="rId35"/>
    <sheet name="VERRIJKT - 2e periode" sheetId="140" r:id="rId36"/>
    <sheet name="BEGINBLAD" sheetId="30" r:id="rId37"/>
    <sheet name="AANLEG" sheetId="127" r:id="rId38"/>
    <sheet name="SOCIAAL EMOTIONEEL" sheetId="169" r:id="rId39"/>
    <sheet name="VERWIJZING - VO" sheetId="166" r:id="rId40"/>
    <sheet name="TECHNISCH LEZEN - 1e periode" sheetId="126" r:id="rId41"/>
    <sheet name="TECHNISCH LEZEN - 2e periode" sheetId="137" r:id="rId42"/>
    <sheet name="BEGRIJPEND LEZEN - 1e periode" sheetId="141" r:id="rId43"/>
    <sheet name="BEGRIJPEND LEZEN - 2e periode" sheetId="144" r:id="rId44"/>
    <sheet name="SPELLEN - 1e periode" sheetId="148" r:id="rId45"/>
    <sheet name="SPELLEN - 2e periode" sheetId="149" r:id="rId46"/>
    <sheet name="REKENEN - 1e periode" sheetId="150" r:id="rId47"/>
    <sheet name="REKENEN - 2e periode" sheetId="151" r:id="rId48"/>
    <sheet name="HOOFDREKENEN - 1e periode" sheetId="152" r:id="rId49"/>
    <sheet name="HOOFDREKENEN - 2e periode" sheetId="153" r:id="rId50"/>
    <sheet name="DIVERSITEIT" sheetId="180" r:id="rId51"/>
    <sheet name="SIGNALERING HB" sheetId="172" r:id="rId52"/>
    <sheet name="LEERLING PROFIEL HB" sheetId="173" r:id="rId53"/>
    <sheet name="OUDERBRIEF" sheetId="163" r:id="rId54"/>
  </sheets>
  <externalReferences>
    <externalReference r:id="rId55"/>
    <externalReference r:id="rId56"/>
    <externalReference r:id="rId57"/>
  </externalReferences>
  <definedNames>
    <definedName name="_xlnm._FilterDatabase" localSheetId="42" hidden="1">'BEGRIJPEND LEZEN - 1e periode'!$C$7:$C$18</definedName>
    <definedName name="_xlnm._FilterDatabase" localSheetId="43" hidden="1">'BEGRIJPEND LEZEN - 2e periode'!$C$7:$C$18</definedName>
    <definedName name="_xlnm._FilterDatabase" localSheetId="48" hidden="1">'HOOFDREKENEN - 1e periode'!$C$7:$C$18</definedName>
    <definedName name="_xlnm._FilterDatabase" localSheetId="49" hidden="1">'HOOFDREKENEN - 2e periode'!$C$7:$C$18</definedName>
    <definedName name="_xlnm._FilterDatabase" localSheetId="46" hidden="1">'REKENEN - 1e periode'!$C$7:$C$18</definedName>
    <definedName name="_xlnm._FilterDatabase" localSheetId="47" hidden="1">'REKENEN - 2e periode'!$C$7:$C$18</definedName>
    <definedName name="_xlnm._FilterDatabase" localSheetId="38" hidden="1">'SOCIAAL EMOTIONEEL'!$C$13:$C$24</definedName>
    <definedName name="_xlnm._FilterDatabase" localSheetId="44" hidden="1">'SPELLEN - 1e periode'!$C$7:$C$18</definedName>
    <definedName name="_xlnm._FilterDatabase" localSheetId="45" hidden="1">'SPELLEN - 2e periode'!$C$7:$C$18</definedName>
    <definedName name="_xlnm._FilterDatabase" localSheetId="40" hidden="1">'TECHNISCH LEZEN - 1e periode'!$C$7:$C$18</definedName>
    <definedName name="_xlnm._FilterDatabase" localSheetId="41" hidden="1">'TECHNISCH LEZEN - 2e periode'!$C$7:$C$18</definedName>
    <definedName name="_xlnm.Print_Area" localSheetId="37">AANLEG!$A$1:$AA$43</definedName>
    <definedName name="_xlnm.Print_Area" localSheetId="32">'BASISAANPAK - 1e periode'!$A$3:$J$23</definedName>
    <definedName name="_xlnm.Print_Area" localSheetId="33">'BASISAANPAK - 2e periode'!$A$3:$J$23</definedName>
    <definedName name="_xlnm.Print_Area" localSheetId="36">BEGINBLAD!$A$1:$W$45</definedName>
    <definedName name="_xlnm.Print_Area" localSheetId="42">'BEGRIJPEND LEZEN - 1e periode'!$B$1:$P$55</definedName>
    <definedName name="_xlnm.Print_Area" localSheetId="43">'BEGRIJPEND LEZEN - 2e periode'!$B$1:$P$55</definedName>
    <definedName name="_xlnm.Print_Area" localSheetId="50">DIVERSITEIT!$B$1:$AI$52</definedName>
    <definedName name="_xlnm.Print_Area" localSheetId="25">'DL - DLE'!$D$2:$AE$41</definedName>
    <definedName name="_xlnm.Print_Area" localSheetId="48">'HOOFDREKENEN - 1e periode'!$B$1:$T$55</definedName>
    <definedName name="_xlnm.Print_Area" localSheetId="49">'HOOFDREKENEN - 2e periode'!$B$1:$T$55</definedName>
    <definedName name="_xlnm.Print_Area" localSheetId="15">'info-16'!$A$2:$Q$68</definedName>
    <definedName name="_xlnm.Print_Area" localSheetId="3">'info-4'!$A$1:$T$79</definedName>
    <definedName name="_xlnm.Print_Area" localSheetId="4">'info-5'!$A$1:$X$47</definedName>
    <definedName name="_xlnm.Print_Area" localSheetId="30">'INTENSIEF - 1e periode'!$B$3:$I$23</definedName>
    <definedName name="_xlnm.Print_Area" localSheetId="31">'INTENSIEF - 2e periode'!$B$3:$I$23</definedName>
    <definedName name="_xlnm.Print_Area" localSheetId="52">'LEERLING PROFIEL HB'!$F$3:$J$32</definedName>
    <definedName name="_xlnm.Print_Area" localSheetId="27">LIJV!$B$2:$K$51</definedName>
    <definedName name="_xlnm.Print_Area" localSheetId="17">'NIVEAU WAARDE - 1e toetsperiode'!$A$1:$M$47</definedName>
    <definedName name="_xlnm.Print_Area" localSheetId="18">'NIVEAU WAARDE - 2e toetsperiode'!$A$1:$M$47</definedName>
    <definedName name="_xlnm.Print_Area" localSheetId="16">'NIVEAU WAARDE - vorig jaar'!$A$1:$M$47</definedName>
    <definedName name="_xlnm.Print_Area" localSheetId="29">NOTITIES!$B$2:$D$26</definedName>
    <definedName name="_xlnm.Print_Area" localSheetId="24">ONTW.PERSPECTIEF!$C$2:$AD$57</definedName>
    <definedName name="_xlnm.Print_Area" localSheetId="26">OPO!$B$1:$T$44</definedName>
    <definedName name="_xlnm.Print_Area" localSheetId="22">'OPP 1e periode'!$E$2:$AD$104</definedName>
    <definedName name="_xlnm.Print_Area" localSheetId="23">'OPP 2e periode'!$E$2:$AD$104</definedName>
    <definedName name="_xlnm.Print_Area" localSheetId="21">'OPP vorige jaar'!$E$2:$AD$104</definedName>
    <definedName name="_xlnm.Print_Area" localSheetId="53">OUDERBRIEF!$A$1:$D$29</definedName>
    <definedName name="_xlnm.Print_Area" localSheetId="19">Referentieniveau!$B$2:$AP$31</definedName>
    <definedName name="_xlnm.Print_Area" localSheetId="46">'REKENEN - 1e periode'!$B$1:$P$55</definedName>
    <definedName name="_xlnm.Print_Area" localSheetId="47">'REKENEN - 2e periode'!$B$1:$P$55</definedName>
    <definedName name="_xlnm.Print_Area" localSheetId="51">'SIGNALERING HB'!$B$2:$AN$37</definedName>
    <definedName name="_xlnm.Print_Area" localSheetId="38">'SOCIAAL EMOTIONEEL'!$B$1:$X$48</definedName>
    <definedName name="_xlnm.Print_Area" localSheetId="44">'SPELLEN - 1e periode'!$B$1:$P$55</definedName>
    <definedName name="_xlnm.Print_Area" localSheetId="45">'SPELLEN - 2e periode'!$B$1:$P$55</definedName>
    <definedName name="_xlnm.Print_Area" localSheetId="40">'TECHNISCH LEZEN - 1e periode'!$B$1:$P$55</definedName>
    <definedName name="_xlnm.Print_Area" localSheetId="41">'TECHNISCH LEZEN - 2e periode'!$B$1:$P$55</definedName>
    <definedName name="_xlnm.Print_Area" localSheetId="28">TOETSAFSPRAKEN!$B$2:$D$26</definedName>
    <definedName name="_xlnm.Print_Area" localSheetId="34">'VERRIJKT - 1e periode'!$A$3:$J$23</definedName>
    <definedName name="_xlnm.Print_Area" localSheetId="35">'VERRIJKT - 2e periode'!$A$3:$J$23</definedName>
    <definedName name="_xlnm.Print_Area" localSheetId="39">'VERWIJZING - VO'!$B$1:$AS$40</definedName>
    <definedName name="Dropdown2" localSheetId="53">OUDERBRIEF!$B$16</definedName>
    <definedName name="n.v.t." localSheetId="50">#REF!</definedName>
    <definedName name="n.v.t." localSheetId="10">#REF!</definedName>
    <definedName name="n.v.t." localSheetId="27">#REF!</definedName>
    <definedName name="n.v.t." localSheetId="26">#REF!</definedName>
    <definedName name="n.v.t.">#REF!</definedName>
    <definedName name="Text1" localSheetId="53">OUDERBRIEF!$C$3</definedName>
    <definedName name="Text2" localSheetId="53">OUDERBRIEF!$B$5</definedName>
    <definedName name="waarden">#REF!</definedName>
  </definedNames>
  <calcPr calcId="191029"/>
</workbook>
</file>

<file path=xl/calcChain.xml><?xml version="1.0" encoding="utf-8"?>
<calcChain xmlns="http://schemas.openxmlformats.org/spreadsheetml/2006/main">
  <c r="I42" i="127" l="1"/>
  <c r="I41" i="127"/>
  <c r="I40" i="127"/>
  <c r="I39" i="127"/>
  <c r="I38" i="127"/>
  <c r="I37" i="127"/>
  <c r="I36" i="127"/>
  <c r="I35" i="127"/>
  <c r="I34" i="127"/>
  <c r="I33" i="127"/>
  <c r="I32" i="127"/>
  <c r="I31" i="127"/>
  <c r="I30" i="127"/>
  <c r="I29" i="127"/>
  <c r="I28" i="127"/>
  <c r="I27" i="127"/>
  <c r="I26" i="127"/>
  <c r="I25" i="127"/>
  <c r="I24" i="127"/>
  <c r="I23" i="127"/>
  <c r="I22" i="127"/>
  <c r="I21" i="127"/>
  <c r="I20" i="127"/>
  <c r="I19" i="127"/>
  <c r="I18" i="127"/>
  <c r="I17" i="127"/>
  <c r="I16" i="127"/>
  <c r="I15" i="127"/>
  <c r="I14" i="127"/>
  <c r="I13" i="127"/>
  <c r="I12" i="127"/>
  <c r="I11" i="127"/>
  <c r="I10" i="127"/>
  <c r="I9" i="127"/>
  <c r="I8" i="127"/>
  <c r="I7" i="127"/>
  <c r="U54" i="185" l="1"/>
  <c r="T54" i="185"/>
  <c r="S54" i="185"/>
  <c r="R54" i="185"/>
  <c r="Q54" i="185"/>
  <c r="P54" i="185"/>
  <c r="O54" i="185"/>
  <c r="N54" i="185"/>
  <c r="M54" i="185"/>
  <c r="L54" i="185"/>
  <c r="K54" i="185"/>
  <c r="J54" i="185"/>
  <c r="B41" i="185"/>
  <c r="B40" i="185"/>
  <c r="B39" i="185"/>
  <c r="B38" i="185"/>
  <c r="B37" i="185"/>
  <c r="B36" i="185"/>
  <c r="B35" i="185"/>
  <c r="B34" i="185"/>
  <c r="B33" i="185"/>
  <c r="B32" i="185"/>
  <c r="B31" i="185"/>
  <c r="B30" i="185"/>
  <c r="B29" i="185"/>
  <c r="B28" i="185"/>
  <c r="B27" i="185"/>
  <c r="B26" i="185"/>
  <c r="B25" i="185"/>
  <c r="B24" i="185"/>
  <c r="B23" i="185"/>
  <c r="B22" i="185"/>
  <c r="B21" i="185"/>
  <c r="B20" i="185"/>
  <c r="B19" i="185"/>
  <c r="B18" i="185"/>
  <c r="B17" i="185"/>
  <c r="B16" i="185"/>
  <c r="B15" i="185"/>
  <c r="B14" i="185"/>
  <c r="AA13" i="185"/>
  <c r="Y13" i="185"/>
  <c r="X13" i="185"/>
  <c r="W13" i="185"/>
  <c r="V13" i="185"/>
  <c r="U13" i="185"/>
  <c r="T13" i="185"/>
  <c r="S13" i="185"/>
  <c r="R13" i="185"/>
  <c r="Q13" i="185"/>
  <c r="P13" i="185"/>
  <c r="O13" i="185"/>
  <c r="N13" i="185"/>
  <c r="M13" i="185"/>
  <c r="L13" i="185"/>
  <c r="K13" i="185"/>
  <c r="B13" i="185"/>
  <c r="B12" i="185"/>
  <c r="B11" i="185"/>
  <c r="B10" i="185"/>
  <c r="B9" i="185"/>
  <c r="B8" i="185"/>
  <c r="B7" i="185"/>
  <c r="B6" i="185"/>
  <c r="AA3" i="185"/>
  <c r="AD2" i="185"/>
  <c r="I2" i="185"/>
  <c r="O11" i="175"/>
  <c r="O12" i="175"/>
  <c r="O13" i="175"/>
  <c r="O14" i="175"/>
  <c r="O15" i="175"/>
  <c r="O16" i="175"/>
  <c r="O17" i="175"/>
  <c r="O18" i="175"/>
  <c r="O19" i="175"/>
  <c r="O20" i="175"/>
  <c r="O21" i="175"/>
  <c r="O22" i="175"/>
  <c r="O23" i="175"/>
  <c r="O24" i="175"/>
  <c r="O25" i="175"/>
  <c r="O26" i="175"/>
  <c r="O27" i="175"/>
  <c r="O28" i="175"/>
  <c r="O29" i="175"/>
  <c r="O30" i="175"/>
  <c r="O31" i="175"/>
  <c r="O32" i="175"/>
  <c r="O33" i="175"/>
  <c r="O34" i="175"/>
  <c r="O35" i="175"/>
  <c r="O36" i="175"/>
  <c r="O37" i="175"/>
  <c r="O38" i="175"/>
  <c r="O39" i="175"/>
  <c r="O40" i="175"/>
  <c r="O41" i="175"/>
  <c r="O42" i="175"/>
  <c r="O43" i="175"/>
  <c r="O44" i="175"/>
  <c r="O45" i="175"/>
  <c r="O46" i="175"/>
  <c r="S51" i="175"/>
  <c r="S50" i="175"/>
  <c r="S49" i="175"/>
  <c r="S48" i="175"/>
  <c r="R51" i="175"/>
  <c r="R50" i="175"/>
  <c r="R49" i="175"/>
  <c r="R48" i="175"/>
  <c r="Q51" i="175"/>
  <c r="Q50" i="175"/>
  <c r="Q49" i="175"/>
  <c r="Q48" i="175"/>
  <c r="P51" i="175"/>
  <c r="P50" i="175"/>
  <c r="P49" i="175"/>
  <c r="P48" i="175"/>
  <c r="T48" i="175"/>
  <c r="S47" i="175"/>
  <c r="R47" i="175"/>
  <c r="Q47" i="175"/>
  <c r="P47" i="175"/>
  <c r="O47" i="175"/>
  <c r="T35" i="175"/>
  <c r="T24" i="175"/>
  <c r="T13" i="175"/>
  <c r="T2" i="175"/>
  <c r="R4" i="166"/>
  <c r="S5" i="166"/>
  <c r="S6" i="166"/>
  <c r="S7" i="166"/>
  <c r="S8" i="166"/>
  <c r="S9" i="166"/>
  <c r="S10" i="166"/>
  <c r="S11" i="166"/>
  <c r="S12" i="166"/>
  <c r="S13" i="166"/>
  <c r="S14" i="166"/>
  <c r="S15" i="166"/>
  <c r="S16" i="166"/>
  <c r="S17" i="166"/>
  <c r="S18" i="166"/>
  <c r="S19" i="166"/>
  <c r="S20" i="166"/>
  <c r="S21" i="166"/>
  <c r="S22" i="166"/>
  <c r="S23" i="166"/>
  <c r="S24" i="166"/>
  <c r="S25" i="166"/>
  <c r="S26" i="166"/>
  <c r="S27" i="166"/>
  <c r="S28" i="166"/>
  <c r="S29" i="166"/>
  <c r="S30" i="166"/>
  <c r="S31" i="166"/>
  <c r="S32" i="166"/>
  <c r="S33" i="166"/>
  <c r="S34" i="166"/>
  <c r="S35" i="166"/>
  <c r="S36" i="166"/>
  <c r="S37" i="166"/>
  <c r="S38" i="166"/>
  <c r="S39" i="166"/>
  <c r="S4" i="166"/>
  <c r="Q51" i="31"/>
  <c r="P51" i="31"/>
  <c r="O51" i="31"/>
  <c r="Q50" i="31"/>
  <c r="P50" i="31"/>
  <c r="O50" i="31"/>
  <c r="Q49" i="31"/>
  <c r="P49" i="31"/>
  <c r="O49" i="31"/>
  <c r="Q51" i="55"/>
  <c r="P51" i="55"/>
  <c r="O51" i="55"/>
  <c r="Q50" i="55"/>
  <c r="P50" i="55"/>
  <c r="O50" i="55"/>
  <c r="Q49" i="55"/>
  <c r="P49" i="55"/>
  <c r="O49" i="55"/>
  <c r="P48" i="56"/>
  <c r="Q48" i="56"/>
  <c r="P47" i="56"/>
  <c r="Q47" i="56"/>
  <c r="P46" i="56"/>
  <c r="Q46" i="56"/>
  <c r="P45" i="56"/>
  <c r="Q45" i="56"/>
  <c r="O48" i="56"/>
  <c r="O47" i="56"/>
  <c r="O46" i="56"/>
  <c r="O45" i="56"/>
  <c r="P53" i="56"/>
  <c r="Q53" i="56"/>
  <c r="O53" i="56"/>
  <c r="P49" i="56"/>
  <c r="Q49" i="56"/>
  <c r="O49" i="56"/>
  <c r="Q51" i="56"/>
  <c r="P51" i="56"/>
  <c r="O51" i="56"/>
  <c r="Q50" i="56"/>
  <c r="P50" i="56"/>
  <c r="O50" i="56"/>
  <c r="H52" i="55"/>
  <c r="H51" i="55" s="1"/>
  <c r="G52" i="55"/>
  <c r="G51" i="55" s="1"/>
  <c r="F52" i="55"/>
  <c r="F51" i="55" s="1"/>
  <c r="E52" i="55"/>
  <c r="E51" i="55" s="1"/>
  <c r="D52" i="55"/>
  <c r="D51" i="55" s="1"/>
  <c r="K46" i="55"/>
  <c r="H45" i="55"/>
  <c r="H46" i="55" s="1"/>
  <c r="F45" i="55"/>
  <c r="F46" i="55" s="1"/>
  <c r="E45" i="55"/>
  <c r="E46" i="55" s="1"/>
  <c r="D45" i="55"/>
  <c r="D46" i="55" s="1"/>
  <c r="H52" i="56"/>
  <c r="H51" i="56" s="1"/>
  <c r="G52" i="56"/>
  <c r="G51" i="56" s="1"/>
  <c r="F52" i="56"/>
  <c r="F51" i="56" s="1"/>
  <c r="E52" i="56"/>
  <c r="E51" i="56" s="1"/>
  <c r="D52" i="56"/>
  <c r="D51" i="56" s="1"/>
  <c r="K46" i="56"/>
  <c r="H45" i="56"/>
  <c r="H46" i="56" s="1"/>
  <c r="F45" i="56"/>
  <c r="F46" i="56" s="1"/>
  <c r="E45" i="56"/>
  <c r="E46" i="56" s="1"/>
  <c r="D45" i="56"/>
  <c r="D46" i="56" s="1"/>
  <c r="AB13" i="185" l="1"/>
  <c r="AC13" i="185"/>
  <c r="T50" i="175"/>
  <c r="T49" i="175"/>
  <c r="T51" i="175"/>
  <c r="Q53" i="31"/>
  <c r="Q45" i="31" s="1"/>
  <c r="Q52" i="31"/>
  <c r="P53" i="31"/>
  <c r="P47" i="31" s="1"/>
  <c r="P52" i="31"/>
  <c r="O52" i="31"/>
  <c r="O53" i="31"/>
  <c r="O45" i="31" s="1"/>
  <c r="Q52" i="55"/>
  <c r="O52" i="55"/>
  <c r="O53" i="55"/>
  <c r="O46" i="55" s="1"/>
  <c r="Q53" i="55"/>
  <c r="P52" i="55"/>
  <c r="P53" i="55"/>
  <c r="P47" i="55" s="1"/>
  <c r="G28" i="178" s="1"/>
  <c r="Q52" i="56"/>
  <c r="O52" i="56"/>
  <c r="D24" i="178" s="1"/>
  <c r="P52" i="56"/>
  <c r="D28" i="178"/>
  <c r="D31" i="178"/>
  <c r="D25" i="178"/>
  <c r="G49" i="56"/>
  <c r="G50" i="56"/>
  <c r="E49" i="56"/>
  <c r="E50" i="56"/>
  <c r="F49" i="56"/>
  <c r="F50" i="56"/>
  <c r="H50" i="56"/>
  <c r="H49" i="56"/>
  <c r="E49" i="55"/>
  <c r="E50" i="55"/>
  <c r="G49" i="55"/>
  <c r="G50" i="55"/>
  <c r="H50" i="55"/>
  <c r="H49" i="55"/>
  <c r="D49" i="55"/>
  <c r="D50" i="55"/>
  <c r="F50" i="55"/>
  <c r="F49" i="55"/>
  <c r="D50" i="56"/>
  <c r="D49" i="56"/>
  <c r="Z13" i="185" l="1"/>
  <c r="Q48" i="31"/>
  <c r="J30" i="178" s="1"/>
  <c r="Q46" i="31"/>
  <c r="Q47" i="31"/>
  <c r="P48" i="31"/>
  <c r="J27" i="178" s="1"/>
  <c r="P46" i="31"/>
  <c r="P45" i="31"/>
  <c r="O46" i="31"/>
  <c r="O48" i="31"/>
  <c r="J24" i="178" s="1"/>
  <c r="O47" i="31"/>
  <c r="Q48" i="55"/>
  <c r="G30" i="178" s="1"/>
  <c r="O48" i="55"/>
  <c r="G24" i="178" s="1"/>
  <c r="O47" i="55"/>
  <c r="G25" i="178" s="1"/>
  <c r="O45" i="55"/>
  <c r="Q45" i="55"/>
  <c r="Q46" i="55"/>
  <c r="Q47" i="55"/>
  <c r="G31" i="178" s="1"/>
  <c r="P48" i="55"/>
  <c r="G27" i="178" s="1"/>
  <c r="P45" i="55"/>
  <c r="P46" i="55"/>
  <c r="D30" i="178"/>
  <c r="D27" i="178"/>
  <c r="W41" i="166"/>
  <c r="Y41" i="166"/>
  <c r="Z41" i="166"/>
  <c r="AA41" i="166"/>
  <c r="AC41" i="166"/>
  <c r="AD41" i="166"/>
  <c r="AE41" i="166"/>
  <c r="V41" i="166"/>
  <c r="AE42" i="166"/>
  <c r="AD42" i="166"/>
  <c r="AC42" i="166"/>
  <c r="AC40" i="166" s="1"/>
  <c r="AC43" i="166" s="1"/>
  <c r="AA42" i="166"/>
  <c r="AA40" i="166" s="1"/>
  <c r="AA43" i="166" s="1"/>
  <c r="M28" i="178" s="1"/>
  <c r="Z42" i="166"/>
  <c r="Z40" i="166" s="1"/>
  <c r="Y42" i="166"/>
  <c r="W42" i="166"/>
  <c r="W40" i="166" s="1"/>
  <c r="W43" i="166" s="1"/>
  <c r="M25" i="178" s="1"/>
  <c r="V42" i="166"/>
  <c r="U42" i="166"/>
  <c r="U40" i="166" s="1"/>
  <c r="U43" i="166" s="1"/>
  <c r="AE40" i="166" l="1"/>
  <c r="AE43" i="166" s="1"/>
  <c r="M31" i="178" s="1"/>
  <c r="AD40" i="166"/>
  <c r="Y40" i="166"/>
  <c r="Y43" i="166" s="1"/>
  <c r="Z43" i="166"/>
  <c r="M27" i="178" s="1"/>
  <c r="V40" i="166"/>
  <c r="V43" i="166" s="1"/>
  <c r="M24" i="178" s="1"/>
  <c r="AD43" i="166" l="1"/>
  <c r="M30" i="178" s="1"/>
  <c r="B2" i="184" l="1"/>
  <c r="B2" i="125"/>
  <c r="X13" i="170"/>
  <c r="W13" i="170"/>
  <c r="V13" i="170"/>
  <c r="U13" i="170"/>
  <c r="T13" i="170"/>
  <c r="S13" i="170"/>
  <c r="R13" i="170"/>
  <c r="Q13" i="170"/>
  <c r="P13" i="170"/>
  <c r="O13" i="170"/>
  <c r="N13" i="170"/>
  <c r="M13" i="170"/>
  <c r="L13" i="170"/>
  <c r="K13" i="170"/>
  <c r="J13" i="170"/>
  <c r="AG11" i="178" l="1"/>
  <c r="AC11" i="178"/>
  <c r="Y11" i="178"/>
  <c r="B5" i="179" l="1"/>
  <c r="D14" i="179"/>
  <c r="D16" i="179" s="1"/>
  <c r="E26" i="179" s="1"/>
  <c r="C49" i="180"/>
  <c r="I49" i="180" s="1"/>
  <c r="C48" i="180"/>
  <c r="J48" i="180" s="1"/>
  <c r="C47" i="180"/>
  <c r="C46" i="180"/>
  <c r="J46" i="180" s="1"/>
  <c r="C45" i="180"/>
  <c r="C44" i="180"/>
  <c r="I44" i="180" s="1"/>
  <c r="C43" i="180"/>
  <c r="J43" i="180" s="1"/>
  <c r="C42" i="180"/>
  <c r="C41" i="180"/>
  <c r="C40" i="180"/>
  <c r="I40" i="180" s="1"/>
  <c r="C39" i="180"/>
  <c r="C38" i="180"/>
  <c r="C37" i="180"/>
  <c r="C36" i="180"/>
  <c r="C35" i="180"/>
  <c r="C34" i="180"/>
  <c r="C33" i="180"/>
  <c r="C32" i="180"/>
  <c r="C31" i="180"/>
  <c r="C30" i="180"/>
  <c r="I30" i="180" s="1"/>
  <c r="J30" i="180" s="1"/>
  <c r="C29" i="180"/>
  <c r="I29" i="180" s="1"/>
  <c r="J29" i="180" s="1"/>
  <c r="C28" i="180"/>
  <c r="I28" i="180" s="1"/>
  <c r="J28" i="180" s="1"/>
  <c r="C27" i="180"/>
  <c r="I27" i="180" s="1"/>
  <c r="J27" i="180" s="1"/>
  <c r="C26" i="180"/>
  <c r="I26" i="180" s="1"/>
  <c r="J26" i="180" s="1"/>
  <c r="C25" i="180"/>
  <c r="I25" i="180" s="1"/>
  <c r="J25" i="180" s="1"/>
  <c r="C24" i="180"/>
  <c r="C23" i="180"/>
  <c r="I23" i="180" s="1"/>
  <c r="J23" i="180" s="1"/>
  <c r="C22" i="180"/>
  <c r="I22" i="180" s="1"/>
  <c r="J22" i="180" s="1"/>
  <c r="C21" i="180"/>
  <c r="I21" i="180" s="1"/>
  <c r="J21" i="180" s="1"/>
  <c r="C20" i="180"/>
  <c r="I20" i="180" s="1"/>
  <c r="J20" i="180" s="1"/>
  <c r="C19" i="180"/>
  <c r="I19" i="180" s="1"/>
  <c r="J19" i="180" s="1"/>
  <c r="C18" i="180"/>
  <c r="I18" i="180" s="1"/>
  <c r="C17" i="180"/>
  <c r="C16" i="180"/>
  <c r="I16" i="180" s="1"/>
  <c r="J16" i="180" s="1"/>
  <c r="C15" i="180"/>
  <c r="I15" i="180" s="1"/>
  <c r="C14" i="180"/>
  <c r="AA47" i="180"/>
  <c r="J47" i="180"/>
  <c r="I47" i="180"/>
  <c r="AA46" i="180"/>
  <c r="AA45" i="180"/>
  <c r="J45" i="180"/>
  <c r="I45" i="180"/>
  <c r="AA44" i="180"/>
  <c r="AA43" i="180"/>
  <c r="AA48" i="180" s="1"/>
  <c r="I43" i="180"/>
  <c r="J42" i="180"/>
  <c r="I42" i="180"/>
  <c r="J41" i="180"/>
  <c r="AA39" i="180"/>
  <c r="AA38" i="180"/>
  <c r="AA37" i="180"/>
  <c r="AA36" i="180"/>
  <c r="AA35" i="180"/>
  <c r="AA34" i="180"/>
  <c r="AA33" i="180"/>
  <c r="AA32" i="180"/>
  <c r="AA28" i="180"/>
  <c r="AA27" i="180"/>
  <c r="AA26" i="180"/>
  <c r="AA25" i="180"/>
  <c r="AA24" i="180"/>
  <c r="AA23" i="180"/>
  <c r="AA22" i="180"/>
  <c r="AA21" i="180"/>
  <c r="AA20" i="180"/>
  <c r="AA19" i="180"/>
  <c r="AA18" i="180"/>
  <c r="AC9" i="180"/>
  <c r="AD14" i="180" s="1"/>
  <c r="H52" i="31"/>
  <c r="H51" i="31" s="1"/>
  <c r="G52" i="31"/>
  <c r="G51" i="31" s="1"/>
  <c r="F52" i="31"/>
  <c r="F51" i="31" s="1"/>
  <c r="E52" i="31"/>
  <c r="E51" i="31" s="1"/>
  <c r="D52" i="31"/>
  <c r="D51" i="31" s="1"/>
  <c r="D49" i="31" s="1"/>
  <c r="J36" i="180" l="1"/>
  <c r="J38" i="180"/>
  <c r="I46" i="180"/>
  <c r="J44" i="180"/>
  <c r="L26" i="179"/>
  <c r="D26" i="179"/>
  <c r="K26" i="179"/>
  <c r="R26" i="179"/>
  <c r="J26" i="179"/>
  <c r="Q26" i="179"/>
  <c r="I26" i="179"/>
  <c r="P26" i="179"/>
  <c r="H26" i="179"/>
  <c r="O26" i="179"/>
  <c r="G26" i="179"/>
  <c r="N26" i="179"/>
  <c r="F26" i="179"/>
  <c r="M26" i="179"/>
  <c r="D15" i="179"/>
  <c r="AA29" i="180"/>
  <c r="AE9" i="180" s="1"/>
  <c r="AA40" i="180"/>
  <c r="AF9" i="180" s="1"/>
  <c r="I24" i="180"/>
  <c r="J24" i="180" s="1"/>
  <c r="J49" i="180"/>
  <c r="I17" i="180"/>
  <c r="J17" i="180" s="1"/>
  <c r="AG9" i="180"/>
  <c r="J40" i="180"/>
  <c r="I32" i="180"/>
  <c r="J32" i="180" s="1"/>
  <c r="I34" i="180"/>
  <c r="J34" i="180" s="1"/>
  <c r="I36" i="180"/>
  <c r="I38" i="180"/>
  <c r="J15" i="180"/>
  <c r="J18" i="180"/>
  <c r="I14" i="180"/>
  <c r="J14" i="180" s="1"/>
  <c r="I33" i="180"/>
  <c r="J33" i="180" s="1"/>
  <c r="I35" i="180"/>
  <c r="J35" i="180" s="1"/>
  <c r="I37" i="180"/>
  <c r="J37" i="180" s="1"/>
  <c r="I39" i="180"/>
  <c r="J39" i="180" s="1"/>
  <c r="I41" i="180"/>
  <c r="I31" i="180"/>
  <c r="J31" i="180" s="1"/>
  <c r="I48" i="180"/>
  <c r="E50" i="31"/>
  <c r="E49" i="31"/>
  <c r="G50" i="31"/>
  <c r="G49" i="31"/>
  <c r="H49" i="31"/>
  <c r="H50" i="31"/>
  <c r="F50" i="31"/>
  <c r="F49" i="31"/>
  <c r="D50" i="31"/>
  <c r="F25" i="179" l="1"/>
  <c r="N25" i="179"/>
  <c r="M25" i="179"/>
  <c r="G25" i="179"/>
  <c r="O25" i="179"/>
  <c r="H25" i="179"/>
  <c r="P25" i="179"/>
  <c r="I25" i="179"/>
  <c r="Q25" i="179"/>
  <c r="J25" i="179"/>
  <c r="R25" i="179"/>
  <c r="K25" i="179"/>
  <c r="D25" i="179"/>
  <c r="E25" i="179"/>
  <c r="L25" i="179"/>
  <c r="AA15" i="180"/>
  <c r="AD9" i="180" s="1"/>
  <c r="AH9" i="180" s="1"/>
  <c r="T12" i="179"/>
  <c r="R23" i="179" s="1"/>
  <c r="S12" i="179"/>
  <c r="O23" i="179" s="1"/>
  <c r="R12" i="179"/>
  <c r="L23" i="179" s="1"/>
  <c r="Q12" i="179"/>
  <c r="I23" i="179" s="1"/>
  <c r="P12" i="179"/>
  <c r="F23" i="179" s="1"/>
  <c r="N12" i="179"/>
  <c r="Q23" i="179" s="1"/>
  <c r="M12" i="179"/>
  <c r="N23" i="179" s="1"/>
  <c r="L12" i="179"/>
  <c r="K23" i="179" s="1"/>
  <c r="K12" i="179"/>
  <c r="H23" i="179" s="1"/>
  <c r="J12" i="179"/>
  <c r="E23" i="179" s="1"/>
  <c r="H12" i="179"/>
  <c r="P23" i="179" s="1"/>
  <c r="G12" i="179"/>
  <c r="M23" i="179" s="1"/>
  <c r="F12" i="179"/>
  <c r="J23" i="179" s="1"/>
  <c r="E12" i="179"/>
  <c r="G23" i="179" s="1"/>
  <c r="D12" i="179"/>
  <c r="D23" i="179" s="1"/>
  <c r="T11" i="179"/>
  <c r="R22" i="179" s="1"/>
  <c r="S11" i="179"/>
  <c r="O22" i="179" s="1"/>
  <c r="R11" i="179"/>
  <c r="L22" i="179" s="1"/>
  <c r="Q11" i="179"/>
  <c r="I22" i="179" s="1"/>
  <c r="P11" i="179"/>
  <c r="F22" i="179" s="1"/>
  <c r="N11" i="179"/>
  <c r="Q22" i="179" s="1"/>
  <c r="M11" i="179"/>
  <c r="N22" i="179" s="1"/>
  <c r="L11" i="179"/>
  <c r="K22" i="179" s="1"/>
  <c r="K11" i="179"/>
  <c r="H22" i="179" s="1"/>
  <c r="J11" i="179"/>
  <c r="E22" i="179" s="1"/>
  <c r="H11" i="179"/>
  <c r="P22" i="179" s="1"/>
  <c r="G11" i="179"/>
  <c r="M22" i="179" s="1"/>
  <c r="F11" i="179"/>
  <c r="J22" i="179" s="1"/>
  <c r="E11" i="179"/>
  <c r="G22" i="179" s="1"/>
  <c r="D11" i="179"/>
  <c r="D22" i="179" s="1"/>
  <c r="B2" i="179"/>
  <c r="AA50" i="180" l="1"/>
  <c r="AA51" i="180"/>
  <c r="AA52" i="180" s="1"/>
  <c r="AI9" i="180" s="1"/>
  <c r="AG17" i="180" s="1"/>
  <c r="AI17" i="180" s="1"/>
  <c r="R44" i="31"/>
  <c r="R43" i="31"/>
  <c r="R42" i="31"/>
  <c r="R41" i="31"/>
  <c r="R40" i="31"/>
  <c r="R39" i="31"/>
  <c r="R38" i="31"/>
  <c r="R37" i="31"/>
  <c r="R36" i="31"/>
  <c r="R35" i="31"/>
  <c r="R34" i="31"/>
  <c r="R33" i="31"/>
  <c r="R32" i="31"/>
  <c r="R31" i="31"/>
  <c r="R30" i="31"/>
  <c r="R29" i="31"/>
  <c r="R28" i="31"/>
  <c r="R27" i="31"/>
  <c r="R26" i="31"/>
  <c r="R25" i="31"/>
  <c r="R24" i="31"/>
  <c r="R22" i="31"/>
  <c r="R21" i="31"/>
  <c r="R20" i="31"/>
  <c r="R19" i="31"/>
  <c r="R18" i="31"/>
  <c r="R17" i="31"/>
  <c r="R16" i="31"/>
  <c r="R15" i="31"/>
  <c r="R14" i="31"/>
  <c r="R13" i="31"/>
  <c r="R12" i="31"/>
  <c r="R11" i="31"/>
  <c r="R10" i="31"/>
  <c r="R9" i="31"/>
  <c r="E34" i="178"/>
  <c r="E24" i="178"/>
  <c r="E14" i="178"/>
  <c r="E29" i="178"/>
  <c r="E19" i="178"/>
  <c r="E9" i="178"/>
  <c r="R44" i="55"/>
  <c r="R43" i="55"/>
  <c r="R42" i="55"/>
  <c r="R41" i="55"/>
  <c r="R40" i="55"/>
  <c r="R39" i="55"/>
  <c r="R38" i="55"/>
  <c r="R37" i="55"/>
  <c r="R36" i="55"/>
  <c r="R35" i="55"/>
  <c r="R34" i="55"/>
  <c r="R33" i="55"/>
  <c r="R32" i="55"/>
  <c r="R31" i="55"/>
  <c r="R30" i="55"/>
  <c r="R29" i="55"/>
  <c r="R28" i="55"/>
  <c r="R27" i="55"/>
  <c r="R26" i="55"/>
  <c r="R25" i="55"/>
  <c r="R24" i="55"/>
  <c r="R23" i="55"/>
  <c r="R22" i="55"/>
  <c r="R21" i="55"/>
  <c r="R20" i="55"/>
  <c r="R19" i="55"/>
  <c r="R18" i="55"/>
  <c r="R17" i="55"/>
  <c r="R16" i="55"/>
  <c r="R15" i="55"/>
  <c r="R14" i="55"/>
  <c r="R13" i="55"/>
  <c r="R12" i="55"/>
  <c r="R11" i="55"/>
  <c r="R10" i="55"/>
  <c r="R9" i="55"/>
  <c r="D20" i="178"/>
  <c r="E6" i="178" s="1"/>
  <c r="D18" i="178"/>
  <c r="D12" i="178"/>
  <c r="E3" i="178"/>
  <c r="A3" i="177"/>
  <c r="A4" i="177" s="1"/>
  <c r="A5" i="177" s="1"/>
  <c r="A6" i="177" s="1"/>
  <c r="A7" i="177" s="1"/>
  <c r="A8" i="177" s="1"/>
  <c r="A9" i="177" s="1"/>
  <c r="A10" i="177" s="1"/>
  <c r="A11" i="177" s="1"/>
  <c r="A12" i="177" s="1"/>
  <c r="A13" i="177" s="1"/>
  <c r="A14" i="177" s="1"/>
  <c r="A15" i="177" s="1"/>
  <c r="A16" i="177" s="1"/>
  <c r="A17" i="177" s="1"/>
  <c r="A18" i="177" s="1"/>
  <c r="A19" i="177" s="1"/>
  <c r="A20" i="177" s="1"/>
  <c r="A21" i="177" s="1"/>
  <c r="A22" i="177" s="1"/>
  <c r="A23" i="177" s="1"/>
  <c r="A24" i="177" s="1"/>
  <c r="A25" i="177" s="1"/>
  <c r="A26" i="177" s="1"/>
  <c r="A27" i="177" s="1"/>
  <c r="A28" i="177" s="1"/>
  <c r="A29" i="177" s="1"/>
  <c r="A30" i="177" s="1"/>
  <c r="A31" i="177" s="1"/>
  <c r="A32" i="177" s="1"/>
  <c r="A33" i="177" s="1"/>
  <c r="A34" i="177" s="1"/>
  <c r="A35" i="177" s="1"/>
  <c r="A36" i="177" s="1"/>
  <c r="A37" i="177" s="1"/>
  <c r="AF11" i="178" l="1"/>
  <c r="AB11" i="178"/>
  <c r="X11" i="178"/>
  <c r="AG16" i="180"/>
  <c r="AI16" i="180" s="1"/>
  <c r="AG15" i="180"/>
  <c r="AI15" i="180" s="1"/>
  <c r="AG18" i="180"/>
  <c r="AI18" i="180" s="1"/>
  <c r="E5" i="178"/>
  <c r="E4" i="178"/>
  <c r="AN15" i="166" l="1"/>
  <c r="AQ16" i="166"/>
  <c r="C11" i="175"/>
  <c r="C12" i="175"/>
  <c r="C13" i="175"/>
  <c r="C14" i="175"/>
  <c r="C15" i="175"/>
  <c r="C16" i="175"/>
  <c r="C17" i="175"/>
  <c r="C18" i="175"/>
  <c r="C19" i="175"/>
  <c r="C20" i="175"/>
  <c r="C21" i="175"/>
  <c r="C22" i="175"/>
  <c r="C23" i="175"/>
  <c r="C24" i="175"/>
  <c r="C25" i="175"/>
  <c r="C26" i="175"/>
  <c r="C27" i="175"/>
  <c r="C28" i="175"/>
  <c r="C29" i="175"/>
  <c r="C30" i="175"/>
  <c r="C31" i="175"/>
  <c r="C32" i="175"/>
  <c r="C33" i="175"/>
  <c r="C34" i="175"/>
  <c r="C35" i="175"/>
  <c r="C36" i="175"/>
  <c r="C37" i="175"/>
  <c r="C38" i="175"/>
  <c r="C39" i="175"/>
  <c r="C40" i="175"/>
  <c r="C41" i="175"/>
  <c r="C42" i="175"/>
  <c r="C43" i="175"/>
  <c r="C44" i="175"/>
  <c r="C45" i="175"/>
  <c r="C46" i="175"/>
  <c r="G51" i="175"/>
  <c r="F51" i="175"/>
  <c r="E51" i="175"/>
  <c r="D51" i="175"/>
  <c r="G50" i="175"/>
  <c r="F50" i="175"/>
  <c r="E50" i="175"/>
  <c r="D50" i="175"/>
  <c r="G49" i="175"/>
  <c r="F49" i="175"/>
  <c r="E49" i="175"/>
  <c r="D49" i="175"/>
  <c r="G48" i="175"/>
  <c r="F48" i="175"/>
  <c r="E48" i="175"/>
  <c r="D48" i="175"/>
  <c r="G47" i="175"/>
  <c r="F47" i="175"/>
  <c r="E47" i="175"/>
  <c r="D47" i="175"/>
  <c r="H35" i="175"/>
  <c r="H24" i="175"/>
  <c r="H13" i="175"/>
  <c r="H2" i="175"/>
  <c r="E13" i="178" l="1"/>
  <c r="E33" i="178"/>
  <c r="E23" i="178"/>
  <c r="C47" i="175"/>
  <c r="H49" i="175" s="1"/>
  <c r="H50" i="175"/>
  <c r="AD2" i="134"/>
  <c r="AD2" i="136"/>
  <c r="AD2" i="135"/>
  <c r="AO15" i="166" l="1"/>
  <c r="H51" i="175"/>
  <c r="H48" i="175"/>
  <c r="G6" i="148"/>
  <c r="G7" i="148"/>
  <c r="G8" i="148"/>
  <c r="G9" i="148"/>
  <c r="G10" i="148"/>
  <c r="G11" i="148"/>
  <c r="G12" i="148"/>
  <c r="G13" i="148"/>
  <c r="G14" i="148"/>
  <c r="G15" i="148"/>
  <c r="G16" i="148"/>
  <c r="G17" i="148"/>
  <c r="G18" i="148"/>
  <c r="G19" i="148"/>
  <c r="G20" i="148"/>
  <c r="G21" i="148"/>
  <c r="G22" i="148"/>
  <c r="G23" i="148"/>
  <c r="G24" i="148"/>
  <c r="G25" i="148"/>
  <c r="G26" i="148"/>
  <c r="G27" i="148"/>
  <c r="G28" i="148"/>
  <c r="G29" i="148"/>
  <c r="G30" i="148"/>
  <c r="G31" i="148"/>
  <c r="G32" i="148"/>
  <c r="G33" i="148"/>
  <c r="G34" i="148"/>
  <c r="G35" i="148"/>
  <c r="G36" i="148"/>
  <c r="G37" i="148"/>
  <c r="G38" i="148"/>
  <c r="G39" i="148"/>
  <c r="G40" i="148"/>
  <c r="G5" i="148"/>
  <c r="R40" i="153" l="1"/>
  <c r="R39" i="153"/>
  <c r="R38" i="153"/>
  <c r="R37" i="153"/>
  <c r="R36" i="153"/>
  <c r="R35" i="153"/>
  <c r="R34" i="153"/>
  <c r="R33" i="153"/>
  <c r="R32" i="153"/>
  <c r="R31" i="153"/>
  <c r="R30" i="153"/>
  <c r="R29" i="153"/>
  <c r="R28" i="153"/>
  <c r="R27" i="153"/>
  <c r="R26" i="153"/>
  <c r="R25" i="153"/>
  <c r="R24" i="153"/>
  <c r="R23" i="153"/>
  <c r="R22" i="153"/>
  <c r="R21" i="153"/>
  <c r="R20" i="153"/>
  <c r="R19" i="153"/>
  <c r="R18" i="153"/>
  <c r="R17" i="153"/>
  <c r="R16" i="153"/>
  <c r="R15" i="153"/>
  <c r="R14" i="153"/>
  <c r="R13" i="153"/>
  <c r="R12" i="153"/>
  <c r="R11" i="153"/>
  <c r="R10" i="153"/>
  <c r="R9" i="153"/>
  <c r="R8" i="153"/>
  <c r="R7" i="153"/>
  <c r="R6" i="153"/>
  <c r="R5" i="153"/>
  <c r="R40" i="152"/>
  <c r="R39" i="152"/>
  <c r="R38" i="152"/>
  <c r="R37" i="152"/>
  <c r="R36" i="152"/>
  <c r="R35" i="152"/>
  <c r="R34" i="152"/>
  <c r="R33" i="152"/>
  <c r="R32" i="152"/>
  <c r="R31" i="152"/>
  <c r="R30" i="152"/>
  <c r="R29" i="152"/>
  <c r="R28" i="152"/>
  <c r="R27" i="152"/>
  <c r="R26" i="152"/>
  <c r="R25" i="152"/>
  <c r="R24" i="152"/>
  <c r="R23" i="152"/>
  <c r="R22" i="152"/>
  <c r="R21" i="152"/>
  <c r="R20" i="152"/>
  <c r="R19" i="152"/>
  <c r="R18" i="152"/>
  <c r="R17" i="152"/>
  <c r="R16" i="152"/>
  <c r="R15" i="152"/>
  <c r="R14" i="152"/>
  <c r="R13" i="152"/>
  <c r="R12" i="152"/>
  <c r="R11" i="152"/>
  <c r="R10" i="152"/>
  <c r="R9" i="152"/>
  <c r="R8" i="152"/>
  <c r="R7" i="152"/>
  <c r="R6" i="152"/>
  <c r="R5" i="152"/>
  <c r="K5" i="137" l="1"/>
  <c r="K6" i="137"/>
  <c r="K7" i="137"/>
  <c r="K8" i="137"/>
  <c r="K9" i="137"/>
  <c r="K10" i="137"/>
  <c r="K11" i="137"/>
  <c r="K12" i="137"/>
  <c r="K13" i="137"/>
  <c r="K14" i="137"/>
  <c r="K15" i="137"/>
  <c r="K16" i="137"/>
  <c r="K17" i="137"/>
  <c r="K18" i="137"/>
  <c r="K19" i="137"/>
  <c r="K20" i="137"/>
  <c r="K21" i="137"/>
  <c r="K22" i="137"/>
  <c r="K23" i="137"/>
  <c r="K24" i="137"/>
  <c r="K25" i="137"/>
  <c r="K26" i="137"/>
  <c r="K27" i="137"/>
  <c r="K28" i="137"/>
  <c r="K29" i="137"/>
  <c r="K30" i="137"/>
  <c r="K31" i="137"/>
  <c r="K32" i="137"/>
  <c r="K33" i="137"/>
  <c r="K34" i="137"/>
  <c r="K35" i="137"/>
  <c r="K36" i="137"/>
  <c r="K37" i="137"/>
  <c r="K38" i="137"/>
  <c r="K39" i="137"/>
  <c r="K40" i="137"/>
  <c r="G39" i="30" l="1"/>
  <c r="F39" i="30"/>
  <c r="G38" i="30"/>
  <c r="F38" i="30"/>
  <c r="G37" i="30"/>
  <c r="F37" i="30"/>
  <c r="G36" i="30"/>
  <c r="F36" i="30"/>
  <c r="G35" i="30"/>
  <c r="F35" i="30"/>
  <c r="G34" i="30"/>
  <c r="F34" i="30"/>
  <c r="G33" i="30"/>
  <c r="F33" i="30"/>
  <c r="G32" i="30"/>
  <c r="F32" i="30"/>
  <c r="G31" i="30"/>
  <c r="F31" i="30"/>
  <c r="G30" i="30"/>
  <c r="F30" i="30"/>
  <c r="G29" i="30"/>
  <c r="F29" i="30"/>
  <c r="G28" i="30"/>
  <c r="F28" i="30"/>
  <c r="G27" i="30"/>
  <c r="F27" i="30"/>
  <c r="G26" i="30"/>
  <c r="F26" i="30"/>
  <c r="G25" i="30"/>
  <c r="F25" i="30"/>
  <c r="G24" i="30"/>
  <c r="F24" i="30"/>
  <c r="G23" i="30"/>
  <c r="F23" i="30"/>
  <c r="G22" i="30"/>
  <c r="F22" i="30"/>
  <c r="G21" i="30"/>
  <c r="F21" i="30"/>
  <c r="G20" i="30"/>
  <c r="F20" i="30"/>
  <c r="G19" i="30"/>
  <c r="F19" i="30"/>
  <c r="G18" i="30"/>
  <c r="F18" i="30"/>
  <c r="G17" i="30"/>
  <c r="F17" i="30"/>
  <c r="G16" i="30"/>
  <c r="F16" i="30"/>
  <c r="G15" i="30"/>
  <c r="F15" i="30"/>
  <c r="G14" i="30"/>
  <c r="F14" i="30"/>
  <c r="G13" i="30"/>
  <c r="F13" i="30"/>
  <c r="G12" i="30"/>
  <c r="F12" i="30"/>
  <c r="G11" i="30"/>
  <c r="F11" i="30"/>
  <c r="G10" i="30"/>
  <c r="F10" i="30"/>
  <c r="G9" i="30"/>
  <c r="F9" i="30"/>
  <c r="G8" i="30"/>
  <c r="F8" i="30"/>
  <c r="G7" i="30"/>
  <c r="F7" i="30"/>
  <c r="G6" i="30"/>
  <c r="F6" i="30"/>
  <c r="G5" i="30"/>
  <c r="F5" i="30"/>
  <c r="G4" i="30"/>
  <c r="F4" i="30"/>
  <c r="AO21" i="172" l="1"/>
  <c r="F33" i="172"/>
  <c r="C8" i="173"/>
  <c r="H3" i="173" s="1"/>
  <c r="C9" i="173"/>
  <c r="C10" i="173"/>
  <c r="C11" i="173"/>
  <c r="C12" i="173"/>
  <c r="C13" i="173"/>
  <c r="C14" i="173"/>
  <c r="C15" i="173"/>
  <c r="C16" i="173"/>
  <c r="C17" i="173"/>
  <c r="C18" i="173"/>
  <c r="C19" i="173"/>
  <c r="C20" i="173"/>
  <c r="C21" i="173"/>
  <c r="C22" i="173"/>
  <c r="C23" i="173"/>
  <c r="C24" i="173"/>
  <c r="C25" i="173"/>
  <c r="C26" i="173"/>
  <c r="C27" i="173"/>
  <c r="C28" i="173"/>
  <c r="C29" i="173"/>
  <c r="C30" i="173"/>
  <c r="C31" i="173"/>
  <c r="C32" i="173"/>
  <c r="C33" i="173"/>
  <c r="C34" i="173"/>
  <c r="C35" i="173"/>
  <c r="C36" i="173"/>
  <c r="C37" i="173"/>
  <c r="C38" i="173"/>
  <c r="C39" i="173"/>
  <c r="C40" i="173"/>
  <c r="C41" i="173"/>
  <c r="C42" i="173"/>
  <c r="AO3" i="172"/>
  <c r="AN3" i="172"/>
  <c r="AN22" i="172" s="1"/>
  <c r="AM3" i="172"/>
  <c r="AM22" i="172" s="1"/>
  <c r="AL3" i="172"/>
  <c r="AL22" i="172" s="1"/>
  <c r="AK3" i="172"/>
  <c r="AK22" i="172" s="1"/>
  <c r="AJ3" i="172"/>
  <c r="AJ22" i="172" s="1"/>
  <c r="AI3" i="172"/>
  <c r="AI22" i="172" s="1"/>
  <c r="AH3" i="172"/>
  <c r="AH22" i="172" s="1"/>
  <c r="AG3" i="172"/>
  <c r="AF3" i="172"/>
  <c r="AF22" i="172" s="1"/>
  <c r="AF37" i="172" s="1"/>
  <c r="AE3" i="172"/>
  <c r="AD3" i="172"/>
  <c r="AC3" i="172"/>
  <c r="AB3" i="172"/>
  <c r="AA3" i="172"/>
  <c r="Z3" i="172"/>
  <c r="Y3" i="172"/>
  <c r="X3" i="172"/>
  <c r="W3" i="172"/>
  <c r="V3" i="172"/>
  <c r="U3" i="172"/>
  <c r="T3" i="172"/>
  <c r="S3" i="172"/>
  <c r="R3" i="172"/>
  <c r="Q3" i="172"/>
  <c r="P3" i="172"/>
  <c r="O3" i="172"/>
  <c r="N3" i="172"/>
  <c r="M3" i="172"/>
  <c r="L3" i="172"/>
  <c r="K3" i="172"/>
  <c r="J3" i="172"/>
  <c r="I3" i="172"/>
  <c r="H3" i="172"/>
  <c r="G3" i="172"/>
  <c r="AO33" i="172"/>
  <c r="AO20" i="172"/>
  <c r="AO6" i="172"/>
  <c r="AO5" i="172"/>
  <c r="F3" i="172"/>
  <c r="J30" i="173"/>
  <c r="J29" i="173"/>
  <c r="J28" i="173"/>
  <c r="J27" i="173"/>
  <c r="J26" i="173"/>
  <c r="J25" i="173"/>
  <c r="J24" i="173"/>
  <c r="J23" i="173"/>
  <c r="J22" i="173"/>
  <c r="J18" i="173"/>
  <c r="J17" i="173"/>
  <c r="J16" i="173"/>
  <c r="J15" i="173"/>
  <c r="J14" i="173"/>
  <c r="J13" i="173"/>
  <c r="J12" i="173"/>
  <c r="J11" i="173"/>
  <c r="J10" i="173"/>
  <c r="J9" i="173"/>
  <c r="J8" i="173"/>
  <c r="J7" i="173"/>
  <c r="C7" i="173"/>
  <c r="C6" i="173"/>
  <c r="H4" i="173"/>
  <c r="AN33" i="172"/>
  <c r="AM33" i="172"/>
  <c r="AL33" i="172"/>
  <c r="AK33" i="172"/>
  <c r="AJ33" i="172"/>
  <c r="AI33" i="172"/>
  <c r="AH33" i="172"/>
  <c r="AG33" i="172"/>
  <c r="AF33" i="172"/>
  <c r="AE33" i="172"/>
  <c r="AD33" i="172"/>
  <c r="AC33" i="172"/>
  <c r="AB33" i="172"/>
  <c r="AA33" i="172"/>
  <c r="Z33" i="172"/>
  <c r="Y33" i="172"/>
  <c r="X33" i="172"/>
  <c r="W33" i="172"/>
  <c r="V33" i="172"/>
  <c r="U33" i="172"/>
  <c r="T33" i="172"/>
  <c r="S33" i="172"/>
  <c r="R33" i="172"/>
  <c r="Q33" i="172"/>
  <c r="P33" i="172"/>
  <c r="O33" i="172"/>
  <c r="N33" i="172"/>
  <c r="M33" i="172"/>
  <c r="L33" i="172"/>
  <c r="K33" i="172"/>
  <c r="J33" i="172"/>
  <c r="I33" i="172"/>
  <c r="H33" i="172"/>
  <c r="G33" i="172"/>
  <c r="AN21" i="172"/>
  <c r="AN34" i="172" s="1"/>
  <c r="AM21" i="172"/>
  <c r="AM34" i="172" s="1"/>
  <c r="AL21" i="172"/>
  <c r="AL35" i="172" s="1"/>
  <c r="AK21" i="172"/>
  <c r="AJ21" i="172"/>
  <c r="AI21" i="172"/>
  <c r="AI35" i="172" s="1"/>
  <c r="AH21" i="172"/>
  <c r="AH35" i="172" s="1"/>
  <c r="AG21" i="172"/>
  <c r="AG34" i="172" s="1"/>
  <c r="AF21" i="172"/>
  <c r="AF34" i="172" s="1"/>
  <c r="AE21" i="172"/>
  <c r="AE34" i="172" s="1"/>
  <c r="AD21" i="172"/>
  <c r="AD35" i="172" s="1"/>
  <c r="AC21" i="172"/>
  <c r="AB21" i="172"/>
  <c r="AB35" i="172" s="1"/>
  <c r="AA21" i="172"/>
  <c r="AA35" i="172" s="1"/>
  <c r="Z21" i="172"/>
  <c r="Z35" i="172" s="1"/>
  <c r="Y21" i="172"/>
  <c r="Y34" i="172" s="1"/>
  <c r="X21" i="172"/>
  <c r="X34" i="172" s="1"/>
  <c r="W21" i="172"/>
  <c r="W34" i="172" s="1"/>
  <c r="V21" i="172"/>
  <c r="U21" i="172"/>
  <c r="T21" i="172"/>
  <c r="T35" i="172" s="1"/>
  <c r="S21" i="172"/>
  <c r="S35" i="172" s="1"/>
  <c r="R21" i="172"/>
  <c r="Q21" i="172"/>
  <c r="Q34" i="172" s="1"/>
  <c r="P21" i="172"/>
  <c r="P34" i="172" s="1"/>
  <c r="O21" i="172"/>
  <c r="O34" i="172" s="1"/>
  <c r="N21" i="172"/>
  <c r="N35" i="172" s="1"/>
  <c r="M21" i="172"/>
  <c r="L21" i="172"/>
  <c r="K21" i="172"/>
  <c r="K35" i="172" s="1"/>
  <c r="J21" i="172"/>
  <c r="J35" i="172" s="1"/>
  <c r="I21" i="172"/>
  <c r="I34" i="172" s="1"/>
  <c r="H21" i="172"/>
  <c r="H34" i="172" s="1"/>
  <c r="G21" i="172"/>
  <c r="G34" i="172" s="1"/>
  <c r="F21" i="172"/>
  <c r="AN20" i="172"/>
  <c r="AM20" i="172"/>
  <c r="AL20" i="172"/>
  <c r="AK20" i="172"/>
  <c r="AJ20" i="172"/>
  <c r="AI20" i="172"/>
  <c r="AH20" i="172"/>
  <c r="AG20" i="172"/>
  <c r="AF20" i="172"/>
  <c r="AE20" i="172"/>
  <c r="AD20" i="172"/>
  <c r="AC20" i="172"/>
  <c r="AB20" i="172"/>
  <c r="AA20" i="172"/>
  <c r="Z20" i="172"/>
  <c r="Y20" i="172"/>
  <c r="X20" i="172"/>
  <c r="W20" i="172"/>
  <c r="V20" i="172"/>
  <c r="U20" i="172"/>
  <c r="T20" i="172"/>
  <c r="S20" i="172"/>
  <c r="R20" i="172"/>
  <c r="Q20" i="172"/>
  <c r="P20" i="172"/>
  <c r="O20" i="172"/>
  <c r="N20" i="172"/>
  <c r="M20" i="172"/>
  <c r="L20" i="172"/>
  <c r="K20" i="172"/>
  <c r="J20" i="172"/>
  <c r="I20" i="172"/>
  <c r="H20" i="172"/>
  <c r="G20" i="172"/>
  <c r="F20" i="172"/>
  <c r="F22" i="172" s="1"/>
  <c r="AN6" i="172"/>
  <c r="AM6" i="172"/>
  <c r="AL6" i="172"/>
  <c r="AK6" i="172"/>
  <c r="AJ6" i="172"/>
  <c r="AI6" i="172"/>
  <c r="AH6" i="172"/>
  <c r="AG6" i="172"/>
  <c r="AF6" i="172"/>
  <c r="AE6" i="172"/>
  <c r="AD6" i="172"/>
  <c r="AC6" i="172"/>
  <c r="AB6" i="172"/>
  <c r="AA6" i="172"/>
  <c r="Z6" i="172"/>
  <c r="Y6" i="172"/>
  <c r="X6" i="172"/>
  <c r="W6" i="172"/>
  <c r="V6" i="172"/>
  <c r="U6" i="172"/>
  <c r="T6" i="172"/>
  <c r="S6" i="172"/>
  <c r="R6" i="172"/>
  <c r="Q6" i="172"/>
  <c r="P6" i="172"/>
  <c r="O6" i="172"/>
  <c r="N6" i="172"/>
  <c r="M6" i="172"/>
  <c r="L6" i="172"/>
  <c r="K6" i="172"/>
  <c r="J6" i="172"/>
  <c r="I6" i="172"/>
  <c r="H6" i="172"/>
  <c r="G6" i="172"/>
  <c r="F6" i="172"/>
  <c r="AN5" i="172"/>
  <c r="AM5" i="172"/>
  <c r="AL5" i="172"/>
  <c r="AK5" i="172"/>
  <c r="AJ5" i="172"/>
  <c r="AI5" i="172"/>
  <c r="AH5" i="172"/>
  <c r="AG5" i="172"/>
  <c r="AF5" i="172"/>
  <c r="AE5" i="172"/>
  <c r="AD5" i="172"/>
  <c r="AC5" i="172"/>
  <c r="AB5" i="172"/>
  <c r="AA5" i="172"/>
  <c r="Z5" i="172"/>
  <c r="Y5" i="172"/>
  <c r="X5" i="172"/>
  <c r="W5" i="172"/>
  <c r="V5" i="172"/>
  <c r="U5" i="172"/>
  <c r="T5" i="172"/>
  <c r="S5" i="172"/>
  <c r="R5" i="172"/>
  <c r="Q5" i="172"/>
  <c r="P5" i="172"/>
  <c r="O5" i="172"/>
  <c r="N5" i="172"/>
  <c r="M5" i="172"/>
  <c r="L5" i="172"/>
  <c r="K5" i="172"/>
  <c r="J5" i="172"/>
  <c r="I5" i="172"/>
  <c r="H5" i="172"/>
  <c r="G5" i="172"/>
  <c r="F5" i="172"/>
  <c r="AC35" i="172" l="1"/>
  <c r="M35" i="172"/>
  <c r="AE22" i="172"/>
  <c r="AE37" i="172" s="1"/>
  <c r="V35" i="172"/>
  <c r="R35" i="172"/>
  <c r="Q22" i="172"/>
  <c r="Q37" i="172" s="1"/>
  <c r="AG22" i="172"/>
  <c r="I22" i="172"/>
  <c r="Y22" i="172"/>
  <c r="W22" i="172"/>
  <c r="W37" i="172" s="1"/>
  <c r="X22" i="172"/>
  <c r="X37" i="172" s="1"/>
  <c r="Z22" i="172"/>
  <c r="Z37" i="172" s="1"/>
  <c r="S22" i="172"/>
  <c r="S37" i="172" s="1"/>
  <c r="AA22" i="172"/>
  <c r="AA37" i="172" s="1"/>
  <c r="L22" i="172"/>
  <c r="L37" i="172" s="1"/>
  <c r="T22" i="172"/>
  <c r="T37" i="172" s="1"/>
  <c r="AB22" i="172"/>
  <c r="U22" i="172"/>
  <c r="U37" i="172" s="1"/>
  <c r="AC22" i="172"/>
  <c r="V22" i="172"/>
  <c r="AD22" i="172"/>
  <c r="AD37" i="172" s="1"/>
  <c r="H22" i="172"/>
  <c r="H37" i="172" s="1"/>
  <c r="P22" i="172"/>
  <c r="P37" i="172" s="1"/>
  <c r="J22" i="172"/>
  <c r="J37" i="172" s="1"/>
  <c r="R22" i="172"/>
  <c r="K22" i="172"/>
  <c r="K37" i="172" s="1"/>
  <c r="M22" i="172"/>
  <c r="M37" i="172" s="1"/>
  <c r="G22" i="172"/>
  <c r="J20" i="173" s="1"/>
  <c r="O22" i="172"/>
  <c r="J31" i="173"/>
  <c r="AO22" i="172"/>
  <c r="AG37" i="172"/>
  <c r="Y37" i="172"/>
  <c r="J19" i="173"/>
  <c r="N22" i="172"/>
  <c r="N37" i="172" s="1"/>
  <c r="AL37" i="172"/>
  <c r="AK37" i="172"/>
  <c r="L35" i="172"/>
  <c r="AJ35" i="172"/>
  <c r="U35" i="172"/>
  <c r="AK35" i="172"/>
  <c r="AJ37" i="172"/>
  <c r="AI37" i="172"/>
  <c r="AH37" i="172"/>
  <c r="AO35" i="172"/>
  <c r="AO34" i="172"/>
  <c r="F35" i="172"/>
  <c r="J34" i="172"/>
  <c r="J36" i="172" s="1"/>
  <c r="R34" i="172"/>
  <c r="R36" i="172" s="1"/>
  <c r="Z34" i="172"/>
  <c r="Z36" i="172" s="1"/>
  <c r="AH34" i="172"/>
  <c r="AH36" i="172" s="1"/>
  <c r="G35" i="172"/>
  <c r="G36" i="172" s="1"/>
  <c r="O35" i="172"/>
  <c r="O36" i="172" s="1"/>
  <c r="W35" i="172"/>
  <c r="W36" i="172" s="1"/>
  <c r="AE35" i="172"/>
  <c r="AE36" i="172" s="1"/>
  <c r="AM35" i="172"/>
  <c r="AM36" i="172" s="1"/>
  <c r="AM37" i="172" s="1"/>
  <c r="K34" i="172"/>
  <c r="K36" i="172" s="1"/>
  <c r="S34" i="172"/>
  <c r="S36" i="172" s="1"/>
  <c r="AA34" i="172"/>
  <c r="AA36" i="172" s="1"/>
  <c r="AI34" i="172"/>
  <c r="AI36" i="172" s="1"/>
  <c r="H35" i="172"/>
  <c r="H36" i="172" s="1"/>
  <c r="P35" i="172"/>
  <c r="P36" i="172" s="1"/>
  <c r="X35" i="172"/>
  <c r="X36" i="172" s="1"/>
  <c r="AF35" i="172"/>
  <c r="AF36" i="172" s="1"/>
  <c r="AN35" i="172"/>
  <c r="AN36" i="172" s="1"/>
  <c r="AN37" i="172" s="1"/>
  <c r="L34" i="172"/>
  <c r="T34" i="172"/>
  <c r="T36" i="172" s="1"/>
  <c r="AB34" i="172"/>
  <c r="AB36" i="172" s="1"/>
  <c r="AB37" i="172" s="1"/>
  <c r="AJ34" i="172"/>
  <c r="I35" i="172"/>
  <c r="I36" i="172" s="1"/>
  <c r="I37" i="172" s="1"/>
  <c r="Q35" i="172"/>
  <c r="Q36" i="172" s="1"/>
  <c r="Y35" i="172"/>
  <c r="Y36" i="172" s="1"/>
  <c r="AG35" i="172"/>
  <c r="AG36" i="172" s="1"/>
  <c r="M34" i="172"/>
  <c r="M36" i="172" s="1"/>
  <c r="U34" i="172"/>
  <c r="AC34" i="172"/>
  <c r="AK34" i="172"/>
  <c r="F34" i="172"/>
  <c r="N34" i="172"/>
  <c r="N36" i="172" s="1"/>
  <c r="V34" i="172"/>
  <c r="AD34" i="172"/>
  <c r="AD36" i="172" s="1"/>
  <c r="AL34" i="172"/>
  <c r="AL36" i="172" s="1"/>
  <c r="AC36" i="172" l="1"/>
  <c r="AC37" i="172" s="1"/>
  <c r="V36" i="172"/>
  <c r="R37" i="172"/>
  <c r="V37" i="172"/>
  <c r="AO36" i="172"/>
  <c r="AO37" i="172" s="1"/>
  <c r="AK36" i="172"/>
  <c r="O37" i="172"/>
  <c r="G37" i="172"/>
  <c r="L36" i="172"/>
  <c r="AJ36" i="172"/>
  <c r="U36" i="172"/>
  <c r="F36" i="172"/>
  <c r="F37" i="172" s="1"/>
  <c r="J42" i="31"/>
  <c r="I42" i="31"/>
  <c r="B41" i="170"/>
  <c r="B40" i="170"/>
  <c r="B39" i="170"/>
  <c r="B38" i="170"/>
  <c r="B37" i="170"/>
  <c r="B36" i="170"/>
  <c r="B35" i="170"/>
  <c r="B34" i="170"/>
  <c r="B33" i="170"/>
  <c r="B32" i="170"/>
  <c r="B31" i="170"/>
  <c r="B30" i="170"/>
  <c r="B29" i="170"/>
  <c r="B28" i="170"/>
  <c r="B27" i="170"/>
  <c r="B26" i="170"/>
  <c r="B25" i="170"/>
  <c r="B24" i="170"/>
  <c r="B23" i="170"/>
  <c r="B22" i="170"/>
  <c r="B21" i="170"/>
  <c r="B20" i="170"/>
  <c r="B19" i="170"/>
  <c r="B18" i="170"/>
  <c r="B17" i="170"/>
  <c r="B16" i="170"/>
  <c r="B15" i="170"/>
  <c r="B14" i="170"/>
  <c r="B13" i="170"/>
  <c r="B12" i="170"/>
  <c r="B11" i="170"/>
  <c r="B10" i="170"/>
  <c r="B9" i="170"/>
  <c r="B8" i="170"/>
  <c r="B7" i="170"/>
  <c r="B6" i="170"/>
  <c r="Z3" i="170"/>
  <c r="Z2" i="170"/>
  <c r="H2" i="170"/>
  <c r="J42" i="55"/>
  <c r="I42" i="55"/>
  <c r="AA44" i="31"/>
  <c r="AD44" i="31" s="1"/>
  <c r="Z44" i="31"/>
  <c r="T44" i="31"/>
  <c r="AA43" i="31"/>
  <c r="AD43" i="31" s="1"/>
  <c r="Z43" i="31"/>
  <c r="T43" i="31"/>
  <c r="AA42" i="31"/>
  <c r="AD42" i="31" s="1"/>
  <c r="Z42" i="31"/>
  <c r="T42" i="31"/>
  <c r="AA41" i="31"/>
  <c r="AD41" i="31" s="1"/>
  <c r="Z41" i="31"/>
  <c r="T41" i="31"/>
  <c r="AA40" i="31"/>
  <c r="AD40" i="31" s="1"/>
  <c r="Z40" i="31"/>
  <c r="T40" i="31"/>
  <c r="AA39" i="31"/>
  <c r="AD39" i="31" s="1"/>
  <c r="Z39" i="31"/>
  <c r="T39" i="31"/>
  <c r="AA38" i="31"/>
  <c r="AD38" i="31" s="1"/>
  <c r="Z38" i="31"/>
  <c r="T38" i="31"/>
  <c r="AA37" i="31"/>
  <c r="Z37" i="31"/>
  <c r="T37" i="31"/>
  <c r="AA36" i="31"/>
  <c r="Z36" i="31"/>
  <c r="T36" i="31"/>
  <c r="AA35" i="31"/>
  <c r="Z35" i="31"/>
  <c r="T35" i="31"/>
  <c r="AA34" i="31"/>
  <c r="Z34" i="31"/>
  <c r="T34" i="31"/>
  <c r="AA33" i="31"/>
  <c r="Z33" i="31"/>
  <c r="T33" i="31"/>
  <c r="AA32" i="31"/>
  <c r="Z32" i="31"/>
  <c r="T32" i="31"/>
  <c r="AA31" i="31"/>
  <c r="Z31" i="31"/>
  <c r="T31" i="31"/>
  <c r="AA30" i="31"/>
  <c r="Z30" i="31"/>
  <c r="T30" i="31"/>
  <c r="AA29" i="31"/>
  <c r="Z29" i="31"/>
  <c r="T29" i="31"/>
  <c r="AA28" i="31"/>
  <c r="Z28" i="31"/>
  <c r="T28" i="31"/>
  <c r="AA27" i="31"/>
  <c r="Z27" i="31"/>
  <c r="T27" i="31"/>
  <c r="AA26" i="31"/>
  <c r="Z26" i="31"/>
  <c r="T26" i="31"/>
  <c r="AA25" i="31"/>
  <c r="Z25" i="31"/>
  <c r="T25" i="31"/>
  <c r="AA24" i="31"/>
  <c r="Z24" i="31"/>
  <c r="T24" i="31"/>
  <c r="AA23" i="31"/>
  <c r="Z23" i="31"/>
  <c r="T23" i="31"/>
  <c r="AA22" i="31"/>
  <c r="Z22" i="31"/>
  <c r="T22" i="31"/>
  <c r="AA21" i="31"/>
  <c r="Z21" i="31"/>
  <c r="T21" i="31"/>
  <c r="AA20" i="31"/>
  <c r="Z20" i="31"/>
  <c r="T20" i="31"/>
  <c r="AA19" i="31"/>
  <c r="Z19" i="31"/>
  <c r="T19" i="31"/>
  <c r="AA18" i="31"/>
  <c r="Z18" i="31"/>
  <c r="T18" i="31"/>
  <c r="AA17" i="31"/>
  <c r="Z17" i="31"/>
  <c r="T17" i="31"/>
  <c r="AA16" i="31"/>
  <c r="Z16" i="31"/>
  <c r="T16" i="31"/>
  <c r="AA15" i="31"/>
  <c r="Z15" i="31"/>
  <c r="T15" i="31"/>
  <c r="AA14" i="31"/>
  <c r="Z14" i="31"/>
  <c r="T14" i="31"/>
  <c r="AA13" i="31"/>
  <c r="Z13" i="31"/>
  <c r="T13" i="31"/>
  <c r="AA12" i="31"/>
  <c r="Z12" i="31"/>
  <c r="T12" i="31"/>
  <c r="AA11" i="31"/>
  <c r="Z11" i="31"/>
  <c r="T11" i="31"/>
  <c r="AA10" i="31"/>
  <c r="Z10" i="31"/>
  <c r="T10" i="31"/>
  <c r="AA9" i="31"/>
  <c r="Z9" i="31"/>
  <c r="T9" i="31"/>
  <c r="Y4" i="31"/>
  <c r="X4" i="31"/>
  <c r="W4" i="31"/>
  <c r="V4" i="31"/>
  <c r="U4" i="31"/>
  <c r="Y3" i="31"/>
  <c r="X3" i="31"/>
  <c r="W3" i="31"/>
  <c r="V3" i="31"/>
  <c r="U3" i="31"/>
  <c r="AB2" i="31"/>
  <c r="D2" i="31"/>
  <c r="AA44" i="55"/>
  <c r="AD44" i="55" s="1"/>
  <c r="Z44" i="55"/>
  <c r="T44" i="55"/>
  <c r="AA43" i="55"/>
  <c r="AD43" i="55" s="1"/>
  <c r="Z43" i="55"/>
  <c r="T43" i="55"/>
  <c r="AA42" i="55"/>
  <c r="AD42" i="55" s="1"/>
  <c r="Z42" i="55"/>
  <c r="T42" i="55"/>
  <c r="AA41" i="55"/>
  <c r="AC41" i="55" s="1"/>
  <c r="Z41" i="55"/>
  <c r="T41" i="55"/>
  <c r="AA40" i="55"/>
  <c r="AD40" i="55" s="1"/>
  <c r="Z40" i="55"/>
  <c r="T40" i="55"/>
  <c r="AA39" i="55"/>
  <c r="AD39" i="55" s="1"/>
  <c r="Z39" i="55"/>
  <c r="T39" i="55"/>
  <c r="AA38" i="55"/>
  <c r="AD38" i="55" s="1"/>
  <c r="Z38" i="55"/>
  <c r="T38" i="55"/>
  <c r="AA37" i="55"/>
  <c r="Z37" i="55"/>
  <c r="T37" i="55"/>
  <c r="AA36" i="55"/>
  <c r="Z36" i="55"/>
  <c r="T36" i="55"/>
  <c r="AA35" i="55"/>
  <c r="Z35" i="55"/>
  <c r="T35" i="55"/>
  <c r="AA34" i="55"/>
  <c r="Z34" i="55"/>
  <c r="T34" i="55"/>
  <c r="AA33" i="55"/>
  <c r="Z33" i="55"/>
  <c r="T33" i="55"/>
  <c r="AA32" i="55"/>
  <c r="Z32" i="55"/>
  <c r="T32" i="55"/>
  <c r="AA31" i="55"/>
  <c r="Z31" i="55"/>
  <c r="T31" i="55"/>
  <c r="AA30" i="55"/>
  <c r="Z30" i="55"/>
  <c r="T30" i="55"/>
  <c r="AA29" i="55"/>
  <c r="Z29" i="55"/>
  <c r="T29" i="55"/>
  <c r="AA28" i="55"/>
  <c r="Z28" i="55"/>
  <c r="T28" i="55"/>
  <c r="AA27" i="55"/>
  <c r="Z27" i="55"/>
  <c r="T27" i="55"/>
  <c r="AA26" i="55"/>
  <c r="Z26" i="55"/>
  <c r="T26" i="55"/>
  <c r="AA25" i="55"/>
  <c r="Z25" i="55"/>
  <c r="T25" i="55"/>
  <c r="AA24" i="55"/>
  <c r="Z24" i="55"/>
  <c r="T24" i="55"/>
  <c r="AA23" i="55"/>
  <c r="Z23" i="55"/>
  <c r="T23" i="55"/>
  <c r="AA22" i="55"/>
  <c r="Z22" i="55"/>
  <c r="T22" i="55"/>
  <c r="AA21" i="55"/>
  <c r="Z21" i="55"/>
  <c r="T21" i="55"/>
  <c r="AA20" i="55"/>
  <c r="Z20" i="55"/>
  <c r="T20" i="55"/>
  <c r="AA19" i="55"/>
  <c r="Z19" i="55"/>
  <c r="T19" i="55"/>
  <c r="AA18" i="55"/>
  <c r="Z18" i="55"/>
  <c r="T18" i="55"/>
  <c r="AA17" i="55"/>
  <c r="Z17" i="55"/>
  <c r="T17" i="55"/>
  <c r="AA16" i="55"/>
  <c r="Z16" i="55"/>
  <c r="T16" i="55"/>
  <c r="AA15" i="55"/>
  <c r="Z15" i="55"/>
  <c r="T15" i="55"/>
  <c r="AA14" i="55"/>
  <c r="Z14" i="55"/>
  <c r="T14" i="55"/>
  <c r="AA13" i="55"/>
  <c r="Z13" i="55"/>
  <c r="T13" i="55"/>
  <c r="AA12" i="55"/>
  <c r="Z12" i="55"/>
  <c r="T12" i="55"/>
  <c r="AA11" i="55"/>
  <c r="Z11" i="55"/>
  <c r="T11" i="55"/>
  <c r="AA10" i="55"/>
  <c r="Z10" i="55"/>
  <c r="T10" i="55"/>
  <c r="AA9" i="55"/>
  <c r="Z9" i="55"/>
  <c r="T9" i="55"/>
  <c r="Y4" i="55"/>
  <c r="X4" i="55"/>
  <c r="W4" i="55"/>
  <c r="V4" i="55"/>
  <c r="U4" i="55"/>
  <c r="Y3" i="55"/>
  <c r="X3" i="55"/>
  <c r="W3" i="55"/>
  <c r="V3" i="55"/>
  <c r="U3" i="55"/>
  <c r="AB2" i="55"/>
  <c r="D2" i="55"/>
  <c r="J42" i="56"/>
  <c r="AA42" i="56"/>
  <c r="AC42" i="56" s="1"/>
  <c r="Z42" i="56"/>
  <c r="AB2" i="56"/>
  <c r="V4" i="56"/>
  <c r="W4" i="56"/>
  <c r="X4" i="56"/>
  <c r="Y4" i="56"/>
  <c r="V3" i="56"/>
  <c r="W3" i="56"/>
  <c r="X3" i="56"/>
  <c r="Y3" i="56"/>
  <c r="U4" i="56"/>
  <c r="U3" i="56"/>
  <c r="T10" i="56"/>
  <c r="T11" i="56"/>
  <c r="T12" i="56"/>
  <c r="T13" i="56"/>
  <c r="T14" i="56"/>
  <c r="T15" i="56"/>
  <c r="T16" i="56"/>
  <c r="T17" i="56"/>
  <c r="T18" i="56"/>
  <c r="T19" i="56"/>
  <c r="T20" i="56"/>
  <c r="T21" i="56"/>
  <c r="T22" i="56"/>
  <c r="T23" i="56"/>
  <c r="T24" i="56"/>
  <c r="T25" i="56"/>
  <c r="T26" i="56"/>
  <c r="T27" i="56"/>
  <c r="T28" i="56"/>
  <c r="T29" i="56"/>
  <c r="T30" i="56"/>
  <c r="T31" i="56"/>
  <c r="T32" i="56"/>
  <c r="T33" i="56"/>
  <c r="T34" i="56"/>
  <c r="T35" i="56"/>
  <c r="T36" i="56"/>
  <c r="T37" i="56"/>
  <c r="T38" i="56"/>
  <c r="T39" i="56"/>
  <c r="T40" i="56"/>
  <c r="T41" i="56"/>
  <c r="T42" i="56"/>
  <c r="T43" i="56"/>
  <c r="T44" i="56"/>
  <c r="T9" i="56"/>
  <c r="R10" i="56"/>
  <c r="R11" i="56"/>
  <c r="R12" i="56"/>
  <c r="R13" i="56"/>
  <c r="R14" i="56"/>
  <c r="R15" i="56"/>
  <c r="R16" i="56"/>
  <c r="R17" i="56"/>
  <c r="R18" i="56"/>
  <c r="R19" i="56"/>
  <c r="R20" i="56"/>
  <c r="R21" i="56"/>
  <c r="R22" i="56"/>
  <c r="R23" i="56"/>
  <c r="R24" i="56"/>
  <c r="R25" i="56"/>
  <c r="R26" i="56"/>
  <c r="R27" i="56"/>
  <c r="R28" i="56"/>
  <c r="R29" i="56"/>
  <c r="R30" i="56"/>
  <c r="R31" i="56"/>
  <c r="R32" i="56"/>
  <c r="R33" i="56"/>
  <c r="R34" i="56"/>
  <c r="R35" i="56"/>
  <c r="R36" i="56"/>
  <c r="R37" i="56"/>
  <c r="R38" i="56"/>
  <c r="R39" i="56"/>
  <c r="R40" i="56"/>
  <c r="R41" i="56"/>
  <c r="R42" i="56"/>
  <c r="R43" i="56"/>
  <c r="R44" i="56"/>
  <c r="R9" i="56"/>
  <c r="AA44" i="56"/>
  <c r="AD44" i="56" s="1"/>
  <c r="Z44" i="56"/>
  <c r="AA43" i="56"/>
  <c r="AC43" i="56" s="1"/>
  <c r="Z43" i="56"/>
  <c r="AA41" i="56"/>
  <c r="AD41" i="56" s="1"/>
  <c r="Z41" i="56"/>
  <c r="AA40" i="56"/>
  <c r="AD40" i="56" s="1"/>
  <c r="Z40" i="56"/>
  <c r="AA39" i="56"/>
  <c r="AD39" i="56" s="1"/>
  <c r="Z39" i="56"/>
  <c r="AA38" i="56"/>
  <c r="AC38" i="56" s="1"/>
  <c r="Z38" i="56"/>
  <c r="AA37" i="56"/>
  <c r="Z37" i="56"/>
  <c r="AA36" i="56"/>
  <c r="Z36" i="56"/>
  <c r="AA35" i="56"/>
  <c r="Z35" i="56"/>
  <c r="AA34" i="56"/>
  <c r="Z34" i="56"/>
  <c r="AA33" i="56"/>
  <c r="Z33" i="56"/>
  <c r="AA32" i="56"/>
  <c r="Z32" i="56"/>
  <c r="AA31" i="56"/>
  <c r="Z31" i="56"/>
  <c r="AA30" i="56"/>
  <c r="Z30" i="56"/>
  <c r="AA29" i="56"/>
  <c r="AC29" i="56" s="1"/>
  <c r="Z29" i="56"/>
  <c r="AA28" i="56"/>
  <c r="Z28" i="56"/>
  <c r="AA27" i="56"/>
  <c r="Z27" i="56"/>
  <c r="AA26" i="56"/>
  <c r="Z26" i="56"/>
  <c r="AA25" i="56"/>
  <c r="Z25" i="56"/>
  <c r="AA24" i="56"/>
  <c r="Z24" i="56"/>
  <c r="AA23" i="56"/>
  <c r="Z23" i="56"/>
  <c r="AA22" i="56"/>
  <c r="Z22" i="56"/>
  <c r="AA21" i="56"/>
  <c r="Z21" i="56"/>
  <c r="AA20" i="56"/>
  <c r="Z20" i="56"/>
  <c r="AA19" i="56"/>
  <c r="Z19" i="56"/>
  <c r="AA18" i="56"/>
  <c r="Z18" i="56"/>
  <c r="AA17" i="56"/>
  <c r="Z17" i="56"/>
  <c r="AA16" i="56"/>
  <c r="Z16" i="56"/>
  <c r="AA15" i="56"/>
  <c r="Z15" i="56"/>
  <c r="AA14" i="56"/>
  <c r="Z14" i="56"/>
  <c r="AA13" i="56"/>
  <c r="Z13" i="56"/>
  <c r="AA12" i="56"/>
  <c r="Z12" i="56"/>
  <c r="AA11" i="56"/>
  <c r="Z11" i="56"/>
  <c r="AA10" i="56"/>
  <c r="Z10" i="56"/>
  <c r="AA9" i="56"/>
  <c r="Z9" i="56"/>
  <c r="J32" i="173" l="1"/>
  <c r="AC40" i="56"/>
  <c r="AC43" i="55"/>
  <c r="AC19" i="31"/>
  <c r="AC44" i="56"/>
  <c r="AD43" i="56"/>
  <c r="AC35" i="55"/>
  <c r="AC41" i="56"/>
  <c r="AD38" i="56"/>
  <c r="AC23" i="31"/>
  <c r="AD23" i="31" s="1"/>
  <c r="AC27" i="31"/>
  <c r="AC35" i="31"/>
  <c r="AC39" i="31"/>
  <c r="AC26" i="31"/>
  <c r="AD29" i="56"/>
  <c r="AC43" i="31"/>
  <c r="AC39" i="56"/>
  <c r="AD42" i="56"/>
  <c r="AC30" i="55"/>
  <c r="AD30" i="55" s="1"/>
  <c r="AC39" i="55"/>
  <c r="AC38" i="55"/>
  <c r="AD26" i="31"/>
  <c r="AD19" i="31"/>
  <c r="AD27" i="31"/>
  <c r="AC18" i="31"/>
  <c r="AD18" i="31" s="1"/>
  <c r="AC14" i="31"/>
  <c r="AD14" i="31" s="1"/>
  <c r="AC11" i="31"/>
  <c r="AD11" i="31" s="1"/>
  <c r="AC10" i="31"/>
  <c r="AD10" i="31" s="1"/>
  <c r="AD35" i="31"/>
  <c r="AC31" i="31"/>
  <c r="AD31" i="31" s="1"/>
  <c r="AC22" i="31"/>
  <c r="AD22" i="31" s="1"/>
  <c r="AC15" i="31"/>
  <c r="AD15" i="31" s="1"/>
  <c r="AC34" i="55"/>
  <c r="AD34" i="55" s="1"/>
  <c r="AC29" i="55"/>
  <c r="AD29" i="55" s="1"/>
  <c r="AC12" i="55"/>
  <c r="AD12" i="55" s="1"/>
  <c r="AC20" i="55"/>
  <c r="AD20" i="55" s="1"/>
  <c r="AC11" i="55"/>
  <c r="AD11" i="55" s="1"/>
  <c r="AC17" i="55"/>
  <c r="AD17" i="55" s="1"/>
  <c r="AC25" i="55"/>
  <c r="AD25" i="55" s="1"/>
  <c r="AC31" i="55"/>
  <c r="AD31" i="55" s="1"/>
  <c r="AC42" i="55"/>
  <c r="AC14" i="55"/>
  <c r="AD14" i="55" s="1"/>
  <c r="AC18" i="55"/>
  <c r="AD18" i="55" s="1"/>
  <c r="AC22" i="55"/>
  <c r="AD22" i="55" s="1"/>
  <c r="AC26" i="55"/>
  <c r="AD26" i="55" s="1"/>
  <c r="AC13" i="55"/>
  <c r="AD13" i="55" s="1"/>
  <c r="AC21" i="55"/>
  <c r="AD21" i="55" s="1"/>
  <c r="AC33" i="55"/>
  <c r="AC37" i="55"/>
  <c r="AD37" i="55" s="1"/>
  <c r="AD41" i="55"/>
  <c r="AC19" i="55"/>
  <c r="AD19" i="55" s="1"/>
  <c r="AC10" i="55"/>
  <c r="AD10" i="55" s="1"/>
  <c r="AD33" i="55"/>
  <c r="AC30" i="31"/>
  <c r="AD30" i="31" s="1"/>
  <c r="AC34" i="31"/>
  <c r="AD34" i="31" s="1"/>
  <c r="AC38" i="31"/>
  <c r="AC42" i="31"/>
  <c r="AC9" i="31"/>
  <c r="AD9" i="31" s="1"/>
  <c r="AC13" i="31"/>
  <c r="AD13" i="31" s="1"/>
  <c r="AC17" i="31"/>
  <c r="AD17" i="31" s="1"/>
  <c r="AC21" i="31"/>
  <c r="AD21" i="31" s="1"/>
  <c r="AC25" i="31"/>
  <c r="AD25" i="31" s="1"/>
  <c r="AC29" i="31"/>
  <c r="AD29" i="31" s="1"/>
  <c r="AC33" i="31"/>
  <c r="AD33" i="31" s="1"/>
  <c r="AC37" i="31"/>
  <c r="AD37" i="31" s="1"/>
  <c r="AC41" i="31"/>
  <c r="AC12" i="31"/>
  <c r="AD12" i="31" s="1"/>
  <c r="AC16" i="31"/>
  <c r="AD16" i="31" s="1"/>
  <c r="AC20" i="31"/>
  <c r="AD20" i="31" s="1"/>
  <c r="AC24" i="31"/>
  <c r="AD24" i="31" s="1"/>
  <c r="AC28" i="31"/>
  <c r="AD28" i="31" s="1"/>
  <c r="AC32" i="31"/>
  <c r="AD32" i="31" s="1"/>
  <c r="AC36" i="31"/>
  <c r="AD36" i="31" s="1"/>
  <c r="AC40" i="31"/>
  <c r="AC44" i="31"/>
  <c r="AD35" i="55"/>
  <c r="AC15" i="55"/>
  <c r="AD15" i="55" s="1"/>
  <c r="AC23" i="55"/>
  <c r="AD23" i="55" s="1"/>
  <c r="AC27" i="55"/>
  <c r="AD27" i="55" s="1"/>
  <c r="AC9" i="55"/>
  <c r="AC16" i="55"/>
  <c r="AD16" i="55" s="1"/>
  <c r="AC24" i="55"/>
  <c r="AD24" i="55" s="1"/>
  <c r="AC28" i="55"/>
  <c r="AD28" i="55" s="1"/>
  <c r="AC32" i="55"/>
  <c r="AD32" i="55" s="1"/>
  <c r="AC36" i="55"/>
  <c r="AD36" i="55" s="1"/>
  <c r="AC40" i="55"/>
  <c r="AC44" i="55"/>
  <c r="AD32" i="56"/>
  <c r="AD27" i="56"/>
  <c r="AD11" i="56"/>
  <c r="AC19" i="56"/>
  <c r="AD19" i="56" s="1"/>
  <c r="AC31" i="56"/>
  <c r="AD31" i="56" s="1"/>
  <c r="AC15" i="56"/>
  <c r="AD15" i="56" s="1"/>
  <c r="AC35" i="56"/>
  <c r="AD35" i="56" s="1"/>
  <c r="AC11" i="56"/>
  <c r="AC27" i="56"/>
  <c r="AC25" i="56"/>
  <c r="AD25" i="56" s="1"/>
  <c r="AC18" i="56"/>
  <c r="AD18" i="56" s="1"/>
  <c r="AC26" i="56"/>
  <c r="AD26" i="56" s="1"/>
  <c r="AC34" i="56"/>
  <c r="AD34" i="56" s="1"/>
  <c r="AC24" i="56"/>
  <c r="AD24" i="56" s="1"/>
  <c r="AC28" i="56"/>
  <c r="AD28" i="56" s="1"/>
  <c r="AC32" i="56"/>
  <c r="AC16" i="56"/>
  <c r="AD16" i="56" s="1"/>
  <c r="AC13" i="56"/>
  <c r="AD13" i="56" s="1"/>
  <c r="AC33" i="56"/>
  <c r="AD33" i="56" s="1"/>
  <c r="AC30" i="56"/>
  <c r="AD30" i="56" s="1"/>
  <c r="AC23" i="56"/>
  <c r="AD23" i="56" s="1"/>
  <c r="AC10" i="56"/>
  <c r="AD10" i="56" s="1"/>
  <c r="AC21" i="56"/>
  <c r="AD21" i="56" s="1"/>
  <c r="AC36" i="56"/>
  <c r="AD36" i="56" s="1"/>
  <c r="AC12" i="56"/>
  <c r="AD12" i="56" s="1"/>
  <c r="AC14" i="56"/>
  <c r="AD14" i="56" s="1"/>
  <c r="AC17" i="56"/>
  <c r="AD17" i="56" s="1"/>
  <c r="AC20" i="56"/>
  <c r="AD20" i="56" s="1"/>
  <c r="AC22" i="56"/>
  <c r="AD22" i="56" s="1"/>
  <c r="AC37" i="56"/>
  <c r="AD37" i="56" s="1"/>
  <c r="AC9" i="56"/>
  <c r="AD9" i="56" s="1"/>
  <c r="AB13" i="170" l="1"/>
  <c r="AA13" i="170"/>
  <c r="AD9" i="55"/>
  <c r="K5" i="149"/>
  <c r="K6" i="149"/>
  <c r="K7" i="149"/>
  <c r="K8" i="149"/>
  <c r="K9" i="149"/>
  <c r="K10" i="149"/>
  <c r="K11" i="149"/>
  <c r="K12" i="149"/>
  <c r="K13" i="149"/>
  <c r="K14" i="149"/>
  <c r="K15" i="149"/>
  <c r="K16" i="149"/>
  <c r="K17" i="149"/>
  <c r="K18" i="149"/>
  <c r="K19" i="149"/>
  <c r="K20" i="149"/>
  <c r="K21" i="149"/>
  <c r="K22" i="149"/>
  <c r="K23" i="149"/>
  <c r="K24" i="149"/>
  <c r="K25" i="149"/>
  <c r="K26" i="149"/>
  <c r="K27" i="149"/>
  <c r="K28" i="149"/>
  <c r="K29" i="149"/>
  <c r="K30" i="149"/>
  <c r="K31" i="149"/>
  <c r="K32" i="149"/>
  <c r="K33" i="149"/>
  <c r="K34" i="149"/>
  <c r="K35" i="149"/>
  <c r="K36" i="149"/>
  <c r="K37" i="149"/>
  <c r="K38" i="149"/>
  <c r="K39" i="149"/>
  <c r="K40" i="149"/>
  <c r="F8" i="169"/>
  <c r="F9" i="169"/>
  <c r="F10" i="169"/>
  <c r="F11" i="169"/>
  <c r="F12" i="169"/>
  <c r="F13" i="169"/>
  <c r="F14" i="169"/>
  <c r="F15" i="169"/>
  <c r="F16" i="169"/>
  <c r="F17" i="169"/>
  <c r="F18" i="169"/>
  <c r="F19" i="169"/>
  <c r="F20" i="169"/>
  <c r="F21" i="169"/>
  <c r="F22" i="169"/>
  <c r="F23" i="169"/>
  <c r="F24" i="169"/>
  <c r="F25" i="169"/>
  <c r="F26" i="169"/>
  <c r="F27" i="169"/>
  <c r="F28" i="169"/>
  <c r="F29" i="169"/>
  <c r="F30" i="169"/>
  <c r="F31" i="169"/>
  <c r="F32" i="169"/>
  <c r="F33" i="169"/>
  <c r="F34" i="169"/>
  <c r="F35" i="169"/>
  <c r="F36" i="169"/>
  <c r="F37" i="169"/>
  <c r="F38" i="169"/>
  <c r="F39" i="169"/>
  <c r="F40" i="169"/>
  <c r="F41" i="169"/>
  <c r="F42" i="169"/>
  <c r="F7" i="169"/>
  <c r="G2" i="169"/>
  <c r="F2" i="169"/>
  <c r="C2" i="169"/>
  <c r="K1" i="169"/>
  <c r="D42" i="169"/>
  <c r="D41" i="169"/>
  <c r="D40" i="169"/>
  <c r="D39" i="169"/>
  <c r="D38" i="169"/>
  <c r="D37" i="169"/>
  <c r="D36" i="169"/>
  <c r="D35" i="169"/>
  <c r="D34" i="169"/>
  <c r="D33" i="169"/>
  <c r="D32" i="169"/>
  <c r="D31" i="169"/>
  <c r="D30" i="169"/>
  <c r="D29" i="169"/>
  <c r="D28" i="169"/>
  <c r="D27" i="169"/>
  <c r="D26" i="169"/>
  <c r="D25" i="169"/>
  <c r="D24" i="169"/>
  <c r="D23" i="169"/>
  <c r="D22" i="169"/>
  <c r="D21" i="169"/>
  <c r="D20" i="169"/>
  <c r="D19" i="169"/>
  <c r="D18" i="169"/>
  <c r="D17" i="169"/>
  <c r="D16" i="169"/>
  <c r="D15" i="169"/>
  <c r="D14" i="169"/>
  <c r="D13" i="169"/>
  <c r="D12" i="169"/>
  <c r="D11" i="169"/>
  <c r="D10" i="169"/>
  <c r="D9" i="169"/>
  <c r="D8" i="169"/>
  <c r="D7" i="169"/>
  <c r="Y13" i="170" l="1"/>
  <c r="H41" i="127" l="1"/>
  <c r="Z42" i="127" l="1"/>
  <c r="AA42" i="127" s="1"/>
  <c r="Z41" i="127"/>
  <c r="AA41" i="127" s="1"/>
  <c r="Z40" i="127"/>
  <c r="AA40" i="127" s="1"/>
  <c r="Z39" i="127"/>
  <c r="AA39" i="127" s="1"/>
  <c r="Z38" i="127"/>
  <c r="AA38" i="127" s="1"/>
  <c r="Z37" i="127"/>
  <c r="AA37" i="127" s="1"/>
  <c r="Z36" i="127"/>
  <c r="AA36" i="127" s="1"/>
  <c r="Z35" i="127"/>
  <c r="AA35" i="127" s="1"/>
  <c r="Z34" i="127"/>
  <c r="AA34" i="127" s="1"/>
  <c r="Z33" i="127"/>
  <c r="AA33" i="127" s="1"/>
  <c r="Z32" i="127"/>
  <c r="AA32" i="127" s="1"/>
  <c r="Z31" i="127"/>
  <c r="AA31" i="127" s="1"/>
  <c r="Z30" i="127"/>
  <c r="AA30" i="127" s="1"/>
  <c r="Z29" i="127"/>
  <c r="AA29" i="127" s="1"/>
  <c r="Z28" i="127"/>
  <c r="AA28" i="127" s="1"/>
  <c r="Z27" i="127"/>
  <c r="AA27" i="127" s="1"/>
  <c r="Z26" i="127"/>
  <c r="AA26" i="127" s="1"/>
  <c r="Z25" i="127"/>
  <c r="AA25" i="127" s="1"/>
  <c r="Z24" i="127"/>
  <c r="AA24" i="127" s="1"/>
  <c r="Z23" i="127"/>
  <c r="AA23" i="127" s="1"/>
  <c r="Z22" i="127"/>
  <c r="AA22" i="127" s="1"/>
  <c r="Z21" i="127"/>
  <c r="AA21" i="127" s="1"/>
  <c r="Z20" i="127"/>
  <c r="AA20" i="127" s="1"/>
  <c r="Z19" i="127"/>
  <c r="AA19" i="127" s="1"/>
  <c r="Z18" i="127"/>
  <c r="AA18" i="127" s="1"/>
  <c r="Z17" i="127"/>
  <c r="AA17" i="127" s="1"/>
  <c r="Z16" i="127"/>
  <c r="AA16" i="127" s="1"/>
  <c r="Z15" i="127"/>
  <c r="AA15" i="127" s="1"/>
  <c r="Z14" i="127"/>
  <c r="AA14" i="127" s="1"/>
  <c r="Z13" i="127"/>
  <c r="AA13" i="127" s="1"/>
  <c r="Z12" i="127"/>
  <c r="AA12" i="127" s="1"/>
  <c r="Z11" i="127"/>
  <c r="AA11" i="127" s="1"/>
  <c r="Z10" i="127"/>
  <c r="AA10" i="127" s="1"/>
  <c r="Z9" i="127"/>
  <c r="AA9" i="127" s="1"/>
  <c r="Z8" i="127"/>
  <c r="AA8" i="127" s="1"/>
  <c r="Z7" i="127"/>
  <c r="AA7" i="127" s="1"/>
  <c r="V42" i="127"/>
  <c r="W42" i="127" s="1"/>
  <c r="V41" i="127"/>
  <c r="W41" i="127" s="1"/>
  <c r="V40" i="127"/>
  <c r="W40" i="127" s="1"/>
  <c r="V39" i="127"/>
  <c r="W39" i="127" s="1"/>
  <c r="V38" i="127"/>
  <c r="W38" i="127" s="1"/>
  <c r="V37" i="127"/>
  <c r="W37" i="127" s="1"/>
  <c r="V36" i="127"/>
  <c r="W36" i="127" s="1"/>
  <c r="V35" i="127"/>
  <c r="W35" i="127" s="1"/>
  <c r="V34" i="127"/>
  <c r="W34" i="127" s="1"/>
  <c r="V33" i="127"/>
  <c r="W33" i="127" s="1"/>
  <c r="V32" i="127"/>
  <c r="W32" i="127" s="1"/>
  <c r="V31" i="127"/>
  <c r="W31" i="127" s="1"/>
  <c r="V30" i="127"/>
  <c r="W30" i="127" s="1"/>
  <c r="V29" i="127"/>
  <c r="W29" i="127" s="1"/>
  <c r="V28" i="127"/>
  <c r="W28" i="127" s="1"/>
  <c r="V27" i="127"/>
  <c r="W27" i="127" s="1"/>
  <c r="V26" i="127"/>
  <c r="W26" i="127" s="1"/>
  <c r="V25" i="127"/>
  <c r="W25" i="127" s="1"/>
  <c r="V24" i="127"/>
  <c r="W24" i="127" s="1"/>
  <c r="V23" i="127"/>
  <c r="W23" i="127" s="1"/>
  <c r="V22" i="127"/>
  <c r="W22" i="127" s="1"/>
  <c r="V21" i="127"/>
  <c r="W21" i="127" s="1"/>
  <c r="V20" i="127"/>
  <c r="W20" i="127" s="1"/>
  <c r="V19" i="127"/>
  <c r="W19" i="127" s="1"/>
  <c r="V18" i="127"/>
  <c r="W18" i="127" s="1"/>
  <c r="V17" i="127"/>
  <c r="W17" i="127" s="1"/>
  <c r="V16" i="127"/>
  <c r="W16" i="127" s="1"/>
  <c r="V15" i="127"/>
  <c r="W15" i="127" s="1"/>
  <c r="V14" i="127"/>
  <c r="W14" i="127" s="1"/>
  <c r="V13" i="127"/>
  <c r="W13" i="127" s="1"/>
  <c r="V12" i="127"/>
  <c r="W12" i="127" s="1"/>
  <c r="V11" i="127"/>
  <c r="W11" i="127" s="1"/>
  <c r="V10" i="127"/>
  <c r="W10" i="127" s="1"/>
  <c r="V9" i="127"/>
  <c r="W9" i="127" s="1"/>
  <c r="V8" i="127"/>
  <c r="W8" i="127" s="1"/>
  <c r="V7" i="127"/>
  <c r="W7" i="127" s="1"/>
  <c r="R42" i="127"/>
  <c r="S42" i="127" s="1"/>
  <c r="R41" i="127"/>
  <c r="S41" i="127" s="1"/>
  <c r="R40" i="127"/>
  <c r="S40" i="127" s="1"/>
  <c r="R39" i="127"/>
  <c r="S39" i="127" s="1"/>
  <c r="R38" i="127"/>
  <c r="S38" i="127" s="1"/>
  <c r="R37" i="127"/>
  <c r="S37" i="127" s="1"/>
  <c r="R36" i="127"/>
  <c r="S36" i="127" s="1"/>
  <c r="R35" i="127"/>
  <c r="S35" i="127" s="1"/>
  <c r="R34" i="127"/>
  <c r="S34" i="127" s="1"/>
  <c r="R33" i="127"/>
  <c r="S33" i="127" s="1"/>
  <c r="R32" i="127"/>
  <c r="S32" i="127" s="1"/>
  <c r="R31" i="127"/>
  <c r="S31" i="127" s="1"/>
  <c r="R30" i="127"/>
  <c r="S30" i="127" s="1"/>
  <c r="R29" i="127"/>
  <c r="S29" i="127" s="1"/>
  <c r="R28" i="127"/>
  <c r="S28" i="127" s="1"/>
  <c r="R27" i="127"/>
  <c r="S27" i="127" s="1"/>
  <c r="R26" i="127"/>
  <c r="S26" i="127" s="1"/>
  <c r="R25" i="127"/>
  <c r="S25" i="127" s="1"/>
  <c r="R24" i="127"/>
  <c r="S24" i="127" s="1"/>
  <c r="R23" i="127"/>
  <c r="S23" i="127" s="1"/>
  <c r="R22" i="127"/>
  <c r="S22" i="127" s="1"/>
  <c r="R21" i="127"/>
  <c r="S21" i="127" s="1"/>
  <c r="R20" i="127"/>
  <c r="S20" i="127" s="1"/>
  <c r="R19" i="127"/>
  <c r="S19" i="127" s="1"/>
  <c r="R18" i="127"/>
  <c r="S18" i="127" s="1"/>
  <c r="R17" i="127"/>
  <c r="S17" i="127" s="1"/>
  <c r="R16" i="127"/>
  <c r="S16" i="127" s="1"/>
  <c r="R15" i="127"/>
  <c r="S15" i="127" s="1"/>
  <c r="R14" i="127"/>
  <c r="S14" i="127" s="1"/>
  <c r="R13" i="127"/>
  <c r="S13" i="127" s="1"/>
  <c r="R12" i="127"/>
  <c r="S12" i="127" s="1"/>
  <c r="R11" i="127"/>
  <c r="S11" i="127" s="1"/>
  <c r="R10" i="127"/>
  <c r="S10" i="127" s="1"/>
  <c r="R9" i="127"/>
  <c r="S9" i="127" s="1"/>
  <c r="R8" i="127"/>
  <c r="S8" i="127" s="1"/>
  <c r="R7" i="127"/>
  <c r="S7" i="127" s="1"/>
  <c r="N42" i="127"/>
  <c r="O42" i="127" s="1"/>
  <c r="N41" i="127"/>
  <c r="O41" i="127" s="1"/>
  <c r="N40" i="127"/>
  <c r="O40" i="127" s="1"/>
  <c r="N39" i="127"/>
  <c r="O39" i="127" s="1"/>
  <c r="N38" i="127"/>
  <c r="O38" i="127" s="1"/>
  <c r="N37" i="127"/>
  <c r="O37" i="127" s="1"/>
  <c r="N36" i="127"/>
  <c r="O36" i="127" s="1"/>
  <c r="N35" i="127"/>
  <c r="O35" i="127" s="1"/>
  <c r="N34" i="127"/>
  <c r="O34" i="127" s="1"/>
  <c r="N33" i="127"/>
  <c r="O33" i="127" s="1"/>
  <c r="N32" i="127"/>
  <c r="O32" i="127" s="1"/>
  <c r="N31" i="127"/>
  <c r="O31" i="127" s="1"/>
  <c r="N30" i="127"/>
  <c r="O30" i="127" s="1"/>
  <c r="N29" i="127"/>
  <c r="O29" i="127" s="1"/>
  <c r="N28" i="127"/>
  <c r="O28" i="127" s="1"/>
  <c r="N27" i="127"/>
  <c r="O27" i="127" s="1"/>
  <c r="N26" i="127"/>
  <c r="O26" i="127" s="1"/>
  <c r="N25" i="127"/>
  <c r="O25" i="127" s="1"/>
  <c r="N24" i="127"/>
  <c r="O24" i="127" s="1"/>
  <c r="N23" i="127"/>
  <c r="O23" i="127" s="1"/>
  <c r="N22" i="127"/>
  <c r="O22" i="127" s="1"/>
  <c r="N21" i="127"/>
  <c r="O21" i="127" s="1"/>
  <c r="N20" i="127"/>
  <c r="O20" i="127" s="1"/>
  <c r="N19" i="127"/>
  <c r="O19" i="127" s="1"/>
  <c r="N18" i="127"/>
  <c r="O18" i="127" s="1"/>
  <c r="N17" i="127"/>
  <c r="O17" i="127" s="1"/>
  <c r="N16" i="127"/>
  <c r="O16" i="127" s="1"/>
  <c r="N15" i="127"/>
  <c r="O15" i="127" s="1"/>
  <c r="N14" i="127"/>
  <c r="O14" i="127" s="1"/>
  <c r="N13" i="127"/>
  <c r="O13" i="127" s="1"/>
  <c r="N12" i="127"/>
  <c r="O12" i="127" s="1"/>
  <c r="N11" i="127"/>
  <c r="O11" i="127" s="1"/>
  <c r="N10" i="127"/>
  <c r="O10" i="127" s="1"/>
  <c r="N9" i="127"/>
  <c r="O9" i="127" s="1"/>
  <c r="N8" i="127"/>
  <c r="O8" i="127" s="1"/>
  <c r="N7" i="127"/>
  <c r="O7" i="127" s="1"/>
  <c r="J8" i="127"/>
  <c r="K8" i="127" s="1"/>
  <c r="J9" i="127"/>
  <c r="K9" i="127" s="1"/>
  <c r="J10" i="127"/>
  <c r="K10" i="127" s="1"/>
  <c r="J11" i="127"/>
  <c r="K11" i="127" s="1"/>
  <c r="J12" i="127"/>
  <c r="K12" i="127" s="1"/>
  <c r="J13" i="127"/>
  <c r="K13" i="127" s="1"/>
  <c r="J14" i="127"/>
  <c r="K14" i="127" s="1"/>
  <c r="J15" i="127"/>
  <c r="K15" i="127" s="1"/>
  <c r="J16" i="127"/>
  <c r="K16" i="127" s="1"/>
  <c r="J17" i="127"/>
  <c r="K17" i="127" s="1"/>
  <c r="J18" i="127"/>
  <c r="K18" i="127" s="1"/>
  <c r="J19" i="127"/>
  <c r="K19" i="127" s="1"/>
  <c r="J20" i="127"/>
  <c r="K20" i="127" s="1"/>
  <c r="J21" i="127"/>
  <c r="K21" i="127" s="1"/>
  <c r="J22" i="127"/>
  <c r="K22" i="127" s="1"/>
  <c r="J23" i="127"/>
  <c r="K23" i="127" s="1"/>
  <c r="J24" i="127"/>
  <c r="K24" i="127" s="1"/>
  <c r="J25" i="127"/>
  <c r="K25" i="127" s="1"/>
  <c r="J26" i="127"/>
  <c r="K26" i="127" s="1"/>
  <c r="J27" i="127"/>
  <c r="K27" i="127" s="1"/>
  <c r="J28" i="127"/>
  <c r="K28" i="127" s="1"/>
  <c r="J29" i="127"/>
  <c r="K29" i="127" s="1"/>
  <c r="J30" i="127"/>
  <c r="K30" i="127" s="1"/>
  <c r="J31" i="127"/>
  <c r="K31" i="127" s="1"/>
  <c r="J32" i="127"/>
  <c r="K32" i="127" s="1"/>
  <c r="J33" i="127"/>
  <c r="K33" i="127" s="1"/>
  <c r="J34" i="127"/>
  <c r="K34" i="127" s="1"/>
  <c r="J35" i="127"/>
  <c r="K35" i="127" s="1"/>
  <c r="J36" i="127"/>
  <c r="K36" i="127" s="1"/>
  <c r="J37" i="127"/>
  <c r="K37" i="127" s="1"/>
  <c r="J38" i="127"/>
  <c r="K38" i="127" s="1"/>
  <c r="J39" i="127"/>
  <c r="K39" i="127" s="1"/>
  <c r="J40" i="127"/>
  <c r="K40" i="127" s="1"/>
  <c r="J41" i="127"/>
  <c r="K41" i="127" s="1"/>
  <c r="J42" i="127"/>
  <c r="K42" i="127" s="1"/>
  <c r="J7" i="127"/>
  <c r="K7" i="127" s="1"/>
  <c r="C41" i="127"/>
  <c r="C42" i="127"/>
  <c r="F8" i="127"/>
  <c r="F9" i="127"/>
  <c r="F10" i="127"/>
  <c r="F11" i="127"/>
  <c r="F12" i="127"/>
  <c r="F13" i="127"/>
  <c r="F14" i="127"/>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2" i="127"/>
  <c r="F7" i="127"/>
  <c r="Z13" i="170" s="1"/>
  <c r="G42" i="127"/>
  <c r="H42" i="127" s="1"/>
  <c r="G40" i="127"/>
  <c r="H40" i="127" s="1"/>
  <c r="G39" i="127"/>
  <c r="H39" i="127" s="1"/>
  <c r="G38" i="127"/>
  <c r="H38" i="127" s="1"/>
  <c r="G37" i="127"/>
  <c r="H37" i="127" s="1"/>
  <c r="G36" i="127"/>
  <c r="H36" i="127" s="1"/>
  <c r="G35" i="127"/>
  <c r="H35" i="127" s="1"/>
  <c r="G34" i="127"/>
  <c r="H34" i="127" s="1"/>
  <c r="G33" i="127"/>
  <c r="H33" i="127" s="1"/>
  <c r="G32" i="127"/>
  <c r="H32" i="127" s="1"/>
  <c r="G31" i="127"/>
  <c r="H31" i="127" s="1"/>
  <c r="G30" i="127"/>
  <c r="H30" i="127" s="1"/>
  <c r="G29" i="127"/>
  <c r="H29" i="127" s="1"/>
  <c r="G28" i="127"/>
  <c r="H28" i="127" s="1"/>
  <c r="G27" i="127"/>
  <c r="H27" i="127" s="1"/>
  <c r="G26" i="127"/>
  <c r="H26" i="127" s="1"/>
  <c r="G25" i="127"/>
  <c r="H25" i="127" s="1"/>
  <c r="G24" i="127"/>
  <c r="H24" i="127" s="1"/>
  <c r="G23" i="127"/>
  <c r="H23" i="127" s="1"/>
  <c r="G22" i="127"/>
  <c r="H22" i="127" s="1"/>
  <c r="G21" i="127"/>
  <c r="H21" i="127" s="1"/>
  <c r="G20" i="127"/>
  <c r="H20" i="127" s="1"/>
  <c r="G19" i="127"/>
  <c r="H19" i="127" s="1"/>
  <c r="G18" i="127"/>
  <c r="H18" i="127" s="1"/>
  <c r="G17" i="127"/>
  <c r="H17" i="127" s="1"/>
  <c r="G16" i="127"/>
  <c r="H16" i="127" s="1"/>
  <c r="G15" i="127"/>
  <c r="H15" i="127" s="1"/>
  <c r="G14" i="127"/>
  <c r="H14" i="127" s="1"/>
  <c r="G13" i="127"/>
  <c r="H13" i="127" s="1"/>
  <c r="G12" i="127"/>
  <c r="H12" i="127" s="1"/>
  <c r="G11" i="127"/>
  <c r="H11" i="127" s="1"/>
  <c r="G10" i="127"/>
  <c r="H10" i="127" s="1"/>
  <c r="G9" i="127"/>
  <c r="H9" i="127" s="1"/>
  <c r="G8" i="127"/>
  <c r="H8" i="127" s="1"/>
  <c r="G7" i="127"/>
  <c r="H7" i="127" s="1"/>
  <c r="W43" i="127" l="1"/>
  <c r="V43" i="127" s="1"/>
  <c r="H43" i="127"/>
  <c r="G43" i="127" s="1"/>
  <c r="AA43" i="127"/>
  <c r="Z43" i="127" s="1"/>
  <c r="K43" i="127"/>
  <c r="J43" i="127" s="1"/>
  <c r="O43" i="127"/>
  <c r="N43" i="127" s="1"/>
  <c r="S43" i="127"/>
  <c r="R43" i="127" s="1"/>
  <c r="AN14" i="166"/>
  <c r="AN13" i="166"/>
  <c r="AN12" i="166"/>
  <c r="AO12" i="166" s="1"/>
  <c r="AN11" i="166"/>
  <c r="AO11" i="166" s="1"/>
  <c r="AN10" i="166"/>
  <c r="AO10" i="166" s="1"/>
  <c r="AN9" i="166"/>
  <c r="AN8" i="166"/>
  <c r="AO8" i="166" s="1"/>
  <c r="AN7" i="166"/>
  <c r="AO7" i="166" s="1"/>
  <c r="AN6" i="166"/>
  <c r="AN5" i="166"/>
  <c r="AO5" i="166" s="1"/>
  <c r="C4" i="166"/>
  <c r="C5" i="166"/>
  <c r="C6" i="166"/>
  <c r="C7" i="166"/>
  <c r="C8" i="166"/>
  <c r="C9" i="166"/>
  <c r="C10" i="166"/>
  <c r="C11" i="166"/>
  <c r="C12" i="166"/>
  <c r="C13" i="166"/>
  <c r="C14" i="166"/>
  <c r="C15" i="166"/>
  <c r="C16" i="166"/>
  <c r="C17" i="166"/>
  <c r="C18" i="166"/>
  <c r="C19" i="166"/>
  <c r="C20" i="166"/>
  <c r="C21" i="166"/>
  <c r="C22" i="166"/>
  <c r="C23" i="166"/>
  <c r="C24" i="166"/>
  <c r="C25" i="166"/>
  <c r="C26" i="166"/>
  <c r="C27" i="166"/>
  <c r="C28" i="166"/>
  <c r="C29" i="166"/>
  <c r="C30" i="166"/>
  <c r="C31" i="166"/>
  <c r="C32" i="166"/>
  <c r="C33" i="166"/>
  <c r="C34" i="166"/>
  <c r="C35" i="166"/>
  <c r="C36" i="166"/>
  <c r="C37" i="166"/>
  <c r="C38" i="166"/>
  <c r="C39" i="166"/>
  <c r="O78" i="166"/>
  <c r="P42" i="166"/>
  <c r="P41" i="166"/>
  <c r="S77" i="166"/>
  <c r="R39" i="166"/>
  <c r="R77" i="166" s="1"/>
  <c r="M39" i="166"/>
  <c r="L39" i="166"/>
  <c r="I39" i="166"/>
  <c r="H39" i="166"/>
  <c r="S76" i="166"/>
  <c r="R38" i="166"/>
  <c r="R76" i="166" s="1"/>
  <c r="M38" i="166"/>
  <c r="L38" i="166"/>
  <c r="I38" i="166"/>
  <c r="H38" i="166"/>
  <c r="S75" i="166"/>
  <c r="R37" i="166"/>
  <c r="R75" i="166" s="1"/>
  <c r="M37" i="166"/>
  <c r="L37" i="166"/>
  <c r="I37" i="166"/>
  <c r="H37" i="166"/>
  <c r="S74" i="166"/>
  <c r="R36" i="166"/>
  <c r="R74" i="166" s="1"/>
  <c r="M36" i="166"/>
  <c r="L36" i="166"/>
  <c r="I36" i="166"/>
  <c r="H36" i="166"/>
  <c r="S73" i="166"/>
  <c r="R35" i="166"/>
  <c r="R73" i="166" s="1"/>
  <c r="M35" i="166"/>
  <c r="L35" i="166"/>
  <c r="I35" i="166"/>
  <c r="H35" i="166"/>
  <c r="S72" i="166"/>
  <c r="R34" i="166"/>
  <c r="R72" i="166" s="1"/>
  <c r="M34" i="166"/>
  <c r="L34" i="166"/>
  <c r="I34" i="166"/>
  <c r="H34" i="166"/>
  <c r="S71" i="166"/>
  <c r="R33" i="166"/>
  <c r="R71" i="166" s="1"/>
  <c r="M33" i="166"/>
  <c r="L33" i="166"/>
  <c r="I33" i="166"/>
  <c r="H33" i="166"/>
  <c r="S70" i="166"/>
  <c r="R32" i="166"/>
  <c r="R70" i="166" s="1"/>
  <c r="M32" i="166"/>
  <c r="L32" i="166"/>
  <c r="I32" i="166"/>
  <c r="H32" i="166"/>
  <c r="S69" i="166"/>
  <c r="R31" i="166"/>
  <c r="R69" i="166" s="1"/>
  <c r="M31" i="166"/>
  <c r="L31" i="166"/>
  <c r="I31" i="166"/>
  <c r="H31" i="166"/>
  <c r="S68" i="166"/>
  <c r="R30" i="166"/>
  <c r="R68" i="166" s="1"/>
  <c r="M30" i="166"/>
  <c r="L30" i="166"/>
  <c r="I30" i="166"/>
  <c r="H30" i="166"/>
  <c r="S67" i="166"/>
  <c r="R29" i="166"/>
  <c r="R67" i="166" s="1"/>
  <c r="M29" i="166"/>
  <c r="L29" i="166"/>
  <c r="I29" i="166"/>
  <c r="H29" i="166"/>
  <c r="S66" i="166"/>
  <c r="R28" i="166"/>
  <c r="R66" i="166" s="1"/>
  <c r="M28" i="166"/>
  <c r="L28" i="166"/>
  <c r="I28" i="166"/>
  <c r="H28" i="166"/>
  <c r="S65" i="166"/>
  <c r="R27" i="166"/>
  <c r="R65" i="166" s="1"/>
  <c r="M27" i="166"/>
  <c r="L27" i="166"/>
  <c r="I27" i="166"/>
  <c r="H27" i="166"/>
  <c r="S64" i="166"/>
  <c r="R26" i="166"/>
  <c r="R64" i="166" s="1"/>
  <c r="M26" i="166"/>
  <c r="L26" i="166"/>
  <c r="I26" i="166"/>
  <c r="H26" i="166"/>
  <c r="S63" i="166"/>
  <c r="R25" i="166"/>
  <c r="R63" i="166" s="1"/>
  <c r="M25" i="166"/>
  <c r="L25" i="166"/>
  <c r="I25" i="166"/>
  <c r="H25" i="166"/>
  <c r="S62" i="166"/>
  <c r="R24" i="166"/>
  <c r="R62" i="166" s="1"/>
  <c r="M24" i="166"/>
  <c r="L24" i="166"/>
  <c r="I24" i="166"/>
  <c r="H24" i="166"/>
  <c r="S61" i="166"/>
  <c r="R23" i="166"/>
  <c r="R61" i="166" s="1"/>
  <c r="M23" i="166"/>
  <c r="L23" i="166"/>
  <c r="I23" i="166"/>
  <c r="H23" i="166"/>
  <c r="S60" i="166"/>
  <c r="R22" i="166"/>
  <c r="R60" i="166" s="1"/>
  <c r="M22" i="166"/>
  <c r="L22" i="166"/>
  <c r="I22" i="166"/>
  <c r="H22" i="166"/>
  <c r="S59" i="166"/>
  <c r="R21" i="166"/>
  <c r="R59" i="166" s="1"/>
  <c r="M21" i="166"/>
  <c r="L21" i="166"/>
  <c r="I21" i="166"/>
  <c r="H21" i="166"/>
  <c r="S58" i="166"/>
  <c r="R20" i="166"/>
  <c r="R58" i="166" s="1"/>
  <c r="M20" i="166"/>
  <c r="L20" i="166"/>
  <c r="I20" i="166"/>
  <c r="H20" i="166"/>
  <c r="S57" i="166"/>
  <c r="R19" i="166"/>
  <c r="R57" i="166" s="1"/>
  <c r="M19" i="166"/>
  <c r="L19" i="166"/>
  <c r="I19" i="166"/>
  <c r="H19" i="166"/>
  <c r="S56" i="166"/>
  <c r="R18" i="166"/>
  <c r="R56" i="166" s="1"/>
  <c r="M18" i="166"/>
  <c r="L18" i="166"/>
  <c r="I18" i="166"/>
  <c r="H18" i="166"/>
  <c r="S55" i="166"/>
  <c r="R17" i="166"/>
  <c r="R55" i="166" s="1"/>
  <c r="M17" i="166"/>
  <c r="L17" i="166"/>
  <c r="I17" i="166"/>
  <c r="H17" i="166"/>
  <c r="S54" i="166"/>
  <c r="R16" i="166"/>
  <c r="R54" i="166" s="1"/>
  <c r="M16" i="166"/>
  <c r="L16" i="166"/>
  <c r="I16" i="166"/>
  <c r="H16" i="166"/>
  <c r="S53" i="166"/>
  <c r="R15" i="166"/>
  <c r="R53" i="166" s="1"/>
  <c r="M15" i="166"/>
  <c r="L15" i="166"/>
  <c r="I15" i="166"/>
  <c r="H15" i="166"/>
  <c r="S52" i="166"/>
  <c r="R14" i="166"/>
  <c r="R52" i="166" s="1"/>
  <c r="M14" i="166"/>
  <c r="L14" i="166"/>
  <c r="I14" i="166"/>
  <c r="H14" i="166"/>
  <c r="AR13" i="166"/>
  <c r="S51" i="166"/>
  <c r="R13" i="166"/>
  <c r="R51" i="166" s="1"/>
  <c r="M13" i="166"/>
  <c r="L13" i="166"/>
  <c r="I13" i="166"/>
  <c r="H13" i="166"/>
  <c r="S50" i="166"/>
  <c r="R12" i="166"/>
  <c r="R50" i="166" s="1"/>
  <c r="M12" i="166"/>
  <c r="L12" i="166"/>
  <c r="I12" i="166"/>
  <c r="H12" i="166"/>
  <c r="AR11" i="166"/>
  <c r="S49" i="166"/>
  <c r="R11" i="166"/>
  <c r="R49" i="166" s="1"/>
  <c r="M11" i="166"/>
  <c r="L11" i="166"/>
  <c r="I11" i="166"/>
  <c r="H11" i="166"/>
  <c r="S48" i="166"/>
  <c r="R10" i="166"/>
  <c r="R48" i="166" s="1"/>
  <c r="M10" i="166"/>
  <c r="L10" i="166"/>
  <c r="I10" i="166"/>
  <c r="H10" i="166"/>
  <c r="AR9" i="166"/>
  <c r="S47" i="166"/>
  <c r="R9" i="166"/>
  <c r="R47" i="166" s="1"/>
  <c r="M9" i="166"/>
  <c r="L9" i="166"/>
  <c r="I9" i="166"/>
  <c r="H9" i="166"/>
  <c r="S46" i="166"/>
  <c r="R8" i="166"/>
  <c r="R46" i="166" s="1"/>
  <c r="M8" i="166"/>
  <c r="L8" i="166"/>
  <c r="I8" i="166"/>
  <c r="H8" i="166"/>
  <c r="AR7" i="166"/>
  <c r="S45" i="166"/>
  <c r="R7" i="166"/>
  <c r="R45" i="166" s="1"/>
  <c r="M7" i="166"/>
  <c r="L7" i="166"/>
  <c r="I7" i="166"/>
  <c r="H7" i="166"/>
  <c r="S44" i="166"/>
  <c r="R6" i="166"/>
  <c r="R44" i="166" s="1"/>
  <c r="M6" i="166"/>
  <c r="L6" i="166"/>
  <c r="I6" i="166"/>
  <c r="H6" i="166"/>
  <c r="AR5" i="166"/>
  <c r="R5" i="166"/>
  <c r="M5" i="166"/>
  <c r="L5" i="166"/>
  <c r="I5" i="166"/>
  <c r="H5" i="166"/>
  <c r="M4" i="166"/>
  <c r="L4" i="166"/>
  <c r="I4" i="166"/>
  <c r="H4" i="166"/>
  <c r="AO6" i="166" l="1"/>
  <c r="AP5" i="166" s="1"/>
  <c r="AN16" i="166"/>
  <c r="AO16" i="166" s="1"/>
  <c r="AO14" i="166"/>
  <c r="AR16" i="166"/>
  <c r="S78" i="166"/>
  <c r="M41" i="166"/>
  <c r="P40" i="166"/>
  <c r="H42" i="166"/>
  <c r="I42" i="166"/>
  <c r="L42" i="166"/>
  <c r="M42" i="166"/>
  <c r="H41" i="166"/>
  <c r="R78" i="166"/>
  <c r="I41" i="166"/>
  <c r="L41" i="166"/>
  <c r="AO9" i="166" l="1"/>
  <c r="AO13" i="166"/>
  <c r="AP13" i="166" s="1"/>
  <c r="L40" i="166"/>
  <c r="H40" i="166"/>
  <c r="M40" i="166"/>
  <c r="I40" i="166"/>
  <c r="AP11" i="166" l="1"/>
  <c r="AP9" i="166"/>
  <c r="AP7" i="166"/>
  <c r="P15" i="149" l="1"/>
  <c r="P17" i="149"/>
  <c r="P26" i="149"/>
  <c r="P28" i="149"/>
  <c r="F2" i="153"/>
  <c r="F2" i="151"/>
  <c r="F2" i="149"/>
  <c r="F2" i="144"/>
  <c r="F2" i="137"/>
  <c r="C2" i="153"/>
  <c r="C2" i="151"/>
  <c r="C2" i="149"/>
  <c r="C2" i="144"/>
  <c r="C2" i="137"/>
  <c r="G35" i="152" l="1"/>
  <c r="G36" i="152"/>
  <c r="G37" i="152"/>
  <c r="G38" i="152"/>
  <c r="G39" i="152"/>
  <c r="G40" i="152"/>
  <c r="H37" i="152"/>
  <c r="H38" i="152"/>
  <c r="H39" i="152"/>
  <c r="H40" i="152"/>
  <c r="G36" i="153"/>
  <c r="G37" i="153"/>
  <c r="G38" i="153"/>
  <c r="G39" i="153"/>
  <c r="G40" i="153"/>
  <c r="H36" i="153"/>
  <c r="H37" i="153"/>
  <c r="H38" i="153"/>
  <c r="H39" i="153"/>
  <c r="H40" i="153"/>
  <c r="K35" i="151"/>
  <c r="K36" i="151"/>
  <c r="K37" i="151"/>
  <c r="K38" i="151"/>
  <c r="K39" i="151"/>
  <c r="K40" i="151"/>
  <c r="L37" i="151"/>
  <c r="L38" i="151"/>
  <c r="L39" i="151"/>
  <c r="L40" i="151"/>
  <c r="G37" i="151"/>
  <c r="G38" i="151"/>
  <c r="G39" i="151"/>
  <c r="G40" i="151"/>
  <c r="H37" i="151"/>
  <c r="H38" i="151"/>
  <c r="H39" i="151"/>
  <c r="G36" i="150"/>
  <c r="G37" i="150"/>
  <c r="G38" i="150"/>
  <c r="G39" i="150"/>
  <c r="G40" i="150"/>
  <c r="H37" i="150"/>
  <c r="H38" i="150"/>
  <c r="H39" i="150"/>
  <c r="H40" i="150"/>
  <c r="K36" i="150"/>
  <c r="K37" i="150"/>
  <c r="K38" i="150"/>
  <c r="K39" i="150"/>
  <c r="K40" i="150"/>
  <c r="L37" i="150"/>
  <c r="L38" i="150"/>
  <c r="L39" i="150"/>
  <c r="L40" i="150"/>
  <c r="H37" i="149"/>
  <c r="H38" i="149"/>
  <c r="H39" i="149"/>
  <c r="H40" i="149"/>
  <c r="G37" i="149"/>
  <c r="G38" i="149"/>
  <c r="G39" i="149"/>
  <c r="G40" i="149"/>
  <c r="H37" i="148"/>
  <c r="H38" i="148"/>
  <c r="H39" i="148"/>
  <c r="H40" i="148"/>
  <c r="G38" i="144"/>
  <c r="G39" i="144"/>
  <c r="G40" i="144"/>
  <c r="H37" i="144"/>
  <c r="H38" i="144"/>
  <c r="H39" i="144"/>
  <c r="H40" i="144"/>
  <c r="H37" i="141"/>
  <c r="H38" i="141"/>
  <c r="H39" i="141"/>
  <c r="H40" i="141"/>
  <c r="G37" i="141"/>
  <c r="G38" i="141"/>
  <c r="G39" i="141"/>
  <c r="G40" i="141"/>
  <c r="H36" i="137"/>
  <c r="H37" i="137"/>
  <c r="H38" i="137"/>
  <c r="H39" i="137"/>
  <c r="H40" i="137"/>
  <c r="G36" i="137"/>
  <c r="G37" i="137"/>
  <c r="G38" i="137"/>
  <c r="G39" i="137"/>
  <c r="G40" i="137"/>
  <c r="G36" i="126"/>
  <c r="G37" i="126"/>
  <c r="G38" i="126"/>
  <c r="G39" i="126"/>
  <c r="G40" i="126"/>
  <c r="H37" i="126"/>
  <c r="H38" i="126"/>
  <c r="H39" i="126"/>
  <c r="H40" i="126"/>
  <c r="G3" i="30" l="1"/>
  <c r="F3" i="30"/>
  <c r="T37" i="153" l="1"/>
  <c r="T39" i="153"/>
  <c r="T26" i="153"/>
  <c r="T28" i="153"/>
  <c r="T15" i="153"/>
  <c r="T17" i="153"/>
  <c r="F39" i="153"/>
  <c r="F40" i="153"/>
  <c r="T37" i="152"/>
  <c r="T39" i="152"/>
  <c r="T26" i="152"/>
  <c r="T28" i="152"/>
  <c r="T15" i="152"/>
  <c r="T17" i="152"/>
  <c r="F39" i="152" l="1"/>
  <c r="F40" i="152"/>
  <c r="H40" i="151"/>
  <c r="F39" i="151"/>
  <c r="F40" i="151"/>
  <c r="F39" i="150"/>
  <c r="F40" i="150"/>
  <c r="F39" i="149"/>
  <c r="F40" i="149"/>
  <c r="F39" i="148"/>
  <c r="F40" i="148"/>
  <c r="F39" i="144"/>
  <c r="F40" i="144"/>
  <c r="F39" i="141"/>
  <c r="F40" i="141"/>
  <c r="F39" i="137"/>
  <c r="F40" i="137"/>
  <c r="F39" i="126"/>
  <c r="F40" i="126"/>
  <c r="F2" i="134"/>
  <c r="B39" i="134"/>
  <c r="F2" i="136"/>
  <c r="B39" i="136"/>
  <c r="F2" i="135"/>
  <c r="B39" i="135"/>
  <c r="C42" i="31"/>
  <c r="C43" i="31"/>
  <c r="C44" i="31"/>
  <c r="C40" i="56"/>
  <c r="I40" i="56" s="1"/>
  <c r="C41" i="56"/>
  <c r="I41" i="56" s="1"/>
  <c r="C42" i="56"/>
  <c r="I42" i="56" s="1"/>
  <c r="C43" i="56"/>
  <c r="I43" i="56" s="1"/>
  <c r="C44" i="56"/>
  <c r="I44" i="56" s="1"/>
  <c r="C42" i="55"/>
  <c r="C43" i="55"/>
  <c r="C44" i="55"/>
  <c r="D40" i="30"/>
  <c r="H5" i="153"/>
  <c r="H6" i="153"/>
  <c r="H7" i="153"/>
  <c r="H8" i="153"/>
  <c r="H9" i="153"/>
  <c r="H10" i="153"/>
  <c r="H11" i="153"/>
  <c r="H12" i="153"/>
  <c r="H13" i="153"/>
  <c r="H14" i="153"/>
  <c r="H15" i="153"/>
  <c r="H16" i="153"/>
  <c r="H17" i="153"/>
  <c r="H18" i="153"/>
  <c r="H19" i="153"/>
  <c r="H20" i="153"/>
  <c r="H21" i="153"/>
  <c r="H22" i="153"/>
  <c r="H23" i="153"/>
  <c r="H24" i="153"/>
  <c r="H25" i="153"/>
  <c r="H26" i="153"/>
  <c r="H27" i="153"/>
  <c r="H28" i="153"/>
  <c r="H29" i="153"/>
  <c r="H30" i="153"/>
  <c r="H31" i="153"/>
  <c r="H32" i="153"/>
  <c r="H33" i="153"/>
  <c r="H34" i="153"/>
  <c r="H35" i="153"/>
  <c r="G5" i="153"/>
  <c r="G6" i="153"/>
  <c r="G7" i="153"/>
  <c r="G8" i="153"/>
  <c r="G9" i="153"/>
  <c r="G10" i="153"/>
  <c r="G11" i="153"/>
  <c r="G12" i="153"/>
  <c r="G13" i="153"/>
  <c r="G14" i="153"/>
  <c r="G15" i="153"/>
  <c r="G16" i="153"/>
  <c r="G17" i="153"/>
  <c r="G18" i="153"/>
  <c r="G19" i="153"/>
  <c r="G20" i="153"/>
  <c r="G21" i="153"/>
  <c r="G22" i="153"/>
  <c r="G23" i="153"/>
  <c r="G24" i="153"/>
  <c r="G25" i="153"/>
  <c r="G26" i="153"/>
  <c r="G27" i="153"/>
  <c r="G28" i="153"/>
  <c r="G29" i="153"/>
  <c r="G30" i="153"/>
  <c r="G31" i="153"/>
  <c r="G32" i="153"/>
  <c r="G33" i="153"/>
  <c r="G34" i="153"/>
  <c r="G35" i="153"/>
  <c r="H5" i="152"/>
  <c r="H6" i="152"/>
  <c r="H7" i="152"/>
  <c r="H8" i="152"/>
  <c r="H9" i="152"/>
  <c r="H10" i="152"/>
  <c r="H11" i="152"/>
  <c r="H12" i="152"/>
  <c r="H13" i="152"/>
  <c r="H14" i="152"/>
  <c r="H15" i="152"/>
  <c r="H16" i="152"/>
  <c r="H17" i="152"/>
  <c r="H18" i="152"/>
  <c r="H19" i="152"/>
  <c r="H20" i="152"/>
  <c r="H21" i="152"/>
  <c r="H22" i="152"/>
  <c r="H23" i="152"/>
  <c r="H24" i="152"/>
  <c r="H25" i="152"/>
  <c r="H26" i="152"/>
  <c r="H27" i="152"/>
  <c r="H28" i="152"/>
  <c r="H29" i="152"/>
  <c r="H30" i="152"/>
  <c r="H31" i="152"/>
  <c r="H32" i="152"/>
  <c r="H33" i="152"/>
  <c r="H34" i="152"/>
  <c r="H35" i="152"/>
  <c r="H36" i="152"/>
  <c r="G5" i="152"/>
  <c r="G6" i="152"/>
  <c r="G7" i="152"/>
  <c r="G8" i="152"/>
  <c r="G9" i="152"/>
  <c r="G10" i="152"/>
  <c r="G11" i="152"/>
  <c r="G12" i="152"/>
  <c r="G13" i="152"/>
  <c r="G14" i="152"/>
  <c r="G15" i="152"/>
  <c r="G16" i="152"/>
  <c r="G17" i="152"/>
  <c r="G18" i="152"/>
  <c r="G19" i="152"/>
  <c r="G20" i="152"/>
  <c r="G21" i="152"/>
  <c r="G22" i="152"/>
  <c r="G23" i="152"/>
  <c r="G24" i="152"/>
  <c r="G25" i="152"/>
  <c r="G26" i="152"/>
  <c r="G27" i="152"/>
  <c r="G28" i="152"/>
  <c r="G29" i="152"/>
  <c r="G30" i="152"/>
  <c r="G31" i="152"/>
  <c r="G32" i="152"/>
  <c r="G33" i="152"/>
  <c r="G34" i="152"/>
  <c r="C53" i="180" l="1"/>
  <c r="C47" i="56"/>
  <c r="C47" i="55"/>
  <c r="E21" i="178"/>
  <c r="E26" i="178"/>
  <c r="E31" i="178"/>
  <c r="E36" i="178"/>
  <c r="E11" i="178"/>
  <c r="E16" i="178"/>
  <c r="D49" i="152"/>
  <c r="D49" i="153"/>
  <c r="D48" i="150"/>
  <c r="D48" i="137"/>
  <c r="D48" i="144"/>
  <c r="D48" i="126"/>
  <c r="D48" i="153"/>
  <c r="D48" i="152"/>
  <c r="D48" i="151"/>
  <c r="D48" i="148"/>
  <c r="D48" i="149"/>
  <c r="D48" i="141"/>
  <c r="I39" i="153"/>
  <c r="J39" i="153"/>
  <c r="J38" i="153"/>
  <c r="I38" i="153"/>
  <c r="F38" i="153"/>
  <c r="J37" i="153"/>
  <c r="F37" i="153"/>
  <c r="J36" i="153"/>
  <c r="F36" i="153"/>
  <c r="J35" i="153"/>
  <c r="I35" i="153"/>
  <c r="F35" i="153"/>
  <c r="J34" i="153"/>
  <c r="I34" i="153"/>
  <c r="F34" i="153"/>
  <c r="J33" i="153"/>
  <c r="F33" i="153"/>
  <c r="I32" i="153"/>
  <c r="J32" i="153"/>
  <c r="F32" i="153"/>
  <c r="J31" i="153"/>
  <c r="I31" i="153"/>
  <c r="F31" i="153"/>
  <c r="J30" i="153"/>
  <c r="I30" i="153"/>
  <c r="F30" i="153"/>
  <c r="J29" i="153"/>
  <c r="F29" i="153"/>
  <c r="J28" i="153"/>
  <c r="I28" i="153"/>
  <c r="F28" i="153"/>
  <c r="J27" i="153"/>
  <c r="I27" i="153"/>
  <c r="F27" i="153"/>
  <c r="I26" i="153"/>
  <c r="J26" i="153"/>
  <c r="F26" i="153"/>
  <c r="J25" i="153"/>
  <c r="I25" i="153"/>
  <c r="F25" i="153"/>
  <c r="J24" i="153"/>
  <c r="I24" i="153"/>
  <c r="F24" i="153"/>
  <c r="J23" i="153"/>
  <c r="F23" i="153"/>
  <c r="J22" i="153"/>
  <c r="F22" i="153"/>
  <c r="J21" i="153"/>
  <c r="I21" i="153"/>
  <c r="F21" i="153"/>
  <c r="I20" i="153"/>
  <c r="J20" i="153"/>
  <c r="F20" i="153"/>
  <c r="J19" i="153"/>
  <c r="F19" i="153"/>
  <c r="I18" i="153"/>
  <c r="J18" i="153"/>
  <c r="F18" i="153"/>
  <c r="J17" i="153"/>
  <c r="I17" i="153"/>
  <c r="F17" i="153"/>
  <c r="J16" i="153"/>
  <c r="F16" i="153"/>
  <c r="J15" i="153"/>
  <c r="I15" i="153"/>
  <c r="F15" i="153"/>
  <c r="I14" i="153"/>
  <c r="J14" i="153"/>
  <c r="F14" i="153"/>
  <c r="J13" i="153"/>
  <c r="F13" i="153"/>
  <c r="I12" i="153"/>
  <c r="J12" i="153"/>
  <c r="F12" i="153"/>
  <c r="J11" i="153"/>
  <c r="I11" i="153"/>
  <c r="F11" i="153"/>
  <c r="J10" i="153"/>
  <c r="I10" i="153"/>
  <c r="F10" i="153"/>
  <c r="J9" i="153"/>
  <c r="F9" i="153"/>
  <c r="J8" i="153"/>
  <c r="F8" i="153"/>
  <c r="J7" i="153"/>
  <c r="I7" i="153"/>
  <c r="F7" i="153"/>
  <c r="I6" i="153"/>
  <c r="J6" i="153"/>
  <c r="F6" i="153"/>
  <c r="J5" i="153"/>
  <c r="F5" i="153"/>
  <c r="G2" i="153"/>
  <c r="K1" i="153"/>
  <c r="J39" i="152"/>
  <c r="I39" i="152"/>
  <c r="J38" i="152"/>
  <c r="F38" i="152"/>
  <c r="J37" i="152"/>
  <c r="I37" i="152"/>
  <c r="F37" i="152"/>
  <c r="J36" i="152"/>
  <c r="I36" i="152"/>
  <c r="F36" i="152"/>
  <c r="J35" i="152"/>
  <c r="F35" i="152"/>
  <c r="J34" i="152"/>
  <c r="F34" i="152"/>
  <c r="J33" i="152"/>
  <c r="I33" i="152"/>
  <c r="F33" i="152"/>
  <c r="J32" i="152"/>
  <c r="I32" i="152"/>
  <c r="F32" i="152"/>
  <c r="J31" i="152"/>
  <c r="F31" i="152"/>
  <c r="I30" i="152"/>
  <c r="J30" i="152"/>
  <c r="F30" i="152"/>
  <c r="J29" i="152"/>
  <c r="I29" i="152"/>
  <c r="F29" i="152"/>
  <c r="J28" i="152"/>
  <c r="F28" i="152"/>
  <c r="J27" i="152"/>
  <c r="F27" i="152"/>
  <c r="I26" i="152"/>
  <c r="J26" i="152"/>
  <c r="F26" i="152"/>
  <c r="J25" i="152"/>
  <c r="F25" i="152"/>
  <c r="I24" i="152"/>
  <c r="F24" i="152"/>
  <c r="J23" i="152"/>
  <c r="I23" i="152"/>
  <c r="F23" i="152"/>
  <c r="J22" i="152"/>
  <c r="I22" i="152"/>
  <c r="F22" i="152"/>
  <c r="J21" i="152"/>
  <c r="F21" i="152"/>
  <c r="J20" i="152"/>
  <c r="F20" i="152"/>
  <c r="J19" i="152"/>
  <c r="I19" i="152"/>
  <c r="F19" i="152"/>
  <c r="I18" i="152"/>
  <c r="J18" i="152"/>
  <c r="F18" i="152"/>
  <c r="I17" i="152"/>
  <c r="F17" i="152"/>
  <c r="J16" i="152"/>
  <c r="I16" i="152"/>
  <c r="F16" i="152"/>
  <c r="J15" i="152"/>
  <c r="F15" i="152"/>
  <c r="J14" i="152"/>
  <c r="F14" i="152"/>
  <c r="J13" i="152"/>
  <c r="I13" i="152"/>
  <c r="F13" i="152"/>
  <c r="I12" i="152"/>
  <c r="J12" i="152"/>
  <c r="F12" i="152"/>
  <c r="J11" i="152"/>
  <c r="F11" i="152"/>
  <c r="I10" i="152"/>
  <c r="F10" i="152"/>
  <c r="J9" i="152"/>
  <c r="I9" i="152"/>
  <c r="F9" i="152"/>
  <c r="J8" i="152"/>
  <c r="I8" i="152"/>
  <c r="F8" i="152"/>
  <c r="J7" i="152"/>
  <c r="F7" i="152"/>
  <c r="I6" i="152"/>
  <c r="F6" i="152"/>
  <c r="J5" i="152"/>
  <c r="I5" i="152"/>
  <c r="F5" i="152"/>
  <c r="G2" i="152"/>
  <c r="F2" i="152"/>
  <c r="C2" i="152"/>
  <c r="K1" i="152"/>
  <c r="P37" i="151"/>
  <c r="P39" i="151"/>
  <c r="P26" i="151"/>
  <c r="P28" i="151"/>
  <c r="P15" i="151"/>
  <c r="P17" i="151"/>
  <c r="P37" i="150"/>
  <c r="P39" i="150"/>
  <c r="P26" i="150"/>
  <c r="P28" i="150"/>
  <c r="P15" i="150"/>
  <c r="P17" i="150"/>
  <c r="J10" i="152" l="1"/>
  <c r="I11" i="152"/>
  <c r="J17" i="152"/>
  <c r="J24" i="152"/>
  <c r="I25" i="152"/>
  <c r="I31" i="152"/>
  <c r="I38" i="152"/>
  <c r="I5" i="153"/>
  <c r="I13" i="153"/>
  <c r="I19" i="153"/>
  <c r="I33" i="153"/>
  <c r="I14" i="152"/>
  <c r="I34" i="152"/>
  <c r="I8" i="153"/>
  <c r="I22" i="153"/>
  <c r="I36" i="153"/>
  <c r="I20" i="152"/>
  <c r="I27" i="152"/>
  <c r="J6" i="152"/>
  <c r="I7" i="152"/>
  <c r="I21" i="152"/>
  <c r="I28" i="152"/>
  <c r="I35" i="152"/>
  <c r="I9" i="153"/>
  <c r="I16" i="153"/>
  <c r="I23" i="153"/>
  <c r="I29" i="153"/>
  <c r="I37" i="153"/>
  <c r="I15" i="152"/>
  <c r="L5" i="151"/>
  <c r="M5" i="151" s="1"/>
  <c r="L6" i="151"/>
  <c r="L7" i="151"/>
  <c r="M7" i="151" s="1"/>
  <c r="L8" i="151"/>
  <c r="M8" i="151" s="1"/>
  <c r="L9" i="151"/>
  <c r="M9" i="151" s="1"/>
  <c r="L10" i="151"/>
  <c r="M10" i="151" s="1"/>
  <c r="L11" i="151"/>
  <c r="M11" i="151" s="1"/>
  <c r="L12" i="151"/>
  <c r="L13" i="151"/>
  <c r="M13" i="151" s="1"/>
  <c r="L14" i="151"/>
  <c r="M14" i="151" s="1"/>
  <c r="L15" i="151"/>
  <c r="M15" i="151" s="1"/>
  <c r="L16" i="151"/>
  <c r="M16" i="151" s="1"/>
  <c r="L17" i="151"/>
  <c r="L18" i="151"/>
  <c r="M18" i="151" s="1"/>
  <c r="L19" i="151"/>
  <c r="M19" i="151" s="1"/>
  <c r="L20" i="151"/>
  <c r="L21" i="151"/>
  <c r="L22" i="151"/>
  <c r="L23" i="151"/>
  <c r="M23" i="151" s="1"/>
  <c r="L24" i="151"/>
  <c r="M24" i="151" s="1"/>
  <c r="L25" i="151"/>
  <c r="L26" i="151"/>
  <c r="L27" i="151"/>
  <c r="M27" i="151" s="1"/>
  <c r="L28" i="151"/>
  <c r="L29" i="151"/>
  <c r="L30" i="151"/>
  <c r="L31" i="151"/>
  <c r="N31" i="151" s="1"/>
  <c r="L32" i="151"/>
  <c r="M32" i="151" s="1"/>
  <c r="L33" i="151"/>
  <c r="M33" i="151" s="1"/>
  <c r="L34" i="151"/>
  <c r="N34" i="151" s="1"/>
  <c r="L35" i="151"/>
  <c r="N35" i="151" s="1"/>
  <c r="L36" i="151"/>
  <c r="N36" i="151" s="1"/>
  <c r="N37" i="151"/>
  <c r="N39" i="151"/>
  <c r="K5" i="151"/>
  <c r="K6" i="151"/>
  <c r="K7" i="151"/>
  <c r="K8" i="151"/>
  <c r="K9" i="151"/>
  <c r="K10" i="151"/>
  <c r="K11" i="151"/>
  <c r="K12" i="151"/>
  <c r="K13" i="151"/>
  <c r="K14" i="151"/>
  <c r="K15" i="151"/>
  <c r="K16" i="151"/>
  <c r="K17" i="151"/>
  <c r="K18" i="151"/>
  <c r="K19" i="151"/>
  <c r="K20" i="151"/>
  <c r="K21" i="151"/>
  <c r="K22" i="151"/>
  <c r="K23" i="151"/>
  <c r="K24" i="151"/>
  <c r="K25" i="151"/>
  <c r="K26" i="151"/>
  <c r="K27" i="151"/>
  <c r="K28" i="151"/>
  <c r="K29" i="151"/>
  <c r="K30" i="151"/>
  <c r="K31" i="151"/>
  <c r="K32" i="151"/>
  <c r="K33" i="151"/>
  <c r="K34" i="151"/>
  <c r="L5" i="150"/>
  <c r="M5" i="150" s="1"/>
  <c r="L6" i="150"/>
  <c r="L7" i="150"/>
  <c r="M7" i="150" s="1"/>
  <c r="L8" i="150"/>
  <c r="M8" i="150" s="1"/>
  <c r="L9" i="150"/>
  <c r="L10" i="150"/>
  <c r="M10" i="150" s="1"/>
  <c r="L11" i="150"/>
  <c r="M11" i="150" s="1"/>
  <c r="L12" i="150"/>
  <c r="L13" i="150"/>
  <c r="L14" i="150"/>
  <c r="M14" i="150" s="1"/>
  <c r="L15" i="150"/>
  <c r="M15" i="150" s="1"/>
  <c r="L16" i="150"/>
  <c r="L17" i="150"/>
  <c r="M17" i="150" s="1"/>
  <c r="L18" i="150"/>
  <c r="L19" i="150"/>
  <c r="M19" i="150" s="1"/>
  <c r="L20" i="150"/>
  <c r="L21" i="150"/>
  <c r="M21" i="150" s="1"/>
  <c r="L22" i="150"/>
  <c r="M22" i="150" s="1"/>
  <c r="L23" i="150"/>
  <c r="M23" i="150" s="1"/>
  <c r="L24" i="150"/>
  <c r="L25" i="150"/>
  <c r="M25" i="150" s="1"/>
  <c r="L26" i="150"/>
  <c r="M26" i="150" s="1"/>
  <c r="L27" i="150"/>
  <c r="M27" i="150" s="1"/>
  <c r="L28" i="150"/>
  <c r="L29" i="150"/>
  <c r="M29" i="150" s="1"/>
  <c r="L30" i="150"/>
  <c r="L31" i="150"/>
  <c r="N31" i="150" s="1"/>
  <c r="L32" i="150"/>
  <c r="L33" i="150"/>
  <c r="L34" i="150"/>
  <c r="M34" i="150" s="1"/>
  <c r="L35" i="150"/>
  <c r="N35" i="150" s="1"/>
  <c r="L36" i="150"/>
  <c r="M36" i="150" s="1"/>
  <c r="M37" i="150"/>
  <c r="M38" i="150"/>
  <c r="K5" i="150"/>
  <c r="K6" i="150"/>
  <c r="K7" i="150"/>
  <c r="K8" i="150"/>
  <c r="K9" i="150"/>
  <c r="K10" i="150"/>
  <c r="K11" i="150"/>
  <c r="K12" i="150"/>
  <c r="K13" i="150"/>
  <c r="K14" i="150"/>
  <c r="K15" i="150"/>
  <c r="K16" i="150"/>
  <c r="K17" i="150"/>
  <c r="K18" i="150"/>
  <c r="K19" i="150"/>
  <c r="K20" i="150"/>
  <c r="K21" i="150"/>
  <c r="K22" i="150"/>
  <c r="K23" i="150"/>
  <c r="K24" i="150"/>
  <c r="K25" i="150"/>
  <c r="K26" i="150"/>
  <c r="K27" i="150"/>
  <c r="K28" i="150"/>
  <c r="K29" i="150"/>
  <c r="K30" i="150"/>
  <c r="K31" i="150"/>
  <c r="K32" i="150"/>
  <c r="K33" i="150"/>
  <c r="K34" i="150"/>
  <c r="K35" i="150"/>
  <c r="H5" i="151"/>
  <c r="H6" i="151"/>
  <c r="H7" i="151"/>
  <c r="I7" i="151" s="1"/>
  <c r="H8" i="151"/>
  <c r="H9" i="151"/>
  <c r="I9" i="151" s="1"/>
  <c r="H10" i="151"/>
  <c r="I10" i="151" s="1"/>
  <c r="H11" i="151"/>
  <c r="H12" i="151"/>
  <c r="H13" i="151"/>
  <c r="I13" i="151" s="1"/>
  <c r="H14" i="151"/>
  <c r="I14" i="151" s="1"/>
  <c r="H15" i="151"/>
  <c r="I15" i="151" s="1"/>
  <c r="H16" i="151"/>
  <c r="I16" i="151" s="1"/>
  <c r="H17" i="151"/>
  <c r="H18" i="151"/>
  <c r="H19" i="151"/>
  <c r="I19" i="151" s="1"/>
  <c r="H20" i="151"/>
  <c r="I20" i="151" s="1"/>
  <c r="H21" i="151"/>
  <c r="H22" i="151"/>
  <c r="H23" i="151"/>
  <c r="I23" i="151" s="1"/>
  <c r="H24" i="151"/>
  <c r="I24" i="151" s="1"/>
  <c r="H25" i="151"/>
  <c r="I25" i="151" s="1"/>
  <c r="H26" i="151"/>
  <c r="H27" i="151"/>
  <c r="H28" i="151"/>
  <c r="I28" i="151" s="1"/>
  <c r="H29" i="151"/>
  <c r="H30" i="151"/>
  <c r="I30" i="151" s="1"/>
  <c r="H31" i="151"/>
  <c r="H32" i="151"/>
  <c r="H33" i="151"/>
  <c r="H34" i="151"/>
  <c r="I34" i="151" s="1"/>
  <c r="H35" i="151"/>
  <c r="J35" i="151" s="1"/>
  <c r="H36" i="151"/>
  <c r="J36" i="151" s="1"/>
  <c r="J37" i="151"/>
  <c r="J38" i="151"/>
  <c r="G5" i="151"/>
  <c r="G6" i="151"/>
  <c r="G7" i="151"/>
  <c r="G8" i="151"/>
  <c r="G9" i="151"/>
  <c r="G10" i="151"/>
  <c r="G11" i="151"/>
  <c r="G12" i="151"/>
  <c r="G13" i="151"/>
  <c r="G14" i="151"/>
  <c r="G15" i="151"/>
  <c r="G16" i="151"/>
  <c r="G17" i="151"/>
  <c r="G18" i="151"/>
  <c r="G19" i="151"/>
  <c r="G20" i="151"/>
  <c r="G21" i="151"/>
  <c r="G22" i="151"/>
  <c r="G23" i="151"/>
  <c r="G24" i="151"/>
  <c r="G25" i="151"/>
  <c r="G26" i="151"/>
  <c r="G27" i="151"/>
  <c r="G28" i="151"/>
  <c r="G29" i="151"/>
  <c r="G30" i="151"/>
  <c r="G31" i="151"/>
  <c r="G32" i="151"/>
  <c r="G33" i="151"/>
  <c r="G34" i="151"/>
  <c r="G35" i="151"/>
  <c r="G36" i="151"/>
  <c r="H5" i="150"/>
  <c r="I5" i="150" s="1"/>
  <c r="H6" i="150"/>
  <c r="I6" i="150" s="1"/>
  <c r="H7" i="150"/>
  <c r="I7" i="150" s="1"/>
  <c r="H8" i="150"/>
  <c r="H9" i="150"/>
  <c r="I9" i="150" s="1"/>
  <c r="H10" i="150"/>
  <c r="I10" i="150" s="1"/>
  <c r="H11" i="150"/>
  <c r="H12" i="150"/>
  <c r="I12" i="150" s="1"/>
  <c r="H13" i="150"/>
  <c r="I13" i="150" s="1"/>
  <c r="H14" i="150"/>
  <c r="H15" i="150"/>
  <c r="I15" i="150" s="1"/>
  <c r="H16" i="150"/>
  <c r="H17" i="150"/>
  <c r="H18" i="150"/>
  <c r="H19" i="150"/>
  <c r="I19" i="150" s="1"/>
  <c r="H20" i="150"/>
  <c r="I20" i="150" s="1"/>
  <c r="H21" i="150"/>
  <c r="H22" i="150"/>
  <c r="H23" i="150"/>
  <c r="I23" i="150" s="1"/>
  <c r="H24" i="150"/>
  <c r="H25" i="150"/>
  <c r="I25" i="150" s="1"/>
  <c r="H26" i="150"/>
  <c r="H27" i="150"/>
  <c r="H28" i="150"/>
  <c r="I28" i="150" s="1"/>
  <c r="H29" i="150"/>
  <c r="I29" i="150" s="1"/>
  <c r="H30" i="150"/>
  <c r="I30" i="150" s="1"/>
  <c r="H31" i="150"/>
  <c r="H32" i="150"/>
  <c r="H33" i="150"/>
  <c r="I33" i="150" s="1"/>
  <c r="H34" i="150"/>
  <c r="J34" i="150" s="1"/>
  <c r="H35" i="150"/>
  <c r="J35" i="150" s="1"/>
  <c r="H36" i="150"/>
  <c r="J36" i="150" s="1"/>
  <c r="J37" i="150"/>
  <c r="G5" i="150"/>
  <c r="G6" i="150"/>
  <c r="G7" i="150"/>
  <c r="G8" i="150"/>
  <c r="G9" i="150"/>
  <c r="G10" i="150"/>
  <c r="G11" i="150"/>
  <c r="G12" i="150"/>
  <c r="G13" i="150"/>
  <c r="G14" i="150"/>
  <c r="G15" i="150"/>
  <c r="G16" i="150"/>
  <c r="G17" i="150"/>
  <c r="G18" i="150"/>
  <c r="G19" i="150"/>
  <c r="G20" i="150"/>
  <c r="G21" i="150"/>
  <c r="G22" i="150"/>
  <c r="G23" i="150"/>
  <c r="G24" i="150"/>
  <c r="G25" i="150"/>
  <c r="G26" i="150"/>
  <c r="G27" i="150"/>
  <c r="G28" i="150"/>
  <c r="G29" i="150"/>
  <c r="G30" i="150"/>
  <c r="G31" i="150"/>
  <c r="G32" i="150"/>
  <c r="G33" i="150"/>
  <c r="G34" i="150"/>
  <c r="G35" i="150"/>
  <c r="J40" i="151"/>
  <c r="I40" i="151"/>
  <c r="J39" i="151"/>
  <c r="I39" i="151"/>
  <c r="N38" i="151"/>
  <c r="M38" i="151"/>
  <c r="F38" i="151"/>
  <c r="I37" i="151"/>
  <c r="F37" i="151"/>
  <c r="F36" i="151"/>
  <c r="F35" i="151"/>
  <c r="F34" i="151"/>
  <c r="F33" i="151"/>
  <c r="F32" i="151"/>
  <c r="F31" i="151"/>
  <c r="F30" i="151"/>
  <c r="F29" i="151"/>
  <c r="F28" i="151"/>
  <c r="F27" i="151"/>
  <c r="F26" i="151"/>
  <c r="F25" i="151"/>
  <c r="F24" i="151"/>
  <c r="F23" i="151"/>
  <c r="F22" i="151"/>
  <c r="F21" i="151"/>
  <c r="F20" i="151"/>
  <c r="F19" i="151"/>
  <c r="F18" i="151"/>
  <c r="F17" i="151"/>
  <c r="F16" i="151"/>
  <c r="F15" i="151"/>
  <c r="F14" i="151"/>
  <c r="F13" i="151"/>
  <c r="F12" i="151"/>
  <c r="F11" i="151"/>
  <c r="F10" i="151"/>
  <c r="F9" i="151"/>
  <c r="F8" i="151"/>
  <c r="F7" i="151"/>
  <c r="F6" i="151"/>
  <c r="F5" i="151"/>
  <c r="G2" i="151"/>
  <c r="K1" i="151"/>
  <c r="J40" i="150"/>
  <c r="I40" i="150"/>
  <c r="N39" i="150"/>
  <c r="M39" i="150"/>
  <c r="J39" i="150"/>
  <c r="I39" i="150"/>
  <c r="N38" i="150"/>
  <c r="I38" i="150"/>
  <c r="J38" i="150"/>
  <c r="F38" i="150"/>
  <c r="N37" i="150"/>
  <c r="F37" i="150"/>
  <c r="F36" i="150"/>
  <c r="F35" i="150"/>
  <c r="F34" i="150"/>
  <c r="F33" i="150"/>
  <c r="F32" i="150"/>
  <c r="F31" i="150"/>
  <c r="F30" i="150"/>
  <c r="F29" i="150"/>
  <c r="F28" i="150"/>
  <c r="F27" i="150"/>
  <c r="F26" i="150"/>
  <c r="F25" i="150"/>
  <c r="F24" i="150"/>
  <c r="F23" i="150"/>
  <c r="F22" i="150"/>
  <c r="F21" i="150"/>
  <c r="F20" i="150"/>
  <c r="F19" i="150"/>
  <c r="F18" i="150"/>
  <c r="F17" i="150"/>
  <c r="F16" i="150"/>
  <c r="F15" i="150"/>
  <c r="F14" i="150"/>
  <c r="F13" i="150"/>
  <c r="F12" i="150"/>
  <c r="F11" i="150"/>
  <c r="F10" i="150"/>
  <c r="F9" i="150"/>
  <c r="F8" i="150"/>
  <c r="F7" i="150"/>
  <c r="F6" i="150"/>
  <c r="F5" i="150"/>
  <c r="G2" i="150"/>
  <c r="F2" i="150"/>
  <c r="C2" i="150"/>
  <c r="K1" i="150"/>
  <c r="P37" i="149"/>
  <c r="P39" i="149"/>
  <c r="H5" i="149"/>
  <c r="H6" i="149"/>
  <c r="H7" i="149"/>
  <c r="I7" i="149" s="1"/>
  <c r="H8" i="149"/>
  <c r="H9" i="149"/>
  <c r="I9" i="149" s="1"/>
  <c r="H10" i="149"/>
  <c r="I10" i="149" s="1"/>
  <c r="H11" i="149"/>
  <c r="H12" i="149"/>
  <c r="I12" i="149" s="1"/>
  <c r="H13" i="149"/>
  <c r="I13" i="149" s="1"/>
  <c r="H14" i="149"/>
  <c r="H15" i="149"/>
  <c r="I15" i="149" s="1"/>
  <c r="H16" i="149"/>
  <c r="I16" i="149" s="1"/>
  <c r="H17" i="149"/>
  <c r="H18" i="149"/>
  <c r="H19" i="149"/>
  <c r="I19" i="149" s="1"/>
  <c r="H20" i="149"/>
  <c r="I20" i="149" s="1"/>
  <c r="H21" i="149"/>
  <c r="H22" i="149"/>
  <c r="I22" i="149" s="1"/>
  <c r="H23" i="149"/>
  <c r="I23" i="149" s="1"/>
  <c r="H24" i="149"/>
  <c r="H25" i="149"/>
  <c r="I25" i="149" s="1"/>
  <c r="H26" i="149"/>
  <c r="H27" i="149"/>
  <c r="H28" i="149"/>
  <c r="H29" i="149"/>
  <c r="I29" i="149" s="1"/>
  <c r="H30" i="149"/>
  <c r="I30" i="149" s="1"/>
  <c r="H31" i="149"/>
  <c r="H32" i="149"/>
  <c r="I32" i="149" s="1"/>
  <c r="H33" i="149"/>
  <c r="H34" i="149"/>
  <c r="J34" i="149" s="1"/>
  <c r="H35" i="149"/>
  <c r="I35" i="149" s="1"/>
  <c r="H36" i="149"/>
  <c r="J36" i="149" s="1"/>
  <c r="I37" i="149"/>
  <c r="J38" i="149"/>
  <c r="G5" i="149"/>
  <c r="G6" i="149"/>
  <c r="G7" i="149"/>
  <c r="G8" i="149"/>
  <c r="G9" i="149"/>
  <c r="G10" i="149"/>
  <c r="G11" i="149"/>
  <c r="G12" i="149"/>
  <c r="G13" i="149"/>
  <c r="G14" i="149"/>
  <c r="G15" i="149"/>
  <c r="G16" i="149"/>
  <c r="G17" i="149"/>
  <c r="G18" i="149"/>
  <c r="G19" i="149"/>
  <c r="G20" i="149"/>
  <c r="G21" i="149"/>
  <c r="G22" i="149"/>
  <c r="G23" i="149"/>
  <c r="G24" i="149"/>
  <c r="G25" i="149"/>
  <c r="G26" i="149"/>
  <c r="G27" i="149"/>
  <c r="G28" i="149"/>
  <c r="G29" i="149"/>
  <c r="G30" i="149"/>
  <c r="G31" i="149"/>
  <c r="G32" i="149"/>
  <c r="G33" i="149"/>
  <c r="G34" i="149"/>
  <c r="G35" i="149"/>
  <c r="G36" i="149"/>
  <c r="P37" i="148"/>
  <c r="P39" i="148"/>
  <c r="P26" i="148"/>
  <c r="P28" i="148"/>
  <c r="P15" i="148"/>
  <c r="P17" i="148"/>
  <c r="H5" i="148"/>
  <c r="H6" i="148"/>
  <c r="H7" i="148"/>
  <c r="I7" i="148" s="1"/>
  <c r="H8" i="148"/>
  <c r="H9" i="148"/>
  <c r="I9" i="148" s="1"/>
  <c r="H10" i="148"/>
  <c r="I10" i="148" s="1"/>
  <c r="H11" i="148"/>
  <c r="H12" i="148"/>
  <c r="I12" i="148" s="1"/>
  <c r="H13" i="148"/>
  <c r="I13" i="148" s="1"/>
  <c r="H14" i="148"/>
  <c r="H15" i="148"/>
  <c r="I15" i="148" s="1"/>
  <c r="H16" i="148"/>
  <c r="H17" i="148"/>
  <c r="H18" i="148"/>
  <c r="H19" i="148"/>
  <c r="I19" i="148" s="1"/>
  <c r="H20" i="148"/>
  <c r="I20" i="148" s="1"/>
  <c r="H21" i="148"/>
  <c r="H22" i="148"/>
  <c r="H23" i="148"/>
  <c r="I23" i="148" s="1"/>
  <c r="H24" i="148"/>
  <c r="H25" i="148"/>
  <c r="I25" i="148" s="1"/>
  <c r="H26" i="148"/>
  <c r="H27" i="148"/>
  <c r="H28" i="148"/>
  <c r="I28" i="148" s="1"/>
  <c r="H29" i="148"/>
  <c r="I29" i="148" s="1"/>
  <c r="H30" i="148"/>
  <c r="H31" i="148"/>
  <c r="H32" i="148"/>
  <c r="H33" i="148"/>
  <c r="I33" i="148" s="1"/>
  <c r="H34" i="148"/>
  <c r="J34" i="148" s="1"/>
  <c r="H35" i="148"/>
  <c r="I35" i="148" s="1"/>
  <c r="H36" i="148"/>
  <c r="J36" i="148" s="1"/>
  <c r="J39" i="148"/>
  <c r="N40" i="149"/>
  <c r="M40" i="149"/>
  <c r="N39" i="149"/>
  <c r="M39" i="149"/>
  <c r="J39" i="149"/>
  <c r="I39" i="149"/>
  <c r="N38" i="149"/>
  <c r="M38" i="149"/>
  <c r="I38" i="149"/>
  <c r="F38" i="149"/>
  <c r="N37" i="149"/>
  <c r="M37" i="149"/>
  <c r="F37" i="149"/>
  <c r="N36" i="149"/>
  <c r="M36" i="149"/>
  <c r="F36" i="149"/>
  <c r="N35" i="149"/>
  <c r="M35" i="149"/>
  <c r="F35" i="149"/>
  <c r="N34" i="149"/>
  <c r="M34" i="149"/>
  <c r="F34" i="149"/>
  <c r="N33" i="149"/>
  <c r="M33" i="149"/>
  <c r="F33" i="149"/>
  <c r="N32" i="149"/>
  <c r="M32" i="149"/>
  <c r="F32" i="149"/>
  <c r="N31" i="149"/>
  <c r="M31" i="149"/>
  <c r="F31" i="149"/>
  <c r="N30" i="149"/>
  <c r="M30" i="149"/>
  <c r="F30" i="149"/>
  <c r="N29" i="149"/>
  <c r="M29" i="149"/>
  <c r="F29" i="149"/>
  <c r="N28" i="149"/>
  <c r="M28" i="149"/>
  <c r="F28" i="149"/>
  <c r="N27" i="149"/>
  <c r="M27" i="149"/>
  <c r="F27" i="149"/>
  <c r="N26" i="149"/>
  <c r="M26" i="149"/>
  <c r="F26" i="149"/>
  <c r="N25" i="149"/>
  <c r="M25" i="149"/>
  <c r="F25" i="149"/>
  <c r="N24" i="149"/>
  <c r="M24" i="149"/>
  <c r="F24" i="149"/>
  <c r="N23" i="149"/>
  <c r="M23" i="149"/>
  <c r="F23" i="149"/>
  <c r="N22" i="149"/>
  <c r="M22" i="149"/>
  <c r="F22" i="149"/>
  <c r="N21" i="149"/>
  <c r="M21" i="149"/>
  <c r="F21" i="149"/>
  <c r="N20" i="149"/>
  <c r="M20" i="149"/>
  <c r="F20" i="149"/>
  <c r="N19" i="149"/>
  <c r="M19" i="149"/>
  <c r="F19" i="149"/>
  <c r="N18" i="149"/>
  <c r="M18" i="149"/>
  <c r="F18" i="149"/>
  <c r="N17" i="149"/>
  <c r="M17" i="149"/>
  <c r="F17" i="149"/>
  <c r="N16" i="149"/>
  <c r="M16" i="149"/>
  <c r="F16" i="149"/>
  <c r="N15" i="149"/>
  <c r="M15" i="149"/>
  <c r="F15" i="149"/>
  <c r="N14" i="149"/>
  <c r="M14" i="149"/>
  <c r="F14" i="149"/>
  <c r="N13" i="149"/>
  <c r="M13" i="149"/>
  <c r="F13" i="149"/>
  <c r="N12" i="149"/>
  <c r="M12" i="149"/>
  <c r="F12" i="149"/>
  <c r="N11" i="149"/>
  <c r="M11" i="149"/>
  <c r="F11" i="149"/>
  <c r="N10" i="149"/>
  <c r="M10" i="149"/>
  <c r="F10" i="149"/>
  <c r="N9" i="149"/>
  <c r="M9" i="149"/>
  <c r="F9" i="149"/>
  <c r="N8" i="149"/>
  <c r="M8" i="149"/>
  <c r="F8" i="149"/>
  <c r="N7" i="149"/>
  <c r="M7" i="149"/>
  <c r="F7" i="149"/>
  <c r="N6" i="149"/>
  <c r="M6" i="149"/>
  <c r="F6" i="149"/>
  <c r="N5" i="149"/>
  <c r="M5" i="149"/>
  <c r="F5" i="149"/>
  <c r="G2" i="149"/>
  <c r="K1" i="149"/>
  <c r="N40" i="148"/>
  <c r="M40" i="148"/>
  <c r="N39" i="148"/>
  <c r="M39" i="148"/>
  <c r="I39" i="148"/>
  <c r="N38" i="148"/>
  <c r="M38" i="148"/>
  <c r="I38" i="148"/>
  <c r="J38" i="148"/>
  <c r="F38" i="148"/>
  <c r="N37" i="148"/>
  <c r="M37" i="148"/>
  <c r="I37" i="148"/>
  <c r="J37" i="148"/>
  <c r="F37" i="148"/>
  <c r="N36" i="148"/>
  <c r="M36" i="148"/>
  <c r="F36" i="148"/>
  <c r="N35" i="148"/>
  <c r="M35" i="148"/>
  <c r="F35" i="148"/>
  <c r="N34" i="148"/>
  <c r="M34" i="148"/>
  <c r="F34" i="148"/>
  <c r="N33" i="148"/>
  <c r="M33" i="148"/>
  <c r="F33" i="148"/>
  <c r="N32" i="148"/>
  <c r="M32" i="148"/>
  <c r="F32" i="148"/>
  <c r="N31" i="148"/>
  <c r="M31" i="148"/>
  <c r="F31" i="148"/>
  <c r="N30" i="148"/>
  <c r="M30" i="148"/>
  <c r="F30" i="148"/>
  <c r="N29" i="148"/>
  <c r="M29" i="148"/>
  <c r="F29" i="148"/>
  <c r="N28" i="148"/>
  <c r="M28" i="148"/>
  <c r="F28" i="148"/>
  <c r="N27" i="148"/>
  <c r="M27" i="148"/>
  <c r="F27" i="148"/>
  <c r="N26" i="148"/>
  <c r="M26" i="148"/>
  <c r="F26" i="148"/>
  <c r="N25" i="148"/>
  <c r="M25" i="148"/>
  <c r="F25" i="148"/>
  <c r="N24" i="148"/>
  <c r="M24" i="148"/>
  <c r="F24" i="148"/>
  <c r="N23" i="148"/>
  <c r="M23" i="148"/>
  <c r="F23" i="148"/>
  <c r="N22" i="148"/>
  <c r="M22" i="148"/>
  <c r="F22" i="148"/>
  <c r="N21" i="148"/>
  <c r="M21" i="148"/>
  <c r="F21" i="148"/>
  <c r="N20" i="148"/>
  <c r="M20" i="148"/>
  <c r="F20" i="148"/>
  <c r="N19" i="148"/>
  <c r="M19" i="148"/>
  <c r="F19" i="148"/>
  <c r="N18" i="148"/>
  <c r="M18" i="148"/>
  <c r="F18" i="148"/>
  <c r="N17" i="148"/>
  <c r="M17" i="148"/>
  <c r="F17" i="148"/>
  <c r="N16" i="148"/>
  <c r="M16" i="148"/>
  <c r="F16" i="148"/>
  <c r="N15" i="148"/>
  <c r="M15" i="148"/>
  <c r="F15" i="148"/>
  <c r="N14" i="148"/>
  <c r="M14" i="148"/>
  <c r="F14" i="148"/>
  <c r="N13" i="148"/>
  <c r="M13" i="148"/>
  <c r="F13" i="148"/>
  <c r="N12" i="148"/>
  <c r="M12" i="148"/>
  <c r="F12" i="148"/>
  <c r="N11" i="148"/>
  <c r="M11" i="148"/>
  <c r="F11" i="148"/>
  <c r="N10" i="148"/>
  <c r="M10" i="148"/>
  <c r="F10" i="148"/>
  <c r="N9" i="148"/>
  <c r="M9" i="148"/>
  <c r="F9" i="148"/>
  <c r="N8" i="148"/>
  <c r="M8" i="148"/>
  <c r="F8" i="148"/>
  <c r="N7" i="148"/>
  <c r="M7" i="148"/>
  <c r="F7" i="148"/>
  <c r="N6" i="148"/>
  <c r="M6" i="148"/>
  <c r="F6" i="148"/>
  <c r="N5" i="148"/>
  <c r="M5" i="148"/>
  <c r="F5" i="148"/>
  <c r="G2" i="148"/>
  <c r="F2" i="148"/>
  <c r="C2" i="148"/>
  <c r="K1" i="148"/>
  <c r="P37" i="144"/>
  <c r="P39" i="144"/>
  <c r="P26" i="144"/>
  <c r="P28" i="144"/>
  <c r="P15" i="144"/>
  <c r="P17" i="144"/>
  <c r="H5" i="144"/>
  <c r="H6" i="144"/>
  <c r="H7" i="144"/>
  <c r="H8" i="144"/>
  <c r="H9" i="144"/>
  <c r="H10" i="144"/>
  <c r="H11" i="144"/>
  <c r="H12" i="144"/>
  <c r="H13" i="144"/>
  <c r="H14" i="144"/>
  <c r="H15" i="144"/>
  <c r="H16" i="144"/>
  <c r="H17" i="144"/>
  <c r="H18" i="144"/>
  <c r="H19" i="144"/>
  <c r="H20" i="144"/>
  <c r="H21" i="144"/>
  <c r="H22" i="144"/>
  <c r="H23" i="144"/>
  <c r="H24" i="144"/>
  <c r="H25" i="144"/>
  <c r="H26" i="144"/>
  <c r="H27" i="144"/>
  <c r="H28" i="144"/>
  <c r="H29" i="144"/>
  <c r="H30" i="144"/>
  <c r="H31" i="144"/>
  <c r="H32" i="144"/>
  <c r="H33" i="144"/>
  <c r="H34" i="144"/>
  <c r="H35" i="144"/>
  <c r="H36" i="144"/>
  <c r="G5" i="144"/>
  <c r="G6" i="144"/>
  <c r="G7" i="144"/>
  <c r="G8" i="144"/>
  <c r="G9" i="144"/>
  <c r="G10" i="144"/>
  <c r="G11" i="144"/>
  <c r="G12" i="144"/>
  <c r="G13" i="144"/>
  <c r="G14" i="144"/>
  <c r="G15" i="144"/>
  <c r="G16" i="144"/>
  <c r="G17" i="144"/>
  <c r="G18" i="144"/>
  <c r="G19" i="144"/>
  <c r="G20" i="144"/>
  <c r="G21" i="144"/>
  <c r="G22" i="144"/>
  <c r="G23" i="144"/>
  <c r="G24" i="144"/>
  <c r="G25" i="144"/>
  <c r="G26" i="144"/>
  <c r="G27" i="144"/>
  <c r="G28" i="144"/>
  <c r="G29" i="144"/>
  <c r="G30" i="144"/>
  <c r="G31" i="144"/>
  <c r="G32" i="144"/>
  <c r="G33" i="144"/>
  <c r="G34" i="144"/>
  <c r="G35" i="144"/>
  <c r="G36" i="144"/>
  <c r="G37" i="144"/>
  <c r="P37" i="141"/>
  <c r="P39" i="141"/>
  <c r="P26" i="141"/>
  <c r="P28" i="141"/>
  <c r="P15" i="141"/>
  <c r="P17" i="141"/>
  <c r="N8" i="151" l="1"/>
  <c r="N16" i="151"/>
  <c r="N17" i="150"/>
  <c r="N9" i="151"/>
  <c r="J35" i="149"/>
  <c r="N10" i="151"/>
  <c r="N34" i="150"/>
  <c r="N27" i="151"/>
  <c r="M35" i="151"/>
  <c r="J31" i="151"/>
  <c r="J32" i="150"/>
  <c r="D49" i="144"/>
  <c r="I5" i="148"/>
  <c r="D49" i="148"/>
  <c r="D49" i="150"/>
  <c r="I5" i="151"/>
  <c r="D49" i="151"/>
  <c r="I5" i="149"/>
  <c r="D49" i="149"/>
  <c r="J33" i="150"/>
  <c r="J17" i="150"/>
  <c r="J9" i="150"/>
  <c r="J30" i="148"/>
  <c r="J30" i="149"/>
  <c r="J29" i="151"/>
  <c r="N30" i="151"/>
  <c r="J27" i="149"/>
  <c r="J7" i="148"/>
  <c r="J28" i="149"/>
  <c r="J35" i="148"/>
  <c r="J33" i="149"/>
  <c r="J27" i="151"/>
  <c r="N28" i="151"/>
  <c r="J32" i="148"/>
  <c r="N29" i="151"/>
  <c r="J31" i="149"/>
  <c r="J30" i="150"/>
  <c r="J33" i="151"/>
  <c r="J32" i="151"/>
  <c r="N33" i="151"/>
  <c r="N32" i="151"/>
  <c r="N30" i="150"/>
  <c r="J31" i="150"/>
  <c r="N33" i="150"/>
  <c r="N32" i="150"/>
  <c r="M31" i="150"/>
  <c r="N36" i="150"/>
  <c r="J31" i="148"/>
  <c r="N13" i="150"/>
  <c r="N18" i="150"/>
  <c r="N10" i="150"/>
  <c r="N21" i="150"/>
  <c r="N5" i="150"/>
  <c r="M13" i="150"/>
  <c r="J15" i="148"/>
  <c r="J14" i="148"/>
  <c r="N27" i="150"/>
  <c r="M35" i="150"/>
  <c r="N18" i="151"/>
  <c r="M30" i="151"/>
  <c r="I33" i="151"/>
  <c r="M34" i="151"/>
  <c r="N19" i="150"/>
  <c r="N15" i="150"/>
  <c r="N11" i="150"/>
  <c r="N7" i="150"/>
  <c r="N19" i="151"/>
  <c r="N11" i="151"/>
  <c r="J30" i="151"/>
  <c r="J15" i="150"/>
  <c r="N26" i="150"/>
  <c r="I29" i="151"/>
  <c r="J17" i="151"/>
  <c r="J13" i="151"/>
  <c r="J9" i="151"/>
  <c r="J5" i="151"/>
  <c r="N28" i="150"/>
  <c r="N24" i="150"/>
  <c r="N16" i="150"/>
  <c r="J28" i="148"/>
  <c r="J27" i="150"/>
  <c r="J23" i="149"/>
  <c r="J15" i="149"/>
  <c r="J7" i="149"/>
  <c r="M29" i="151"/>
  <c r="J23" i="151"/>
  <c r="J15" i="151"/>
  <c r="J7" i="151"/>
  <c r="J34" i="151"/>
  <c r="M37" i="151"/>
  <c r="N9" i="150"/>
  <c r="J29" i="150"/>
  <c r="N29" i="150"/>
  <c r="N22" i="151"/>
  <c r="N6" i="151"/>
  <c r="M18" i="150"/>
  <c r="J23" i="150"/>
  <c r="J7" i="150"/>
  <c r="J29" i="148"/>
  <c r="J27" i="148"/>
  <c r="J24" i="149"/>
  <c r="J26" i="151"/>
  <c r="J5" i="149"/>
  <c r="I33" i="149"/>
  <c r="M6" i="151"/>
  <c r="N14" i="151"/>
  <c r="I28" i="149"/>
  <c r="M31" i="151"/>
  <c r="I35" i="151"/>
  <c r="J32" i="149"/>
  <c r="J25" i="149"/>
  <c r="M39" i="151"/>
  <c r="N15" i="151"/>
  <c r="J19" i="151"/>
  <c r="I38" i="151"/>
  <c r="J33" i="148"/>
  <c r="M9" i="150"/>
  <c r="M33" i="150"/>
  <c r="N13" i="151"/>
  <c r="I30" i="148"/>
  <c r="I32" i="148"/>
  <c r="M16" i="150"/>
  <c r="M30" i="150"/>
  <c r="M32" i="150"/>
  <c r="I34" i="150"/>
  <c r="J5" i="150"/>
  <c r="N26" i="151"/>
  <c r="I37" i="150"/>
  <c r="J6" i="149"/>
  <c r="N25" i="150"/>
  <c r="N6" i="150"/>
  <c r="J22" i="150"/>
  <c r="J14" i="150"/>
  <c r="J13" i="150"/>
  <c r="J18" i="151"/>
  <c r="J11" i="149"/>
  <c r="J11" i="150"/>
  <c r="J25" i="151"/>
  <c r="J18" i="149"/>
  <c r="J26" i="150"/>
  <c r="J18" i="150"/>
  <c r="J24" i="150"/>
  <c r="J16" i="150"/>
  <c r="J22" i="151"/>
  <c r="J6" i="151"/>
  <c r="J19" i="149"/>
  <c r="J11" i="151"/>
  <c r="N23" i="151"/>
  <c r="N7" i="151"/>
  <c r="J10" i="151"/>
  <c r="J21" i="148"/>
  <c r="J13" i="148"/>
  <c r="J5" i="148"/>
  <c r="J16" i="148"/>
  <c r="J17" i="148"/>
  <c r="N23" i="150"/>
  <c r="J19" i="148"/>
  <c r="J11" i="148"/>
  <c r="J22" i="148"/>
  <c r="J6" i="148"/>
  <c r="J10" i="148"/>
  <c r="N8" i="150"/>
  <c r="I14" i="150"/>
  <c r="M24" i="150"/>
  <c r="M6" i="150"/>
  <c r="I22" i="148"/>
  <c r="N14" i="150"/>
  <c r="J23" i="148"/>
  <c r="N22" i="150"/>
  <c r="J10" i="150"/>
  <c r="J26" i="149"/>
  <c r="J10" i="149"/>
  <c r="J16" i="149"/>
  <c r="J8" i="149"/>
  <c r="M26" i="151"/>
  <c r="J14" i="151"/>
  <c r="J22" i="149"/>
  <c r="J14" i="149"/>
  <c r="M22" i="151"/>
  <c r="N5" i="151"/>
  <c r="I16" i="148"/>
  <c r="N20" i="151"/>
  <c r="N12" i="151"/>
  <c r="J12" i="148"/>
  <c r="J6" i="150"/>
  <c r="N25" i="151"/>
  <c r="N17" i="151"/>
  <c r="I16" i="150"/>
  <c r="I24" i="150"/>
  <c r="N24" i="151"/>
  <c r="J8" i="150"/>
  <c r="N21" i="151"/>
  <c r="N20" i="150"/>
  <c r="N12" i="150"/>
  <c r="J20" i="148"/>
  <c r="J21" i="149"/>
  <c r="M17" i="151"/>
  <c r="M21" i="151"/>
  <c r="M25" i="151"/>
  <c r="M36" i="151"/>
  <c r="M12" i="151"/>
  <c r="M28" i="151"/>
  <c r="M20" i="151"/>
  <c r="M12" i="150"/>
  <c r="M28" i="150"/>
  <c r="M20" i="150"/>
  <c r="J24" i="151"/>
  <c r="J16" i="151"/>
  <c r="I6" i="151"/>
  <c r="J28" i="151"/>
  <c r="J20" i="151"/>
  <c r="J8" i="151"/>
  <c r="J21" i="151"/>
  <c r="J12" i="151"/>
  <c r="J28" i="150"/>
  <c r="J19" i="150"/>
  <c r="J25" i="150"/>
  <c r="I35" i="150"/>
  <c r="J20" i="150"/>
  <c r="J21" i="150"/>
  <c r="I32" i="150"/>
  <c r="I12" i="151"/>
  <c r="I22" i="151"/>
  <c r="I32" i="151"/>
  <c r="I22" i="150"/>
  <c r="I11" i="150"/>
  <c r="J12" i="150"/>
  <c r="I21" i="150"/>
  <c r="I31" i="150"/>
  <c r="I11" i="151"/>
  <c r="I21" i="151"/>
  <c r="I31" i="151"/>
  <c r="I8" i="150"/>
  <c r="I17" i="150"/>
  <c r="I18" i="150"/>
  <c r="I26" i="150"/>
  <c r="I27" i="150"/>
  <c r="I36" i="150"/>
  <c r="I8" i="151"/>
  <c r="I17" i="151"/>
  <c r="I18" i="151"/>
  <c r="I26" i="151"/>
  <c r="I27" i="151"/>
  <c r="I36" i="151"/>
  <c r="J9" i="149"/>
  <c r="J37" i="149"/>
  <c r="J29" i="149"/>
  <c r="J13" i="149"/>
  <c r="J20" i="149"/>
  <c r="J17" i="149"/>
  <c r="J12" i="149"/>
  <c r="J25" i="148"/>
  <c r="J8" i="148"/>
  <c r="J24" i="148"/>
  <c r="J9" i="148"/>
  <c r="J18" i="148"/>
  <c r="J26" i="148"/>
  <c r="I11" i="148"/>
  <c r="I21" i="148"/>
  <c r="I31" i="148"/>
  <c r="I11" i="149"/>
  <c r="I21" i="149"/>
  <c r="I31" i="149"/>
  <c r="I8" i="148"/>
  <c r="I17" i="148"/>
  <c r="I18" i="148"/>
  <c r="I26" i="148"/>
  <c r="I27" i="148"/>
  <c r="I36" i="148"/>
  <c r="I8" i="149"/>
  <c r="I17" i="149"/>
  <c r="I18" i="149"/>
  <c r="I26" i="149"/>
  <c r="I27" i="149"/>
  <c r="I36" i="149"/>
  <c r="I6" i="148"/>
  <c r="I14" i="148"/>
  <c r="I24" i="148"/>
  <c r="I34" i="148"/>
  <c r="I6" i="149"/>
  <c r="I14" i="149"/>
  <c r="I24" i="149"/>
  <c r="I34" i="149"/>
  <c r="H5" i="141"/>
  <c r="H6" i="141"/>
  <c r="H7" i="141"/>
  <c r="H8" i="141"/>
  <c r="H9" i="141"/>
  <c r="H10" i="141"/>
  <c r="H11" i="141"/>
  <c r="H12" i="141"/>
  <c r="H13" i="141"/>
  <c r="H14" i="141"/>
  <c r="H15" i="141"/>
  <c r="H16" i="141"/>
  <c r="H17" i="141"/>
  <c r="H18" i="141"/>
  <c r="H19" i="141"/>
  <c r="H20" i="141"/>
  <c r="H21" i="141"/>
  <c r="H22" i="141"/>
  <c r="H23" i="141"/>
  <c r="H24" i="141"/>
  <c r="H25" i="141"/>
  <c r="H26" i="141"/>
  <c r="H27" i="141"/>
  <c r="H28" i="141"/>
  <c r="H29" i="141"/>
  <c r="H30" i="141"/>
  <c r="H31" i="141"/>
  <c r="H32" i="141"/>
  <c r="H33" i="141"/>
  <c r="H34" i="141"/>
  <c r="H35" i="141"/>
  <c r="H36" i="141"/>
  <c r="G5" i="141"/>
  <c r="G6" i="141"/>
  <c r="G7" i="141"/>
  <c r="G8" i="141"/>
  <c r="G9" i="141"/>
  <c r="G10" i="141"/>
  <c r="G11" i="141"/>
  <c r="G12" i="141"/>
  <c r="G13" i="141"/>
  <c r="G14" i="141"/>
  <c r="G15" i="141"/>
  <c r="G16" i="141"/>
  <c r="G17" i="141"/>
  <c r="G18" i="141"/>
  <c r="G19" i="141"/>
  <c r="G20" i="141"/>
  <c r="G21" i="141"/>
  <c r="G22" i="141"/>
  <c r="G23" i="141"/>
  <c r="G24" i="141"/>
  <c r="G25" i="141"/>
  <c r="G26" i="141"/>
  <c r="G27" i="141"/>
  <c r="G28" i="141"/>
  <c r="G29" i="141"/>
  <c r="G30" i="141"/>
  <c r="G31" i="141"/>
  <c r="G32" i="141"/>
  <c r="G33" i="141"/>
  <c r="G34" i="141"/>
  <c r="G35" i="141"/>
  <c r="G36" i="141"/>
  <c r="G2" i="144"/>
  <c r="G2" i="141"/>
  <c r="F2" i="141"/>
  <c r="C2" i="141"/>
  <c r="P37" i="137"/>
  <c r="P39" i="137"/>
  <c r="P26" i="137"/>
  <c r="P28" i="137"/>
  <c r="P15" i="137"/>
  <c r="P17" i="137"/>
  <c r="G2" i="137"/>
  <c r="G2" i="126"/>
  <c r="F2" i="126"/>
  <c r="C2" i="126"/>
  <c r="G5" i="137"/>
  <c r="G6" i="137"/>
  <c r="G7" i="137"/>
  <c r="G8" i="137"/>
  <c r="G9" i="137"/>
  <c r="G10" i="137"/>
  <c r="G11" i="137"/>
  <c r="G12" i="137"/>
  <c r="G13" i="137"/>
  <c r="G14" i="137"/>
  <c r="G15" i="137"/>
  <c r="G16" i="137"/>
  <c r="G17" i="137"/>
  <c r="G18" i="137"/>
  <c r="G19" i="137"/>
  <c r="G20" i="137"/>
  <c r="G21" i="137"/>
  <c r="G22" i="137"/>
  <c r="G23" i="137"/>
  <c r="G24" i="137"/>
  <c r="G25" i="137"/>
  <c r="G26" i="137"/>
  <c r="G27" i="137"/>
  <c r="G28" i="137"/>
  <c r="G29" i="137"/>
  <c r="G30" i="137"/>
  <c r="G31" i="137"/>
  <c r="G32" i="137"/>
  <c r="G33" i="137"/>
  <c r="G34" i="137"/>
  <c r="G35" i="137"/>
  <c r="N40" i="144"/>
  <c r="M40" i="144"/>
  <c r="N39" i="144"/>
  <c r="M39" i="144"/>
  <c r="J39" i="144"/>
  <c r="I39" i="144"/>
  <c r="N38" i="144"/>
  <c r="M38" i="144"/>
  <c r="J38" i="144"/>
  <c r="F38" i="144"/>
  <c r="N37" i="144"/>
  <c r="M37" i="144"/>
  <c r="J37" i="144"/>
  <c r="F37" i="144"/>
  <c r="N36" i="144"/>
  <c r="M36" i="144"/>
  <c r="J36" i="144"/>
  <c r="I36" i="144"/>
  <c r="F36" i="144"/>
  <c r="N35" i="144"/>
  <c r="M35" i="144"/>
  <c r="J35" i="144"/>
  <c r="I35" i="144"/>
  <c r="F35" i="144"/>
  <c r="N34" i="144"/>
  <c r="M34" i="144"/>
  <c r="J34" i="144"/>
  <c r="I34" i="144"/>
  <c r="F34" i="144"/>
  <c r="N33" i="144"/>
  <c r="M33" i="144"/>
  <c r="J33" i="144"/>
  <c r="I33" i="144"/>
  <c r="F33" i="144"/>
  <c r="N32" i="144"/>
  <c r="M32" i="144"/>
  <c r="J32" i="144"/>
  <c r="F32" i="144"/>
  <c r="N31" i="144"/>
  <c r="M31" i="144"/>
  <c r="J31" i="144"/>
  <c r="F31" i="144"/>
  <c r="N30" i="144"/>
  <c r="M30" i="144"/>
  <c r="J30" i="144"/>
  <c r="I30" i="144"/>
  <c r="F30" i="144"/>
  <c r="N29" i="144"/>
  <c r="M29" i="144"/>
  <c r="J29" i="144"/>
  <c r="F29" i="144"/>
  <c r="N28" i="144"/>
  <c r="M28" i="144"/>
  <c r="J28" i="144"/>
  <c r="F28" i="144"/>
  <c r="N27" i="144"/>
  <c r="M27" i="144"/>
  <c r="J27" i="144"/>
  <c r="I27" i="144"/>
  <c r="F27" i="144"/>
  <c r="N26" i="144"/>
  <c r="M26" i="144"/>
  <c r="J26" i="144"/>
  <c r="I26" i="144"/>
  <c r="F26" i="144"/>
  <c r="N25" i="144"/>
  <c r="M25" i="144"/>
  <c r="I25" i="144"/>
  <c r="J25" i="144"/>
  <c r="F25" i="144"/>
  <c r="N24" i="144"/>
  <c r="M24" i="144"/>
  <c r="J24" i="144"/>
  <c r="I24" i="144"/>
  <c r="F24" i="144"/>
  <c r="N23" i="144"/>
  <c r="M23" i="144"/>
  <c r="I23" i="144"/>
  <c r="J23" i="144"/>
  <c r="F23" i="144"/>
  <c r="N22" i="144"/>
  <c r="M22" i="144"/>
  <c r="J22" i="144"/>
  <c r="F22" i="144"/>
  <c r="N21" i="144"/>
  <c r="M21" i="144"/>
  <c r="J21" i="144"/>
  <c r="F21" i="144"/>
  <c r="N20" i="144"/>
  <c r="M20" i="144"/>
  <c r="I20" i="144"/>
  <c r="J20" i="144"/>
  <c r="F20" i="144"/>
  <c r="N19" i="144"/>
  <c r="M19" i="144"/>
  <c r="J19" i="144"/>
  <c r="F19" i="144"/>
  <c r="N18" i="144"/>
  <c r="M18" i="144"/>
  <c r="J18" i="144"/>
  <c r="I18" i="144"/>
  <c r="F18" i="144"/>
  <c r="N17" i="144"/>
  <c r="M17" i="144"/>
  <c r="J17" i="144"/>
  <c r="I17" i="144"/>
  <c r="F17" i="144"/>
  <c r="N16" i="144"/>
  <c r="M16" i="144"/>
  <c r="I16" i="144"/>
  <c r="J16" i="144"/>
  <c r="F16" i="144"/>
  <c r="N15" i="144"/>
  <c r="M15" i="144"/>
  <c r="I15" i="144"/>
  <c r="J15" i="144"/>
  <c r="F15" i="144"/>
  <c r="N14" i="144"/>
  <c r="M14" i="144"/>
  <c r="J14" i="144"/>
  <c r="I14" i="144"/>
  <c r="F14" i="144"/>
  <c r="N13" i="144"/>
  <c r="M13" i="144"/>
  <c r="I13" i="144"/>
  <c r="J13" i="144"/>
  <c r="F13" i="144"/>
  <c r="N12" i="144"/>
  <c r="M12" i="144"/>
  <c r="J12" i="144"/>
  <c r="F12" i="144"/>
  <c r="N11" i="144"/>
  <c r="M11" i="144"/>
  <c r="J11" i="144"/>
  <c r="F11" i="144"/>
  <c r="N10" i="144"/>
  <c r="M10" i="144"/>
  <c r="I10" i="144"/>
  <c r="J10" i="144"/>
  <c r="F10" i="144"/>
  <c r="N9" i="144"/>
  <c r="M9" i="144"/>
  <c r="J9" i="144"/>
  <c r="F9" i="144"/>
  <c r="N8" i="144"/>
  <c r="M8" i="144"/>
  <c r="J8" i="144"/>
  <c r="I8" i="144"/>
  <c r="F8" i="144"/>
  <c r="N7" i="144"/>
  <c r="M7" i="144"/>
  <c r="I7" i="144"/>
  <c r="J7" i="144"/>
  <c r="F7" i="144"/>
  <c r="N6" i="144"/>
  <c r="M6" i="144"/>
  <c r="J6" i="144"/>
  <c r="I6" i="144"/>
  <c r="F6" i="144"/>
  <c r="N5" i="144"/>
  <c r="M5" i="144"/>
  <c r="I5" i="144"/>
  <c r="J5" i="144"/>
  <c r="F5" i="144"/>
  <c r="K1" i="144"/>
  <c r="M40" i="141"/>
  <c r="M39" i="141"/>
  <c r="M38" i="141"/>
  <c r="M37" i="141"/>
  <c r="M36" i="141"/>
  <c r="M35" i="141"/>
  <c r="M34" i="141"/>
  <c r="M33" i="141"/>
  <c r="M32" i="141"/>
  <c r="M31" i="141"/>
  <c r="M30" i="141"/>
  <c r="M29" i="141"/>
  <c r="M28" i="141"/>
  <c r="M27" i="141"/>
  <c r="M26" i="141"/>
  <c r="M25" i="141"/>
  <c r="M24" i="141"/>
  <c r="M23" i="141"/>
  <c r="M22" i="141"/>
  <c r="M21" i="141"/>
  <c r="M20" i="141"/>
  <c r="M19" i="141"/>
  <c r="M18" i="141"/>
  <c r="M17" i="141"/>
  <c r="M16" i="141"/>
  <c r="M15" i="141"/>
  <c r="M14" i="141"/>
  <c r="M13" i="141"/>
  <c r="M12" i="141"/>
  <c r="M11" i="141"/>
  <c r="M10" i="141"/>
  <c r="M9" i="141"/>
  <c r="M8" i="141"/>
  <c r="M7" i="141"/>
  <c r="M6" i="141"/>
  <c r="M5" i="141"/>
  <c r="H48" i="150" l="1"/>
  <c r="G48" i="150" s="1"/>
  <c r="H49" i="150"/>
  <c r="G49" i="150" s="1"/>
  <c r="H55" i="150"/>
  <c r="H49" i="151"/>
  <c r="G49" i="151" s="1"/>
  <c r="H52" i="151"/>
  <c r="G52" i="151" s="1"/>
  <c r="H57" i="151"/>
  <c r="G57" i="151" s="1"/>
  <c r="H55" i="151"/>
  <c r="H48" i="151"/>
  <c r="G48" i="151" s="1"/>
  <c r="H54" i="151"/>
  <c r="G54" i="151" s="1"/>
  <c r="H53" i="151"/>
  <c r="G53" i="151" s="1"/>
  <c r="H51" i="151"/>
  <c r="G51" i="151" s="1"/>
  <c r="H50" i="151"/>
  <c r="H57" i="150"/>
  <c r="G57" i="150" s="1"/>
  <c r="H50" i="150"/>
  <c r="H54" i="150"/>
  <c r="G54" i="150" s="1"/>
  <c r="H51" i="150"/>
  <c r="G51" i="150" s="1"/>
  <c r="D49" i="141"/>
  <c r="H52" i="150"/>
  <c r="G52" i="150" s="1"/>
  <c r="H53" i="150"/>
  <c r="G53" i="150" s="1"/>
  <c r="I55" i="150"/>
  <c r="I50" i="150"/>
  <c r="I55" i="151"/>
  <c r="I50" i="151"/>
  <c r="I12" i="144"/>
  <c r="I32" i="144"/>
  <c r="I22" i="144"/>
  <c r="I11" i="144"/>
  <c r="I21" i="144"/>
  <c r="I31" i="144"/>
  <c r="I19" i="144"/>
  <c r="I28" i="144"/>
  <c r="I29" i="144"/>
  <c r="I37" i="144"/>
  <c r="I38" i="144"/>
  <c r="I9" i="144"/>
  <c r="G55" i="151" l="1"/>
  <c r="G50" i="150"/>
  <c r="G50" i="151"/>
  <c r="G55" i="150"/>
  <c r="H58" i="151"/>
  <c r="H58" i="150"/>
  <c r="I58" i="150"/>
  <c r="I58" i="151"/>
  <c r="G58" i="151" l="1"/>
  <c r="G58" i="150"/>
  <c r="H59" i="150"/>
  <c r="H59" i="151"/>
  <c r="N40" i="141"/>
  <c r="N39" i="141"/>
  <c r="N38" i="141"/>
  <c r="N37" i="141"/>
  <c r="N36" i="141"/>
  <c r="N35" i="141"/>
  <c r="N34" i="141"/>
  <c r="N33" i="141"/>
  <c r="N32" i="141"/>
  <c r="N31" i="141"/>
  <c r="N30" i="141"/>
  <c r="N29" i="141"/>
  <c r="N28" i="141"/>
  <c r="N27" i="141"/>
  <c r="N26" i="141"/>
  <c r="N25" i="141"/>
  <c r="N24" i="141"/>
  <c r="N23" i="141"/>
  <c r="N22" i="141"/>
  <c r="N21" i="141"/>
  <c r="N20" i="141"/>
  <c r="N19" i="141"/>
  <c r="N18" i="141"/>
  <c r="N17" i="141"/>
  <c r="N16" i="141"/>
  <c r="N15" i="141"/>
  <c r="N14" i="141"/>
  <c r="N13" i="141"/>
  <c r="N12" i="141"/>
  <c r="N11" i="141"/>
  <c r="N10" i="141"/>
  <c r="N9" i="141"/>
  <c r="N8" i="141"/>
  <c r="N7" i="141"/>
  <c r="N6" i="141"/>
  <c r="N5" i="141"/>
  <c r="J39" i="141"/>
  <c r="J38" i="141"/>
  <c r="J37" i="141"/>
  <c r="J36" i="141"/>
  <c r="J35" i="141"/>
  <c r="J34" i="141"/>
  <c r="J33" i="141"/>
  <c r="J32" i="141"/>
  <c r="J31" i="141"/>
  <c r="J30" i="141"/>
  <c r="J29" i="141"/>
  <c r="J28" i="141"/>
  <c r="J27" i="141"/>
  <c r="J26" i="141"/>
  <c r="J25" i="141"/>
  <c r="J24" i="141"/>
  <c r="J23" i="141"/>
  <c r="J22" i="141"/>
  <c r="J21" i="141"/>
  <c r="J20" i="141"/>
  <c r="J19" i="141"/>
  <c r="J18" i="141"/>
  <c r="J17" i="141"/>
  <c r="J16" i="141"/>
  <c r="J15" i="141"/>
  <c r="J14" i="141"/>
  <c r="J13" i="141"/>
  <c r="J12" i="141"/>
  <c r="J11" i="141"/>
  <c r="J10" i="141"/>
  <c r="J9" i="141"/>
  <c r="J8" i="141"/>
  <c r="J7" i="141"/>
  <c r="J6" i="141"/>
  <c r="J5" i="141"/>
  <c r="I39" i="141" l="1"/>
  <c r="I38" i="141"/>
  <c r="F38" i="141"/>
  <c r="I37" i="141"/>
  <c r="F37" i="141"/>
  <c r="I36" i="141"/>
  <c r="F36" i="141"/>
  <c r="I35" i="141"/>
  <c r="F35" i="141"/>
  <c r="I34" i="141"/>
  <c r="F34" i="141"/>
  <c r="I33" i="141"/>
  <c r="F33" i="141"/>
  <c r="I32" i="141"/>
  <c r="F32" i="141"/>
  <c r="I31" i="141"/>
  <c r="F31" i="141"/>
  <c r="I30" i="141"/>
  <c r="F30" i="141"/>
  <c r="I29" i="141"/>
  <c r="F29" i="141"/>
  <c r="I28" i="141"/>
  <c r="F28" i="141"/>
  <c r="I27" i="141"/>
  <c r="F27" i="141"/>
  <c r="I26" i="141"/>
  <c r="F26" i="141"/>
  <c r="I25" i="141"/>
  <c r="F25" i="141"/>
  <c r="I24" i="141"/>
  <c r="F24" i="141"/>
  <c r="I23" i="141"/>
  <c r="F23" i="141"/>
  <c r="I22" i="141"/>
  <c r="F22" i="141"/>
  <c r="I21" i="141"/>
  <c r="F21" i="141"/>
  <c r="I20" i="141"/>
  <c r="F20" i="141"/>
  <c r="I19" i="141"/>
  <c r="F19" i="141"/>
  <c r="I18" i="141"/>
  <c r="F18" i="141"/>
  <c r="I17" i="141"/>
  <c r="F17" i="141"/>
  <c r="I16" i="141"/>
  <c r="F16" i="141"/>
  <c r="I15" i="141"/>
  <c r="F15" i="141"/>
  <c r="I14" i="141"/>
  <c r="F14" i="141"/>
  <c r="I13" i="141"/>
  <c r="F13" i="141"/>
  <c r="I12" i="141"/>
  <c r="F12" i="141"/>
  <c r="I11" i="141"/>
  <c r="F11" i="141"/>
  <c r="I10" i="141"/>
  <c r="F10" i="141"/>
  <c r="I9" i="141"/>
  <c r="F9" i="141"/>
  <c r="I8" i="141"/>
  <c r="F8" i="141"/>
  <c r="I7" i="141"/>
  <c r="F7" i="141"/>
  <c r="I6" i="141"/>
  <c r="F6" i="141"/>
  <c r="I5" i="141"/>
  <c r="F5" i="141"/>
  <c r="K1" i="141"/>
  <c r="P37" i="126" l="1"/>
  <c r="P39" i="126"/>
  <c r="P26" i="126"/>
  <c r="P28" i="126"/>
  <c r="P15" i="126"/>
  <c r="P17" i="126"/>
  <c r="K1" i="137"/>
  <c r="K1" i="126"/>
  <c r="H5" i="126"/>
  <c r="H5" i="137"/>
  <c r="I39" i="137"/>
  <c r="I38" i="137"/>
  <c r="I37" i="137"/>
  <c r="H35" i="137"/>
  <c r="I35" i="137" s="1"/>
  <c r="H34" i="137"/>
  <c r="I34" i="137" s="1"/>
  <c r="H33" i="137"/>
  <c r="I33" i="137" s="1"/>
  <c r="H32" i="137"/>
  <c r="I32" i="137" s="1"/>
  <c r="H31" i="137"/>
  <c r="I31" i="137" s="1"/>
  <c r="H30" i="137"/>
  <c r="I30" i="137" s="1"/>
  <c r="H29" i="137"/>
  <c r="I29" i="137" s="1"/>
  <c r="H28" i="137"/>
  <c r="I28" i="137" s="1"/>
  <c r="H27" i="137"/>
  <c r="I27" i="137" s="1"/>
  <c r="H26" i="137"/>
  <c r="I26" i="137" s="1"/>
  <c r="H25" i="137"/>
  <c r="I25" i="137" s="1"/>
  <c r="H24" i="137"/>
  <c r="I24" i="137" s="1"/>
  <c r="H23" i="137"/>
  <c r="I23" i="137" s="1"/>
  <c r="H22" i="137"/>
  <c r="I22" i="137" s="1"/>
  <c r="H21" i="137"/>
  <c r="I21" i="137" s="1"/>
  <c r="H20" i="137"/>
  <c r="I20" i="137" s="1"/>
  <c r="H19" i="137"/>
  <c r="I19" i="137" s="1"/>
  <c r="H18" i="137"/>
  <c r="I18" i="137" s="1"/>
  <c r="H17" i="137"/>
  <c r="I17" i="137" s="1"/>
  <c r="H16" i="137"/>
  <c r="I16" i="137" s="1"/>
  <c r="H15" i="137"/>
  <c r="I15" i="137" s="1"/>
  <c r="H14" i="137"/>
  <c r="I14" i="137" s="1"/>
  <c r="H13" i="137"/>
  <c r="I13" i="137" s="1"/>
  <c r="H12" i="137"/>
  <c r="I12" i="137" s="1"/>
  <c r="H11" i="137"/>
  <c r="I11" i="137" s="1"/>
  <c r="H10" i="137"/>
  <c r="I10" i="137" s="1"/>
  <c r="H9" i="137"/>
  <c r="I9" i="137" s="1"/>
  <c r="H8" i="137"/>
  <c r="I8" i="137" s="1"/>
  <c r="H7" i="137"/>
  <c r="I7" i="137" s="1"/>
  <c r="H6" i="137"/>
  <c r="I6" i="137" s="1"/>
  <c r="F38" i="137"/>
  <c r="F37" i="137"/>
  <c r="I36" i="137"/>
  <c r="F36" i="137"/>
  <c r="F35" i="137"/>
  <c r="F34" i="137"/>
  <c r="F33" i="137"/>
  <c r="F32" i="137"/>
  <c r="F31" i="137"/>
  <c r="F30" i="137"/>
  <c r="F29" i="137"/>
  <c r="F28" i="137"/>
  <c r="F27" i="137"/>
  <c r="F26" i="137"/>
  <c r="F25" i="137"/>
  <c r="F24" i="137"/>
  <c r="F23" i="137"/>
  <c r="F22" i="137"/>
  <c r="F21" i="137"/>
  <c r="F20" i="137"/>
  <c r="F19" i="137"/>
  <c r="F18" i="137"/>
  <c r="F17" i="137"/>
  <c r="F16" i="137"/>
  <c r="F15" i="137"/>
  <c r="F14" i="137"/>
  <c r="F13" i="137"/>
  <c r="F12" i="137"/>
  <c r="F11" i="137"/>
  <c r="F10" i="137"/>
  <c r="F9" i="137"/>
  <c r="F8" i="137"/>
  <c r="F7" i="137"/>
  <c r="F6" i="137"/>
  <c r="F5" i="137"/>
  <c r="I5" i="137" l="1"/>
  <c r="D49" i="137"/>
  <c r="B38" i="136"/>
  <c r="B37" i="136"/>
  <c r="B36" i="136"/>
  <c r="B35" i="136"/>
  <c r="B34" i="136"/>
  <c r="B33" i="136"/>
  <c r="B32" i="136"/>
  <c r="B31" i="136"/>
  <c r="B30" i="136"/>
  <c r="B29" i="136"/>
  <c r="B28" i="136"/>
  <c r="B27" i="136"/>
  <c r="B26" i="136"/>
  <c r="B25" i="136"/>
  <c r="B24" i="136"/>
  <c r="B23" i="136"/>
  <c r="B22" i="136"/>
  <c r="B21" i="136"/>
  <c r="B20" i="136"/>
  <c r="B19" i="136"/>
  <c r="B18" i="136"/>
  <c r="B17" i="136"/>
  <c r="B16" i="136"/>
  <c r="B15" i="136"/>
  <c r="B14" i="136"/>
  <c r="B13" i="136"/>
  <c r="V14" i="136"/>
  <c r="S14" i="136"/>
  <c r="P14" i="136"/>
  <c r="M14" i="136"/>
  <c r="J14" i="136"/>
  <c r="B12" i="136"/>
  <c r="U13" i="136"/>
  <c r="U14" i="136" s="1"/>
  <c r="T13" i="136"/>
  <c r="T14" i="136" s="1"/>
  <c r="R13" i="136"/>
  <c r="R14" i="136" s="1"/>
  <c r="Q13" i="136"/>
  <c r="Q14" i="136" s="1"/>
  <c r="O13" i="136"/>
  <c r="O14" i="136" s="1"/>
  <c r="N13" i="136"/>
  <c r="N14" i="136" s="1"/>
  <c r="L13" i="136"/>
  <c r="L14" i="136" s="1"/>
  <c r="K13" i="136"/>
  <c r="K14" i="136" s="1"/>
  <c r="I13" i="136"/>
  <c r="I14" i="136" s="1"/>
  <c r="H13" i="136"/>
  <c r="B11" i="136"/>
  <c r="B10" i="136"/>
  <c r="B9" i="136"/>
  <c r="B8" i="136"/>
  <c r="B7" i="136"/>
  <c r="B6" i="136"/>
  <c r="B5" i="136"/>
  <c r="B4" i="136"/>
  <c r="K14" i="135"/>
  <c r="B38" i="135"/>
  <c r="B37" i="135"/>
  <c r="B36" i="135"/>
  <c r="B35" i="135"/>
  <c r="B34" i="135"/>
  <c r="B33" i="135"/>
  <c r="B32" i="135"/>
  <c r="B31" i="135"/>
  <c r="B30" i="135"/>
  <c r="B29" i="135"/>
  <c r="B28" i="135"/>
  <c r="B27" i="135"/>
  <c r="B26" i="135"/>
  <c r="B25" i="135"/>
  <c r="B24" i="135"/>
  <c r="B23" i="135"/>
  <c r="B22" i="135"/>
  <c r="B21" i="135"/>
  <c r="B20" i="135"/>
  <c r="B19" i="135"/>
  <c r="B18" i="135"/>
  <c r="B17" i="135"/>
  <c r="B16" i="135"/>
  <c r="B15" i="135"/>
  <c r="B14" i="135"/>
  <c r="B13" i="135"/>
  <c r="Q14" i="135"/>
  <c r="O14" i="135"/>
  <c r="M14" i="135"/>
  <c r="I14" i="135"/>
  <c r="B12" i="135"/>
  <c r="P13" i="135"/>
  <c r="P14" i="135" s="1"/>
  <c r="N13" i="135"/>
  <c r="N14" i="135" s="1"/>
  <c r="L13" i="135"/>
  <c r="L14" i="135" s="1"/>
  <c r="J13" i="135"/>
  <c r="J14" i="135" s="1"/>
  <c r="H13" i="135"/>
  <c r="H14" i="135" s="1"/>
  <c r="B11" i="135"/>
  <c r="B10" i="135"/>
  <c r="B9" i="135"/>
  <c r="B8" i="135"/>
  <c r="B7" i="135"/>
  <c r="B6" i="135"/>
  <c r="B5" i="135"/>
  <c r="B4" i="135"/>
  <c r="Y13" i="136" l="1"/>
  <c r="T13" i="135"/>
  <c r="H14" i="136"/>
  <c r="X13" i="136"/>
  <c r="S13" i="135"/>
  <c r="K14" i="134"/>
  <c r="O14" i="134"/>
  <c r="S14" i="134"/>
  <c r="W14" i="134"/>
  <c r="AA14" i="134"/>
  <c r="H13" i="134"/>
  <c r="H14" i="134" s="1"/>
  <c r="R13" i="135" l="1"/>
  <c r="R14" i="135" s="1"/>
  <c r="W13" i="136"/>
  <c r="W14" i="136" s="1"/>
  <c r="B38" i="134"/>
  <c r="B37" i="134"/>
  <c r="B36" i="134"/>
  <c r="B35" i="134"/>
  <c r="B34" i="134"/>
  <c r="B33" i="134"/>
  <c r="B32" i="134"/>
  <c r="B31" i="134"/>
  <c r="B30" i="134"/>
  <c r="B29" i="134"/>
  <c r="B28" i="134"/>
  <c r="B27" i="134"/>
  <c r="B26" i="134"/>
  <c r="B25" i="134"/>
  <c r="B24" i="134"/>
  <c r="B23" i="134"/>
  <c r="B22" i="134"/>
  <c r="B21" i="134"/>
  <c r="B20" i="134"/>
  <c r="B19" i="134"/>
  <c r="B18" i="134"/>
  <c r="B17" i="134"/>
  <c r="B16" i="134"/>
  <c r="B15" i="134"/>
  <c r="B14" i="134"/>
  <c r="B13" i="134"/>
  <c r="B12" i="134"/>
  <c r="Z13" i="134"/>
  <c r="Z14" i="134" s="1"/>
  <c r="Y13" i="134"/>
  <c r="Y14" i="134" s="1"/>
  <c r="X13" i="134"/>
  <c r="X14" i="134" s="1"/>
  <c r="V13" i="134"/>
  <c r="V14" i="134" s="1"/>
  <c r="U13" i="134"/>
  <c r="U14" i="134" s="1"/>
  <c r="T13" i="134"/>
  <c r="T14" i="134" s="1"/>
  <c r="R13" i="134"/>
  <c r="R14" i="134" s="1"/>
  <c r="Q13" i="134"/>
  <c r="Q14" i="134" s="1"/>
  <c r="P13" i="134"/>
  <c r="P14" i="134" s="1"/>
  <c r="N13" i="134"/>
  <c r="N14" i="134" s="1"/>
  <c r="M13" i="134"/>
  <c r="M14" i="134" s="1"/>
  <c r="L13" i="134"/>
  <c r="L14" i="134" s="1"/>
  <c r="J13" i="134"/>
  <c r="J14" i="134" s="1"/>
  <c r="I13" i="134"/>
  <c r="I14" i="134" s="1"/>
  <c r="B11" i="134"/>
  <c r="B10" i="134"/>
  <c r="B9" i="134"/>
  <c r="B8" i="134"/>
  <c r="B7" i="134"/>
  <c r="B6" i="134"/>
  <c r="B5" i="134"/>
  <c r="B4" i="134"/>
  <c r="C7" i="127"/>
  <c r="C8" i="127"/>
  <c r="C9" i="127"/>
  <c r="C10" i="127"/>
  <c r="C11" i="127"/>
  <c r="C12" i="127"/>
  <c r="C13" i="127"/>
  <c r="C14" i="127"/>
  <c r="C15" i="127"/>
  <c r="C16" i="127"/>
  <c r="C17" i="127"/>
  <c r="C18" i="127"/>
  <c r="C19" i="127"/>
  <c r="C20" i="127"/>
  <c r="C21" i="127"/>
  <c r="C22" i="127"/>
  <c r="C23" i="127"/>
  <c r="C24" i="127"/>
  <c r="C25" i="127"/>
  <c r="C26" i="127"/>
  <c r="C27" i="127"/>
  <c r="C28" i="127"/>
  <c r="C29" i="127"/>
  <c r="C30" i="127"/>
  <c r="C31" i="127"/>
  <c r="C32" i="127"/>
  <c r="C33" i="127"/>
  <c r="C34" i="127"/>
  <c r="C35" i="127"/>
  <c r="C36" i="127"/>
  <c r="C37" i="127"/>
  <c r="C38" i="127"/>
  <c r="C39" i="127"/>
  <c r="C40" i="127"/>
  <c r="AC13" i="134" l="1"/>
  <c r="AD13" i="134"/>
  <c r="AB13" i="134" l="1"/>
  <c r="AB14" i="134" s="1"/>
  <c r="F5" i="126" l="1"/>
  <c r="F6" i="126"/>
  <c r="F7" i="126"/>
  <c r="F8" i="126"/>
  <c r="F9" i="126"/>
  <c r="F10" i="126"/>
  <c r="F11" i="126"/>
  <c r="F12" i="126"/>
  <c r="F13" i="126"/>
  <c r="F14" i="126"/>
  <c r="F15" i="126"/>
  <c r="F16" i="126"/>
  <c r="F17" i="126"/>
  <c r="F18" i="126"/>
  <c r="F19" i="126"/>
  <c r="F20" i="126"/>
  <c r="F21" i="126"/>
  <c r="F22" i="126"/>
  <c r="F23" i="126"/>
  <c r="F24" i="126"/>
  <c r="F25" i="126"/>
  <c r="F26" i="126"/>
  <c r="F27" i="126"/>
  <c r="F28" i="126"/>
  <c r="F29" i="126"/>
  <c r="F30" i="126"/>
  <c r="F31" i="126"/>
  <c r="F32" i="126"/>
  <c r="F33" i="126"/>
  <c r="F34" i="126"/>
  <c r="F35" i="126"/>
  <c r="F36" i="126"/>
  <c r="F37" i="126"/>
  <c r="F38" i="126"/>
  <c r="H6" i="126" l="1"/>
  <c r="H7" i="126"/>
  <c r="I7" i="126" s="1"/>
  <c r="H8" i="126"/>
  <c r="H9" i="126"/>
  <c r="H10" i="126"/>
  <c r="H11" i="126"/>
  <c r="I11" i="126" s="1"/>
  <c r="H12" i="126"/>
  <c r="H13" i="126"/>
  <c r="H14" i="126"/>
  <c r="H15" i="126"/>
  <c r="H16" i="126"/>
  <c r="I16" i="126" s="1"/>
  <c r="H17" i="126"/>
  <c r="I17" i="126" s="1"/>
  <c r="H18" i="126"/>
  <c r="H19" i="126"/>
  <c r="I19" i="126" s="1"/>
  <c r="H20" i="126"/>
  <c r="H21" i="126"/>
  <c r="H22" i="126"/>
  <c r="H23" i="126"/>
  <c r="I23" i="126" s="1"/>
  <c r="H24" i="126"/>
  <c r="H25" i="126"/>
  <c r="H26" i="126"/>
  <c r="I26" i="126" s="1"/>
  <c r="H27" i="126"/>
  <c r="H28" i="126"/>
  <c r="H29" i="126"/>
  <c r="H30" i="126"/>
  <c r="H31" i="126"/>
  <c r="H32" i="126"/>
  <c r="H33" i="126"/>
  <c r="H34" i="126"/>
  <c r="I34" i="126" s="1"/>
  <c r="H35" i="126"/>
  <c r="H36" i="126"/>
  <c r="G5" i="126"/>
  <c r="G6" i="126"/>
  <c r="G7" i="126"/>
  <c r="G8" i="126"/>
  <c r="G9" i="126"/>
  <c r="G10" i="126"/>
  <c r="G11" i="126"/>
  <c r="G12" i="126"/>
  <c r="G13" i="126"/>
  <c r="G14" i="126"/>
  <c r="G15" i="126"/>
  <c r="G16" i="126"/>
  <c r="G17" i="126"/>
  <c r="G18" i="126"/>
  <c r="G19" i="126"/>
  <c r="G20" i="126"/>
  <c r="G21" i="126"/>
  <c r="G22" i="126"/>
  <c r="G23" i="126"/>
  <c r="G24" i="126"/>
  <c r="G25" i="126"/>
  <c r="G26" i="126"/>
  <c r="G27" i="126"/>
  <c r="G28" i="126"/>
  <c r="G29" i="126"/>
  <c r="G30" i="126"/>
  <c r="G31" i="126"/>
  <c r="G32" i="126"/>
  <c r="G33" i="126"/>
  <c r="G34" i="126"/>
  <c r="G35" i="126"/>
  <c r="D49" i="126" l="1"/>
  <c r="I39" i="126"/>
  <c r="I9" i="126"/>
  <c r="I24" i="126"/>
  <c r="I31" i="126"/>
  <c r="I32" i="126"/>
  <c r="I8" i="126"/>
  <c r="I15" i="126"/>
  <c r="I33" i="126"/>
  <c r="I22" i="126"/>
  <c r="I29" i="126"/>
  <c r="I38" i="126"/>
  <c r="I12" i="126"/>
  <c r="I30" i="126"/>
  <c r="I27" i="126"/>
  <c r="I6" i="126"/>
  <c r="I10" i="126"/>
  <c r="I14" i="126"/>
  <c r="I18" i="126"/>
  <c r="I5" i="126"/>
  <c r="I37" i="126"/>
  <c r="I13" i="126"/>
  <c r="I20" i="126"/>
  <c r="I28" i="126"/>
  <c r="I35" i="126"/>
  <c r="I21" i="126"/>
  <c r="I25" i="126"/>
  <c r="I36" i="126"/>
  <c r="A44" i="31" l="1"/>
  <c r="A43"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44" i="55"/>
  <c r="A43"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9" i="56"/>
  <c r="A10" i="56"/>
  <c r="A11" i="56"/>
  <c r="A12" i="56"/>
  <c r="A13" i="56"/>
  <c r="A14" i="56"/>
  <c r="A15" i="56"/>
  <c r="A16" i="56"/>
  <c r="A17" i="56"/>
  <c r="A18" i="56"/>
  <c r="A19" i="56"/>
  <c r="A20" i="56"/>
  <c r="A21" i="56"/>
  <c r="A22" i="56"/>
  <c r="A23" i="56"/>
  <c r="A24" i="56"/>
  <c r="A25" i="56"/>
  <c r="A26" i="56"/>
  <c r="A27" i="56"/>
  <c r="A28" i="56"/>
  <c r="A29" i="56"/>
  <c r="A30" i="56"/>
  <c r="A31" i="56"/>
  <c r="A32" i="56"/>
  <c r="A33" i="56"/>
  <c r="A34" i="56"/>
  <c r="A35" i="56"/>
  <c r="A36" i="56"/>
  <c r="A37" i="56"/>
  <c r="A38" i="56"/>
  <c r="A39" i="56"/>
  <c r="A40" i="56"/>
  <c r="A41" i="56"/>
  <c r="A43" i="56"/>
  <c r="A44" i="56"/>
  <c r="J44" i="56" l="1"/>
  <c r="J43" i="56"/>
  <c r="L43" i="56" s="1"/>
  <c r="M43" i="56" s="1"/>
  <c r="J41" i="56"/>
  <c r="L41" i="56" s="1"/>
  <c r="M41" i="56" s="1"/>
  <c r="J40" i="56"/>
  <c r="L40" i="56" s="1"/>
  <c r="M40" i="56" s="1"/>
  <c r="J39" i="56"/>
  <c r="L39" i="56" s="1"/>
  <c r="M39" i="56" s="1"/>
  <c r="C39" i="56"/>
  <c r="I39" i="56" s="1"/>
  <c r="J38" i="56"/>
  <c r="L38" i="56" s="1"/>
  <c r="M38" i="56" s="1"/>
  <c r="C38" i="56"/>
  <c r="I38" i="56" s="1"/>
  <c r="J37" i="56"/>
  <c r="C37" i="56"/>
  <c r="I37" i="56" s="1"/>
  <c r="J36" i="56"/>
  <c r="C36" i="56"/>
  <c r="I36" i="56" s="1"/>
  <c r="J35" i="56"/>
  <c r="C35" i="56"/>
  <c r="I35" i="56" s="1"/>
  <c r="J34" i="56"/>
  <c r="C34" i="56"/>
  <c r="I34" i="56" s="1"/>
  <c r="J33" i="56"/>
  <c r="C33" i="56"/>
  <c r="I33" i="56" s="1"/>
  <c r="J32" i="56"/>
  <c r="C32" i="56"/>
  <c r="I32" i="56" s="1"/>
  <c r="J31" i="56"/>
  <c r="C31" i="56"/>
  <c r="I31" i="56" s="1"/>
  <c r="J30" i="56"/>
  <c r="C30" i="56"/>
  <c r="I30" i="56" s="1"/>
  <c r="J29" i="56"/>
  <c r="C29" i="56"/>
  <c r="I29" i="56" s="1"/>
  <c r="J28" i="56"/>
  <c r="C28" i="56"/>
  <c r="I28" i="56" s="1"/>
  <c r="J27" i="56"/>
  <c r="C27" i="56"/>
  <c r="I27" i="56" s="1"/>
  <c r="J26" i="56"/>
  <c r="C26" i="56"/>
  <c r="I26" i="56" s="1"/>
  <c r="J25" i="56"/>
  <c r="C25" i="56"/>
  <c r="I25" i="56" s="1"/>
  <c r="J24" i="56"/>
  <c r="C24" i="56"/>
  <c r="I24" i="56" s="1"/>
  <c r="J23" i="56"/>
  <c r="C23" i="56"/>
  <c r="I23" i="56" s="1"/>
  <c r="J22" i="56"/>
  <c r="C22" i="56"/>
  <c r="I22" i="56" s="1"/>
  <c r="J21" i="56"/>
  <c r="C21" i="56"/>
  <c r="I21" i="56" s="1"/>
  <c r="J20" i="56"/>
  <c r="C20" i="56"/>
  <c r="I20" i="56" s="1"/>
  <c r="J19" i="56"/>
  <c r="C19" i="56"/>
  <c r="I19" i="56" s="1"/>
  <c r="J18" i="56"/>
  <c r="C18" i="56"/>
  <c r="I18" i="56" s="1"/>
  <c r="J17" i="56"/>
  <c r="C17" i="56"/>
  <c r="I17" i="56" s="1"/>
  <c r="J16" i="56"/>
  <c r="C16" i="56"/>
  <c r="I16" i="56" s="1"/>
  <c r="J15" i="56"/>
  <c r="C15" i="56"/>
  <c r="I15" i="56" s="1"/>
  <c r="J14" i="56"/>
  <c r="C14" i="56"/>
  <c r="I14" i="56" s="1"/>
  <c r="J13" i="56"/>
  <c r="C13" i="56"/>
  <c r="I13" i="56" s="1"/>
  <c r="J12" i="56"/>
  <c r="C12" i="56"/>
  <c r="I12" i="56" s="1"/>
  <c r="J11" i="56"/>
  <c r="C11" i="56"/>
  <c r="I11" i="56" s="1"/>
  <c r="J10" i="56"/>
  <c r="C10" i="56"/>
  <c r="I10" i="56" s="1"/>
  <c r="J9" i="56"/>
  <c r="C9" i="56"/>
  <c r="I9" i="56" s="1"/>
  <c r="D2" i="56"/>
  <c r="J32" i="31"/>
  <c r="I32" i="31"/>
  <c r="J33" i="31"/>
  <c r="I33" i="31"/>
  <c r="J44" i="55"/>
  <c r="L44" i="55" s="1"/>
  <c r="M44" i="55" s="1"/>
  <c r="I44" i="55"/>
  <c r="J43" i="55"/>
  <c r="L43" i="55" s="1"/>
  <c r="M43" i="55" s="1"/>
  <c r="I43" i="55"/>
  <c r="J41" i="55"/>
  <c r="L41" i="55" s="1"/>
  <c r="M41" i="55" s="1"/>
  <c r="I41" i="55"/>
  <c r="C41" i="55"/>
  <c r="J40" i="55"/>
  <c r="L40" i="55" s="1"/>
  <c r="M40" i="55" s="1"/>
  <c r="I40" i="55"/>
  <c r="C40" i="55"/>
  <c r="J39" i="55"/>
  <c r="L39" i="55" s="1"/>
  <c r="M39" i="55" s="1"/>
  <c r="I39" i="55"/>
  <c r="C39" i="55"/>
  <c r="J38" i="55"/>
  <c r="L38" i="55" s="1"/>
  <c r="M38" i="55" s="1"/>
  <c r="I38" i="55"/>
  <c r="C38" i="55"/>
  <c r="J37" i="55"/>
  <c r="I37" i="55"/>
  <c r="C37" i="55"/>
  <c r="J36" i="55"/>
  <c r="I36" i="55"/>
  <c r="C36" i="55"/>
  <c r="J35" i="55"/>
  <c r="L35" i="55" s="1"/>
  <c r="M35" i="55" s="1"/>
  <c r="I35" i="55"/>
  <c r="C35" i="55"/>
  <c r="J34" i="55"/>
  <c r="I34" i="55"/>
  <c r="C34" i="55"/>
  <c r="J33" i="55"/>
  <c r="I33" i="55"/>
  <c r="C33" i="55"/>
  <c r="J32" i="55"/>
  <c r="I32" i="55"/>
  <c r="C32" i="55"/>
  <c r="J31" i="55"/>
  <c r="I31" i="55"/>
  <c r="C31" i="55"/>
  <c r="J30" i="55"/>
  <c r="I30" i="55"/>
  <c r="C30" i="55"/>
  <c r="J29" i="55"/>
  <c r="I29" i="55"/>
  <c r="C29" i="55"/>
  <c r="J28" i="55"/>
  <c r="I28" i="55"/>
  <c r="C28" i="55"/>
  <c r="J27" i="55"/>
  <c r="I27" i="55"/>
  <c r="C27" i="55"/>
  <c r="J26" i="55"/>
  <c r="I26" i="55"/>
  <c r="C26" i="55"/>
  <c r="J25" i="55"/>
  <c r="I25" i="55"/>
  <c r="C25" i="55"/>
  <c r="J24" i="55"/>
  <c r="I24" i="55"/>
  <c r="C24" i="55"/>
  <c r="J23" i="55"/>
  <c r="I23" i="55"/>
  <c r="C23" i="55"/>
  <c r="J22" i="55"/>
  <c r="I22" i="55"/>
  <c r="C22" i="55"/>
  <c r="J21" i="55"/>
  <c r="I21" i="55"/>
  <c r="C21" i="55"/>
  <c r="J20" i="55"/>
  <c r="I20" i="55"/>
  <c r="C20" i="55"/>
  <c r="J19" i="55"/>
  <c r="I19" i="55"/>
  <c r="C19" i="55"/>
  <c r="J18" i="55"/>
  <c r="I18" i="55"/>
  <c r="C18" i="55"/>
  <c r="J17" i="55"/>
  <c r="I17" i="55"/>
  <c r="C17" i="55"/>
  <c r="J16" i="55"/>
  <c r="I16" i="55"/>
  <c r="C16" i="55"/>
  <c r="J15" i="55"/>
  <c r="I15" i="55"/>
  <c r="C15" i="55"/>
  <c r="J14" i="55"/>
  <c r="I14" i="55"/>
  <c r="C14" i="55"/>
  <c r="J13" i="55"/>
  <c r="I13" i="55"/>
  <c r="C13" i="55"/>
  <c r="J12" i="55"/>
  <c r="I12" i="55"/>
  <c r="C12" i="55"/>
  <c r="J11" i="55"/>
  <c r="I11" i="55"/>
  <c r="C11" i="55"/>
  <c r="J10" i="55"/>
  <c r="I10" i="55"/>
  <c r="C10" i="55"/>
  <c r="J9" i="55"/>
  <c r="I9" i="55"/>
  <c r="C9" i="55"/>
  <c r="C9" i="31"/>
  <c r="I9" i="31"/>
  <c r="J9" i="31"/>
  <c r="C10" i="31"/>
  <c r="I10" i="31"/>
  <c r="J10" i="31"/>
  <c r="C11" i="31"/>
  <c r="I11" i="31"/>
  <c r="J11" i="31"/>
  <c r="C12" i="31"/>
  <c r="I12" i="31"/>
  <c r="J12" i="31"/>
  <c r="C13" i="31"/>
  <c r="I13" i="31"/>
  <c r="J13" i="31"/>
  <c r="C14" i="31"/>
  <c r="I14" i="31"/>
  <c r="J14" i="31"/>
  <c r="C15" i="31"/>
  <c r="I15" i="31"/>
  <c r="J15" i="31"/>
  <c r="C16" i="31"/>
  <c r="I16" i="31"/>
  <c r="J16" i="31"/>
  <c r="C17" i="31"/>
  <c r="I17" i="31"/>
  <c r="J17" i="31"/>
  <c r="C18" i="31"/>
  <c r="I18" i="31"/>
  <c r="J18" i="31"/>
  <c r="C19" i="31"/>
  <c r="I19" i="31"/>
  <c r="J19" i="31"/>
  <c r="C20" i="31"/>
  <c r="I20" i="31"/>
  <c r="J20" i="31"/>
  <c r="C21" i="31"/>
  <c r="I21" i="31"/>
  <c r="J21" i="31"/>
  <c r="C22" i="31"/>
  <c r="I22" i="31"/>
  <c r="J22" i="31"/>
  <c r="C23" i="31"/>
  <c r="I23" i="31"/>
  <c r="J23" i="31"/>
  <c r="C24" i="31"/>
  <c r="I24" i="31"/>
  <c r="J24" i="31"/>
  <c r="C25" i="31"/>
  <c r="I25" i="31"/>
  <c r="J25" i="31"/>
  <c r="C26" i="31"/>
  <c r="I26" i="31"/>
  <c r="J26" i="31"/>
  <c r="C27" i="31"/>
  <c r="I27" i="31"/>
  <c r="J27" i="31"/>
  <c r="C28" i="31"/>
  <c r="I28" i="31"/>
  <c r="J28" i="31"/>
  <c r="C29" i="31"/>
  <c r="I29" i="31"/>
  <c r="J29" i="31"/>
  <c r="C30" i="31"/>
  <c r="I30" i="31"/>
  <c r="J30" i="31"/>
  <c r="C31" i="31"/>
  <c r="I31" i="31"/>
  <c r="J31" i="31"/>
  <c r="C32" i="31"/>
  <c r="C33" i="31"/>
  <c r="C34" i="31"/>
  <c r="I34" i="31"/>
  <c r="J34" i="31"/>
  <c r="C35" i="31"/>
  <c r="I35" i="31"/>
  <c r="J35" i="31"/>
  <c r="C36" i="31"/>
  <c r="I36" i="31"/>
  <c r="J36" i="31"/>
  <c r="L36" i="31" s="1"/>
  <c r="M36" i="31" s="1"/>
  <c r="C37" i="31"/>
  <c r="I37" i="31"/>
  <c r="J37" i="31"/>
  <c r="L37" i="31" s="1"/>
  <c r="M37" i="31" s="1"/>
  <c r="C38" i="31"/>
  <c r="I38" i="31"/>
  <c r="J38" i="31"/>
  <c r="L38" i="31" s="1"/>
  <c r="M38" i="31" s="1"/>
  <c r="C39" i="31"/>
  <c r="I39" i="31"/>
  <c r="J39" i="31"/>
  <c r="L39" i="31" s="1"/>
  <c r="M39" i="31" s="1"/>
  <c r="C40" i="31"/>
  <c r="I40" i="31"/>
  <c r="J40" i="31"/>
  <c r="L40" i="31" s="1"/>
  <c r="M40" i="31" s="1"/>
  <c r="C41" i="31"/>
  <c r="I41" i="31"/>
  <c r="J41" i="31"/>
  <c r="L41" i="31" s="1"/>
  <c r="M41" i="31" s="1"/>
  <c r="I43" i="31"/>
  <c r="J43" i="31"/>
  <c r="L43" i="31" s="1"/>
  <c r="M43" i="31" s="1"/>
  <c r="I44" i="31"/>
  <c r="J44" i="31"/>
  <c r="L44" i="31" s="1"/>
  <c r="M44" i="31" s="1"/>
  <c r="D45" i="31"/>
  <c r="E45" i="31"/>
  <c r="F45" i="31"/>
  <c r="H45" i="31"/>
  <c r="K46" i="31"/>
  <c r="J45" i="56" l="1"/>
  <c r="J46" i="56" s="1"/>
  <c r="I45" i="56"/>
  <c r="I46" i="56" s="1"/>
  <c r="I45" i="55"/>
  <c r="I46" i="55" s="1"/>
  <c r="J45" i="55"/>
  <c r="J46" i="55" s="1"/>
  <c r="L37" i="56"/>
  <c r="M37" i="56" s="1"/>
  <c r="L37" i="55"/>
  <c r="M37" i="55" s="1"/>
  <c r="L36" i="56"/>
  <c r="M36" i="56" s="1"/>
  <c r="L33" i="31"/>
  <c r="M33" i="31" s="1"/>
  <c r="L34" i="55"/>
  <c r="M34" i="55" s="1"/>
  <c r="L36" i="55"/>
  <c r="M36" i="55" s="1"/>
  <c r="L32" i="55"/>
  <c r="M32" i="55" s="1"/>
  <c r="L34" i="56"/>
  <c r="M34" i="56" s="1"/>
  <c r="L35" i="56"/>
  <c r="M35" i="56" s="1"/>
  <c r="L31" i="56"/>
  <c r="M31" i="56" s="1"/>
  <c r="E46" i="31"/>
  <c r="I40" i="149"/>
  <c r="D46" i="31"/>
  <c r="I40" i="137"/>
  <c r="F46" i="31"/>
  <c r="I40" i="144"/>
  <c r="H46" i="31"/>
  <c r="I40" i="153"/>
  <c r="M40" i="151"/>
  <c r="L33" i="56"/>
  <c r="M33" i="56" s="1"/>
  <c r="L32" i="56"/>
  <c r="M32" i="56" s="1"/>
  <c r="J40" i="149"/>
  <c r="L33" i="55"/>
  <c r="M33" i="55" s="1"/>
  <c r="L31" i="55"/>
  <c r="M31" i="55" s="1"/>
  <c r="I40" i="126"/>
  <c r="L44" i="56"/>
  <c r="M44" i="56" s="1"/>
  <c r="D43" i="127"/>
  <c r="L17" i="56"/>
  <c r="M17" i="56" s="1"/>
  <c r="L11" i="56"/>
  <c r="M11" i="56" s="1"/>
  <c r="L10" i="56"/>
  <c r="M10" i="56" s="1"/>
  <c r="L14" i="56"/>
  <c r="M14" i="56" s="1"/>
  <c r="L12" i="55"/>
  <c r="M12" i="55" s="1"/>
  <c r="L20" i="55"/>
  <c r="M20" i="55" s="1"/>
  <c r="L11" i="55"/>
  <c r="M11" i="55" s="1"/>
  <c r="L15" i="55"/>
  <c r="M15" i="55" s="1"/>
  <c r="L19" i="55"/>
  <c r="M19" i="55" s="1"/>
  <c r="L23" i="55"/>
  <c r="M23" i="55" s="1"/>
  <c r="L27" i="55"/>
  <c r="M27" i="55" s="1"/>
  <c r="L12" i="56"/>
  <c r="M12" i="56" s="1"/>
  <c r="L20" i="56"/>
  <c r="M20" i="56" s="1"/>
  <c r="L28" i="56"/>
  <c r="M28" i="56" s="1"/>
  <c r="L14" i="55"/>
  <c r="M14" i="55" s="1"/>
  <c r="L22" i="55"/>
  <c r="M22" i="55" s="1"/>
  <c r="L30" i="55"/>
  <c r="M30" i="55" s="1"/>
  <c r="L19" i="56"/>
  <c r="M19" i="56" s="1"/>
  <c r="L28" i="55"/>
  <c r="M28" i="55" s="1"/>
  <c r="L21" i="56"/>
  <c r="M21" i="56" s="1"/>
  <c r="L29" i="56"/>
  <c r="M29" i="56" s="1"/>
  <c r="L18" i="55"/>
  <c r="M18" i="55" s="1"/>
  <c r="L21" i="55"/>
  <c r="M21" i="55" s="1"/>
  <c r="L29" i="55"/>
  <c r="M29" i="55" s="1"/>
  <c r="L24" i="55"/>
  <c r="M24" i="55" s="1"/>
  <c r="L26" i="55"/>
  <c r="M26" i="55" s="1"/>
  <c r="L17" i="55"/>
  <c r="M17" i="55" s="1"/>
  <c r="L25" i="55"/>
  <c r="M25" i="55" s="1"/>
  <c r="L13" i="55"/>
  <c r="M13" i="55" s="1"/>
  <c r="L10" i="55"/>
  <c r="M10" i="55" s="1"/>
  <c r="L16" i="55"/>
  <c r="M16" i="55" s="1"/>
  <c r="L9" i="55"/>
  <c r="L23" i="56"/>
  <c r="M23" i="56" s="1"/>
  <c r="L18" i="56"/>
  <c r="M18" i="56" s="1"/>
  <c r="L26" i="56"/>
  <c r="M26" i="56" s="1"/>
  <c r="L24" i="56"/>
  <c r="M24" i="56" s="1"/>
  <c r="L27" i="56"/>
  <c r="M27" i="56" s="1"/>
  <c r="L22" i="56"/>
  <c r="M22" i="56" s="1"/>
  <c r="L30" i="56"/>
  <c r="M30" i="56" s="1"/>
  <c r="L25" i="56"/>
  <c r="M25" i="56" s="1"/>
  <c r="L15" i="56"/>
  <c r="M15" i="56" s="1"/>
  <c r="L13" i="56"/>
  <c r="M13" i="56" s="1"/>
  <c r="L16" i="56"/>
  <c r="M16" i="56" s="1"/>
  <c r="L9" i="56"/>
  <c r="L9" i="31"/>
  <c r="M9" i="31" s="1"/>
  <c r="L32" i="31"/>
  <c r="M32" i="31" s="1"/>
  <c r="L28" i="31"/>
  <c r="M28" i="31" s="1"/>
  <c r="L35" i="31"/>
  <c r="M35" i="31" s="1"/>
  <c r="L27" i="31"/>
  <c r="M27" i="31" s="1"/>
  <c r="L19" i="31"/>
  <c r="M19" i="31" s="1"/>
  <c r="L15" i="31"/>
  <c r="M15" i="31" s="1"/>
  <c r="L17" i="31"/>
  <c r="M17" i="31" s="1"/>
  <c r="L25" i="31"/>
  <c r="M25" i="31" s="1"/>
  <c r="L34" i="31"/>
  <c r="M34" i="31" s="1"/>
  <c r="L29" i="31"/>
  <c r="M29" i="31" s="1"/>
  <c r="L24" i="31"/>
  <c r="M24" i="31" s="1"/>
  <c r="L16" i="31"/>
  <c r="M16" i="31" s="1"/>
  <c r="L23" i="31"/>
  <c r="M23" i="31" s="1"/>
  <c r="L13" i="31"/>
  <c r="M13" i="31" s="1"/>
  <c r="L31" i="31"/>
  <c r="M31" i="31" s="1"/>
  <c r="L30" i="31"/>
  <c r="M30" i="31" s="1"/>
  <c r="L18" i="31"/>
  <c r="M18" i="31" s="1"/>
  <c r="L11" i="31"/>
  <c r="M11" i="31" s="1"/>
  <c r="L21" i="31"/>
  <c r="M21" i="31" s="1"/>
  <c r="L10" i="31"/>
  <c r="M10" i="31" s="1"/>
  <c r="L20" i="31"/>
  <c r="M20" i="31" s="1"/>
  <c r="L14" i="31"/>
  <c r="M14" i="31" s="1"/>
  <c r="L22" i="31"/>
  <c r="M22" i="31" s="1"/>
  <c r="I45" i="31"/>
  <c r="I46" i="31" s="1"/>
  <c r="J45" i="31"/>
  <c r="J46" i="31" s="1"/>
  <c r="L12" i="31"/>
  <c r="M12" i="31" s="1"/>
  <c r="L26" i="31"/>
  <c r="M26" i="31" s="1"/>
  <c r="C47" i="31"/>
  <c r="J25" i="178" l="1"/>
  <c r="E15" i="178" s="1"/>
  <c r="E10" i="178"/>
  <c r="J31" i="178"/>
  <c r="E35" i="178" s="1"/>
  <c r="E20" i="178"/>
  <c r="J28" i="178"/>
  <c r="E25" i="178" s="1"/>
  <c r="E30" i="178"/>
  <c r="M9" i="56"/>
  <c r="L45" i="56"/>
  <c r="L46" i="56" s="1"/>
  <c r="M9" i="55"/>
  <c r="L45" i="55"/>
  <c r="L46" i="55" s="1"/>
  <c r="I50" i="126"/>
  <c r="H52" i="126"/>
  <c r="G52" i="126" s="1"/>
  <c r="H48" i="126"/>
  <c r="H54" i="126"/>
  <c r="G54" i="126" s="1"/>
  <c r="H53" i="126"/>
  <c r="G53" i="126" s="1"/>
  <c r="H51" i="126"/>
  <c r="G51" i="126" s="1"/>
  <c r="H57" i="126"/>
  <c r="G57" i="126" s="1"/>
  <c r="H49" i="126"/>
  <c r="G49" i="126" s="1"/>
  <c r="H50" i="126"/>
  <c r="I55" i="126"/>
  <c r="H55" i="126"/>
  <c r="H55" i="137"/>
  <c r="H54" i="137"/>
  <c r="G54" i="137" s="1"/>
  <c r="H48" i="137"/>
  <c r="H53" i="137"/>
  <c r="G53" i="137" s="1"/>
  <c r="H57" i="137"/>
  <c r="G57" i="137" s="1"/>
  <c r="H52" i="137"/>
  <c r="G52" i="137" s="1"/>
  <c r="H49" i="137"/>
  <c r="G49" i="137" s="1"/>
  <c r="H51" i="137"/>
  <c r="G51" i="137" s="1"/>
  <c r="H50" i="137"/>
  <c r="H57" i="149"/>
  <c r="G57" i="149" s="1"/>
  <c r="H49" i="149"/>
  <c r="G49" i="149" s="1"/>
  <c r="H55" i="149"/>
  <c r="H52" i="149"/>
  <c r="G52" i="149" s="1"/>
  <c r="H48" i="149"/>
  <c r="H53" i="149"/>
  <c r="G53" i="149" s="1"/>
  <c r="H54" i="149"/>
  <c r="G54" i="149" s="1"/>
  <c r="H51" i="149"/>
  <c r="G51" i="149" s="1"/>
  <c r="H50" i="149"/>
  <c r="H54" i="144"/>
  <c r="G54" i="144" s="1"/>
  <c r="H50" i="144"/>
  <c r="H53" i="144"/>
  <c r="G53" i="144" s="1"/>
  <c r="H51" i="144"/>
  <c r="G51" i="144" s="1"/>
  <c r="H52" i="144"/>
  <c r="G52" i="144" s="1"/>
  <c r="H48" i="144"/>
  <c r="H55" i="144"/>
  <c r="H49" i="144"/>
  <c r="G49" i="144" s="1"/>
  <c r="H57" i="144"/>
  <c r="G57" i="144" s="1"/>
  <c r="H50" i="153"/>
  <c r="H49" i="153"/>
  <c r="G49" i="153" s="1"/>
  <c r="H55" i="153"/>
  <c r="H52" i="153"/>
  <c r="G52" i="153" s="1"/>
  <c r="H48" i="153"/>
  <c r="H53" i="153"/>
  <c r="G53" i="153" s="1"/>
  <c r="H54" i="153"/>
  <c r="G54" i="153" s="1"/>
  <c r="H51" i="153"/>
  <c r="G51" i="153" s="1"/>
  <c r="H57" i="153"/>
  <c r="G57" i="153" s="1"/>
  <c r="N40" i="151"/>
  <c r="I50" i="137"/>
  <c r="I55" i="137"/>
  <c r="I55" i="153"/>
  <c r="I50" i="153"/>
  <c r="I55" i="144"/>
  <c r="I50" i="144"/>
  <c r="J40" i="144"/>
  <c r="J40" i="153"/>
  <c r="I50" i="149"/>
  <c r="I55" i="149"/>
  <c r="I40" i="152"/>
  <c r="J40" i="152"/>
  <c r="M40" i="150"/>
  <c r="N40" i="150"/>
  <c r="J40" i="141"/>
  <c r="I40" i="141"/>
  <c r="J40" i="148"/>
  <c r="I40" i="148"/>
  <c r="L45" i="31"/>
  <c r="L46" i="31" s="1"/>
  <c r="I58" i="149" l="1"/>
  <c r="G50" i="126"/>
  <c r="G50" i="153"/>
  <c r="G50" i="144"/>
  <c r="G55" i="149"/>
  <c r="M52" i="149" s="1"/>
  <c r="H58" i="137"/>
  <c r="G48" i="137"/>
  <c r="G50" i="149"/>
  <c r="G55" i="144"/>
  <c r="M52" i="144" s="1"/>
  <c r="G50" i="137"/>
  <c r="G55" i="137"/>
  <c r="M52" i="137" s="1"/>
  <c r="H53" i="152"/>
  <c r="G53" i="152" s="1"/>
  <c r="H57" i="152"/>
  <c r="G57" i="152" s="1"/>
  <c r="H49" i="152"/>
  <c r="G49" i="152" s="1"/>
  <c r="H55" i="152"/>
  <c r="H51" i="152"/>
  <c r="G51" i="152" s="1"/>
  <c r="H54" i="152"/>
  <c r="G54" i="152" s="1"/>
  <c r="H48" i="152"/>
  <c r="H52" i="152"/>
  <c r="G52" i="152" s="1"/>
  <c r="H50" i="152"/>
  <c r="H58" i="153"/>
  <c r="G48" i="153"/>
  <c r="H58" i="144"/>
  <c r="G48" i="144"/>
  <c r="G55" i="126"/>
  <c r="M52" i="126" s="1"/>
  <c r="G48" i="126"/>
  <c r="M48" i="126" s="1"/>
  <c r="H58" i="126"/>
  <c r="H51" i="141"/>
  <c r="G51" i="141" s="1"/>
  <c r="H52" i="141"/>
  <c r="G52" i="141" s="1"/>
  <c r="H50" i="141"/>
  <c r="H49" i="141"/>
  <c r="G49" i="141" s="1"/>
  <c r="H55" i="141"/>
  <c r="H57" i="141"/>
  <c r="G57" i="141" s="1"/>
  <c r="H54" i="141"/>
  <c r="G54" i="141" s="1"/>
  <c r="H48" i="141"/>
  <c r="H53" i="141"/>
  <c r="G53" i="141" s="1"/>
  <c r="H51" i="148"/>
  <c r="G51" i="148" s="1"/>
  <c r="H49" i="148"/>
  <c r="G49" i="148" s="1"/>
  <c r="H50" i="148"/>
  <c r="H54" i="148"/>
  <c r="G54" i="148" s="1"/>
  <c r="H55" i="148"/>
  <c r="H57" i="148"/>
  <c r="G57" i="148" s="1"/>
  <c r="H48" i="148"/>
  <c r="H53" i="148"/>
  <c r="G53" i="148" s="1"/>
  <c r="H52" i="148"/>
  <c r="G52" i="148" s="1"/>
  <c r="G55" i="153"/>
  <c r="Q52" i="153" s="1"/>
  <c r="H58" i="149"/>
  <c r="G48" i="149"/>
  <c r="I58" i="126"/>
  <c r="I58" i="153"/>
  <c r="I58" i="144"/>
  <c r="I58" i="137"/>
  <c r="I50" i="152"/>
  <c r="I55" i="152"/>
  <c r="I50" i="148"/>
  <c r="I55" i="148"/>
  <c r="I50" i="141"/>
  <c r="I55" i="141"/>
  <c r="M52" i="150"/>
  <c r="M48" i="151"/>
  <c r="M48" i="150"/>
  <c r="M52" i="151"/>
  <c r="G58" i="144" l="1"/>
  <c r="H59" i="149"/>
  <c r="G58" i="149"/>
  <c r="M48" i="149"/>
  <c r="N51" i="149" s="1"/>
  <c r="G58" i="126"/>
  <c r="M48" i="137"/>
  <c r="M56" i="137" s="1"/>
  <c r="M48" i="144"/>
  <c r="N51" i="144" s="1"/>
  <c r="G50" i="152"/>
  <c r="H58" i="148"/>
  <c r="G48" i="148"/>
  <c r="H58" i="141"/>
  <c r="G48" i="141"/>
  <c r="H59" i="126"/>
  <c r="M56" i="126"/>
  <c r="H58" i="152"/>
  <c r="G48" i="152"/>
  <c r="G55" i="148"/>
  <c r="M52" i="148" s="1"/>
  <c r="G55" i="141"/>
  <c r="M52" i="141" s="1"/>
  <c r="G50" i="148"/>
  <c r="H59" i="144"/>
  <c r="G55" i="152"/>
  <c r="Q52" i="152" s="1"/>
  <c r="G50" i="141"/>
  <c r="G58" i="153"/>
  <c r="G58" i="137"/>
  <c r="H59" i="153"/>
  <c r="H59" i="137"/>
  <c r="I58" i="141"/>
  <c r="Q48" i="153"/>
  <c r="R51" i="153" s="1"/>
  <c r="I58" i="152"/>
  <c r="I58" i="148"/>
  <c r="N51" i="151"/>
  <c r="M56" i="151"/>
  <c r="N51" i="150"/>
  <c r="M56" i="150"/>
  <c r="N51" i="126"/>
  <c r="N51" i="137" l="1"/>
  <c r="M56" i="149"/>
  <c r="M56" i="144"/>
  <c r="G58" i="152"/>
  <c r="G58" i="141"/>
  <c r="H59" i="141"/>
  <c r="H59" i="152"/>
  <c r="G58" i="148"/>
  <c r="H59" i="148"/>
  <c r="Q56" i="153"/>
  <c r="Q48" i="152"/>
  <c r="R51" i="152" s="1"/>
  <c r="M48" i="141"/>
  <c r="M48" i="148"/>
  <c r="Q56" i="152" l="1"/>
  <c r="M56" i="148"/>
  <c r="N51" i="148"/>
  <c r="N51" i="141"/>
  <c r="M56" i="141"/>
  <c r="E8" i="178"/>
  <c r="E28" i="178"/>
  <c r="E18" i="1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E5" authorId="0" shapeId="0" xr:uid="{00000000-0006-0000-2000-000001000000}">
      <text>
        <r>
          <rPr>
            <b/>
            <sz val="10"/>
            <color indexed="81"/>
            <rFont val="Tahoma"/>
            <family val="2"/>
          </rPr>
          <t xml:space="preserve">Wat kunnen we van de leerling verwachten?
</t>
        </r>
        <r>
          <rPr>
            <sz val="10"/>
            <color indexed="81"/>
            <rFont val="Tahoma"/>
            <family val="2"/>
          </rPr>
          <t>Zeer goed           = 4,75
Goed                  = 4,00
Boven gemiddeld = 3,25
Gemiddeld          = 2,50
Onder gemiddeld = 1,75
Zwak                  = 1,00
Zeer zwak           = 0,25</t>
        </r>
      </text>
    </comment>
    <comment ref="I5" authorId="0" shapeId="0" xr:uid="{00000000-0006-0000-2000-000002000000}">
      <text>
        <r>
          <rPr>
            <b/>
            <sz val="10"/>
            <color indexed="81"/>
            <rFont val="Tahoma"/>
            <family val="2"/>
          </rPr>
          <t xml:space="preserve">Wat kunnen we van de leerling verwachten?
</t>
        </r>
        <r>
          <rPr>
            <sz val="10"/>
            <color indexed="81"/>
            <rFont val="Tahoma"/>
            <family val="2"/>
          </rPr>
          <t>Zeer goed           = 4,75
Goed                  = 4,00
Boven gemiddeld = 3,25
Gemiddeld          = 2,50
Onder gemiddeld = 1,75
Zwak                  = 1,00
Zeer zwak           = 0,25</t>
        </r>
      </text>
    </comment>
    <comment ref="L5" authorId="0" shapeId="0" xr:uid="{00000000-0006-0000-2000-000003000000}">
      <text>
        <r>
          <rPr>
            <b/>
            <sz val="10"/>
            <color indexed="81"/>
            <rFont val="Tahoma"/>
            <family val="2"/>
          </rPr>
          <t xml:space="preserve">Kies uit:
</t>
        </r>
        <r>
          <rPr>
            <sz val="10"/>
            <color indexed="81"/>
            <rFont val="Tahoma"/>
            <family val="2"/>
          </rPr>
          <t>NSCCT
NIO
Boom - Begintest gr.3
Boom - Tussentest gr.6
Boom - Eindtest - gr.8
WPPSI-III
WISC-V</t>
        </r>
        <r>
          <rPr>
            <b/>
            <sz val="10"/>
            <color indexed="81"/>
            <rFont val="Tahoma"/>
            <family val="2"/>
          </rPr>
          <t xml:space="preserve">
</t>
        </r>
      </text>
    </comment>
    <comment ref="P5" authorId="0" shapeId="0" xr:uid="{00000000-0006-0000-2000-000004000000}">
      <text>
        <r>
          <rPr>
            <b/>
            <sz val="10"/>
            <color indexed="81"/>
            <rFont val="Tahoma"/>
            <family val="2"/>
          </rPr>
          <t xml:space="preserve">Kies uit:
</t>
        </r>
        <r>
          <rPr>
            <sz val="10"/>
            <color indexed="81"/>
            <rFont val="Tahoma"/>
            <family val="2"/>
          </rPr>
          <t>NSCCT
NIO
Boom - Begintest gr.3
Boom - Tussentest gr.6
Boom - Eindtest - gr.8
WPPSI-III
WISC-V</t>
        </r>
        <r>
          <rPr>
            <b/>
            <sz val="10"/>
            <color indexed="81"/>
            <rFont val="Tahoma"/>
            <family val="2"/>
          </rPr>
          <t xml:space="preserve">
</t>
        </r>
      </text>
    </comment>
    <comment ref="T5" authorId="0" shapeId="0" xr:uid="{00000000-0006-0000-2000-000005000000}">
      <text>
        <r>
          <rPr>
            <b/>
            <sz val="10"/>
            <color indexed="81"/>
            <rFont val="Tahoma"/>
            <family val="2"/>
          </rPr>
          <t xml:space="preserve">Kies uit:
</t>
        </r>
        <r>
          <rPr>
            <sz val="10"/>
            <color indexed="81"/>
            <rFont val="Tahoma"/>
            <family val="2"/>
          </rPr>
          <t>NSCCT
NIO
Boom - Begintest gr.3
Boom - Tussentest gr.6
Boom - Eindtest - gr.8
WPPSI-III
WISC-V</t>
        </r>
        <r>
          <rPr>
            <b/>
            <sz val="10"/>
            <color indexed="81"/>
            <rFont val="Tahoma"/>
            <family val="2"/>
          </rPr>
          <t xml:space="preserve">
</t>
        </r>
      </text>
    </comment>
    <comment ref="X5" authorId="0" shapeId="0" xr:uid="{00000000-0006-0000-2000-000006000000}">
      <text>
        <r>
          <rPr>
            <b/>
            <sz val="10"/>
            <color indexed="81"/>
            <rFont val="Tahoma"/>
            <family val="2"/>
          </rPr>
          <t xml:space="preserve">Kies uit:
</t>
        </r>
        <r>
          <rPr>
            <sz val="10"/>
            <color indexed="81"/>
            <rFont val="Tahoma"/>
            <family val="2"/>
          </rPr>
          <t>NSCCT
NIO
Boom - Begintest gr.3
Boom - Tussentest gr.6
Boom - Eindtest - gr.8
WPPSI-III
WISC-V</t>
        </r>
        <r>
          <rPr>
            <b/>
            <sz val="10"/>
            <color indexed="81"/>
            <rFont val="Tahoma"/>
            <family val="2"/>
          </rPr>
          <t xml:space="preserve">
</t>
        </r>
      </text>
    </comment>
    <comment ref="E6" authorId="1" shapeId="0" xr:uid="{00000000-0006-0000-2000-000007000000}">
      <text>
        <r>
          <rPr>
            <sz val="9"/>
            <color indexed="81"/>
            <rFont val="Tahoma"/>
            <family val="2"/>
          </rPr>
          <t>De uiteindelijke beslissing wordt meegenomen in het tabblad Ontwikkelingsperspectief</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K4" authorId="0" shapeId="0" xr:uid="{00000000-0006-0000-2B00-000001000000}">
      <text>
        <r>
          <rPr>
            <sz val="10"/>
            <color indexed="81"/>
            <rFont val="Arial"/>
            <family val="2"/>
          </rPr>
          <t>Hier kunt u zelf een toets invoeren
Vul in: 
g = goed 
v = voldoende 
m = matig 
o = onvoldoende</t>
        </r>
      </text>
    </comment>
    <comment ref="L4" authorId="0" shapeId="0" xr:uid="{00000000-0006-0000-2B00-000002000000}">
      <text>
        <r>
          <rPr>
            <sz val="10"/>
            <color indexed="81"/>
            <rFont val="Arial"/>
            <family val="2"/>
          </rPr>
          <t>Hier kunt u zelf een toets invoeren
Vul in: 
g = goed 
v = voldoende 
m = matig 
o = onvoldoende</t>
        </r>
      </text>
    </comment>
    <comment ref="M4" authorId="0" shapeId="0" xr:uid="{00000000-0006-0000-2B00-000003000000}">
      <text>
        <r>
          <rPr>
            <sz val="10"/>
            <color indexed="81"/>
            <rFont val="Arial"/>
            <family val="2"/>
          </rPr>
          <t>Hier kunt u zelf een toets invoeren
Vul in: 
g = goed 
v = voldoende 
m = matig 
o = onvoldoende</t>
        </r>
      </text>
    </comment>
    <comment ref="N4" authorId="0" shapeId="0" xr:uid="{00000000-0006-0000-2B00-000004000000}">
      <text>
        <r>
          <rPr>
            <sz val="10"/>
            <color indexed="81"/>
            <rFont val="Arial"/>
            <family val="2"/>
          </rPr>
          <t>Hier kunt u zelf een toets invoeren
Vul in: 
g = goed 
v = voldoende 
m = matig 
o = onvoldoende</t>
        </r>
      </text>
    </comment>
    <comment ref="O4" authorId="0" shapeId="0" xr:uid="{00000000-0006-0000-2B00-000005000000}">
      <text>
        <r>
          <rPr>
            <sz val="10"/>
            <color indexed="81"/>
            <rFont val="Arial"/>
            <family val="2"/>
          </rPr>
          <t>Hier kunt u zelf een toets invoeren
Vul in: 
g = goed 
v = voldoende 
m = matig 
o = onvoldoende</t>
        </r>
      </text>
    </comment>
    <comment ref="P4" authorId="0" shapeId="0" xr:uid="{00000000-0006-0000-2B00-000006000000}">
      <text>
        <r>
          <rPr>
            <sz val="10"/>
            <color indexed="81"/>
            <rFont val="Tahoma"/>
            <family val="2"/>
          </rPr>
          <t>Hier kunt u zelf een toets invoeren
Vul in: 
g = goed 
v = voldoende 
m = matig 
o = onvoldoende</t>
        </r>
      </text>
    </comment>
    <comment ref="Q4" authorId="0" shapeId="0" xr:uid="{00000000-0006-0000-2B00-000007000000}">
      <text>
        <r>
          <rPr>
            <sz val="10"/>
            <color indexed="81"/>
            <rFont val="Tahoma"/>
            <family val="2"/>
          </rPr>
          <t>Hier kunt u zelf een toets invoeren
Vul in: 
g = goed 
v = voldoende 
m = matig 
o = onvoldoende</t>
        </r>
      </text>
    </comment>
    <comment ref="S26" authorId="1" shapeId="0" xr:uid="{00000000-0006-0000-2B00-000008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K4" authorId="0" shapeId="0" xr:uid="{00000000-0006-0000-2C00-000001000000}">
      <text>
        <r>
          <rPr>
            <sz val="10"/>
            <color indexed="81"/>
            <rFont val="Arial"/>
            <family val="2"/>
          </rPr>
          <t>Hier kunt u zelf een toets invoeren
Vul in: 
g = goed 
v = voldoende 
m = matig 
o = onvoldoende</t>
        </r>
      </text>
    </comment>
    <comment ref="L4" authorId="0" shapeId="0" xr:uid="{00000000-0006-0000-2C00-000002000000}">
      <text>
        <r>
          <rPr>
            <sz val="10"/>
            <color indexed="81"/>
            <rFont val="Arial"/>
            <family val="2"/>
          </rPr>
          <t>Hier kunt u zelf een toets invoeren
Vul in: 
g = goed 
v = voldoende 
m = matig 
o = onvoldoende</t>
        </r>
      </text>
    </comment>
    <comment ref="M4" authorId="0" shapeId="0" xr:uid="{00000000-0006-0000-2C00-000003000000}">
      <text>
        <r>
          <rPr>
            <sz val="10"/>
            <color indexed="81"/>
            <rFont val="Arial"/>
            <family val="2"/>
          </rPr>
          <t>Hier kunt u zelf een toets invoeren
Vul in: 
g = goed 
v = voldoende 
m = matig 
o = onvoldoende</t>
        </r>
      </text>
    </comment>
    <comment ref="N4" authorId="0" shapeId="0" xr:uid="{00000000-0006-0000-2C00-000004000000}">
      <text>
        <r>
          <rPr>
            <sz val="10"/>
            <color indexed="81"/>
            <rFont val="Arial"/>
            <family val="2"/>
          </rPr>
          <t>Hier kunt u zelf een toets invoeren
Vul in: 
g = goed 
v = voldoende 
m = matig 
o = onvoldoende</t>
        </r>
      </text>
    </comment>
    <comment ref="O4" authorId="0" shapeId="0" xr:uid="{00000000-0006-0000-2C00-000005000000}">
      <text>
        <r>
          <rPr>
            <sz val="10"/>
            <color indexed="81"/>
            <rFont val="Arial"/>
            <family val="2"/>
          </rPr>
          <t>Hier kunt u zelf een toets invoeren
Vul in: 
g = goed 
v = voldoende 
m = matig 
o = onvoldoende</t>
        </r>
      </text>
    </comment>
    <comment ref="P4" authorId="0" shapeId="0" xr:uid="{00000000-0006-0000-2C00-000006000000}">
      <text>
        <r>
          <rPr>
            <sz val="10"/>
            <color indexed="81"/>
            <rFont val="Tahoma"/>
            <family val="2"/>
          </rPr>
          <t>Hier kunt u zelf een toets invoeren
Vul in: 
g = goed 
v = voldoende 
m = matig 
o = onvoldoende</t>
        </r>
      </text>
    </comment>
    <comment ref="Q4" authorId="0" shapeId="0" xr:uid="{00000000-0006-0000-2C00-000007000000}">
      <text>
        <r>
          <rPr>
            <sz val="10"/>
            <color indexed="81"/>
            <rFont val="Tahoma"/>
            <family val="2"/>
          </rPr>
          <t>Hier kunt u zelf een toets invoeren
Vul in: 
g = goed 
v = voldoende 
m = matig 
o = onvoldoende</t>
        </r>
      </text>
    </comment>
    <comment ref="S26" authorId="1" shapeId="0" xr:uid="{00000000-0006-0000-2C00-000008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Meinen</author>
  </authors>
  <commentList>
    <comment ref="P14" authorId="0" shapeId="0" xr:uid="{026E7372-6EF7-4506-AFB5-6B29F9D34095}">
      <text>
        <r>
          <rPr>
            <b/>
            <u/>
            <sz val="12"/>
            <color indexed="81"/>
            <rFont val="Arial"/>
            <family val="2"/>
          </rPr>
          <t>1. Leerlingen met een onderwijsvraag.</t>
        </r>
        <r>
          <rPr>
            <sz val="12"/>
            <color indexed="81"/>
            <rFont val="Arial"/>
            <family val="2"/>
          </rPr>
          <t xml:space="preserve">
Ze worden binnen de basisondersteuning begeleid.
Getallen worden automatisch ingevoerd.</t>
        </r>
      </text>
    </comment>
    <comment ref="P17" authorId="0" shapeId="0" xr:uid="{0A1EE149-0EC1-4B80-9039-C5AA8191AD52}">
      <text>
        <r>
          <rPr>
            <b/>
            <u/>
            <sz val="12"/>
            <color indexed="81"/>
            <rFont val="Arial"/>
            <family val="2"/>
          </rPr>
          <t>2. Leerlingen met een onderwijsvraag voor extra aandacht.</t>
        </r>
        <r>
          <rPr>
            <sz val="12"/>
            <color indexed="81"/>
            <rFont val="Arial"/>
            <family val="2"/>
          </rPr>
          <t xml:space="preserve">
Ze zijn besproken in het ondersteuningsteam.
Zo mogelijk extern gediagnosticeerd.</t>
        </r>
      </text>
    </comment>
    <comment ref="P18" authorId="0" shapeId="0" xr:uid="{E4B7F858-DCF8-4947-BAEC-EFF0C8378F37}">
      <text>
        <r>
          <rPr>
            <sz val="12"/>
            <color indexed="81"/>
            <rFont val="Arial"/>
            <family val="2"/>
          </rPr>
          <t>Vraag leergebieden: Een leerling heeft extra aandacht nodig bij taal / dictee. 
Basisondersteuning plus leergebieden: Een korte gerichte individuele begeleiding (remedial teaching) van een leerling die extra aandacht krijgt bij taal / dictee.</t>
        </r>
      </text>
    </comment>
    <comment ref="P19" authorId="0" shapeId="0" xr:uid="{8F807E25-B810-43BD-AC62-D0C5EA6431F6}">
      <text>
        <r>
          <rPr>
            <sz val="12"/>
            <color indexed="81"/>
            <rFont val="Arial"/>
            <family val="2"/>
          </rPr>
          <t>Vraag thuissituatie: Een leerling heeft tijdelijk problemen in zijn thuissituatie. 
Basisondersteuning plus thuissituatie: Met de leerling wordt een aantal gesprekken gevoerd door b.v. de intern begeleider, orthopedagoog en/of maatschappelijk werker. Deze vinden onder schooltijd plaats.</t>
        </r>
      </text>
    </comment>
    <comment ref="P20" authorId="0" shapeId="0" xr:uid="{7C5809E7-6BA6-4CD4-9B2E-2504EA9D7E7B}">
      <text>
        <r>
          <rPr>
            <sz val="12"/>
            <color indexed="81"/>
            <rFont val="Arial"/>
            <family val="2"/>
          </rPr>
          <t xml:space="preserve">Vraag fysieke gesteldheid: Een leerling die in een rolstoel zit of een leerling die spastisch is en gebruik maakt van een rollator. 
Basisondersteuning plus fysieke gesteldheid: Een leerling in een rolstoel wordt twee keer per week extra begeleid bij enkele schoolse activiteiten, zoals gymnastiek. </t>
        </r>
      </text>
    </comment>
    <comment ref="P21" authorId="0" shapeId="0" xr:uid="{3B9FB915-8ABE-4A46-AED7-9A1A5870436D}">
      <text>
        <r>
          <rPr>
            <sz val="12"/>
            <color indexed="81"/>
            <rFont val="Arial"/>
            <family val="2"/>
          </rPr>
          <t>Vraag werkhouding: Een leerling heeft extra aandacht nodig bij het uitvoeren van opdragen leer – en ontwikkelingstaken. 
Basisondersteuning plus werkhouding: Een leerling wordt enige tijd, tussen vier en acht weken, extra begeleid, middels  een korte gerichte werkhoudingsprogramma.</t>
        </r>
      </text>
    </comment>
    <comment ref="P22" authorId="0" shapeId="0" xr:uid="{E30F955E-28F2-4130-AE35-386D21056DE9}">
      <text>
        <r>
          <rPr>
            <sz val="12"/>
            <color indexed="81"/>
            <rFont val="Arial"/>
            <family val="2"/>
          </rPr>
          <t>Vraag gedrag: Een leerling heeft extra aandacht nodig bij het omgaan van zijn gedrag. 
Basisondersteuning plus gedrag: Een groep leerlingen wordt enige tijd, tussen vier en acht weken, extra begeleid, middels  een korte gerichte groep SOVA training.</t>
        </r>
      </text>
    </comment>
    <comment ref="P23" authorId="0" shapeId="0" xr:uid="{8A75DF6F-80B8-4DC7-9052-EE2FF280EC41}">
      <text>
        <r>
          <rPr>
            <sz val="12"/>
            <color indexed="81"/>
            <rFont val="Arial"/>
            <family val="2"/>
          </rPr>
          <t xml:space="preserve">Vraag leergebieden: Een leerling heeft geen enkele moeite met leren van zowel taal als rekenen en wil juist meer uitgedaagd worden. 
Basisondersteuning plus leergebieden: Een groep leerlingen die meer of hoogbegaafd zijn, wordt één of twee keer per week apart begeleid door een leraar (plusklas). </t>
        </r>
      </text>
    </comment>
    <comment ref="P24" authorId="0" shapeId="0" xr:uid="{98728324-3E0A-4C14-88F4-CE5C02F0E99C}">
      <text>
        <r>
          <rPr>
            <sz val="12"/>
            <color indexed="81"/>
            <rFont val="Arial"/>
            <family val="2"/>
          </rPr>
          <t xml:space="preserve">Vraag leergebieden: Een leerling heeft veel moeite met leren van zowel taal als rekenen en heeft veel extra aandacht van de leerkracht nodig. 
Basisondersteuning plus leergebieden: Een groep leerlingen die minder begaafd zijn, wordt één of twee keer per week apart begeleid door een leraar. </t>
        </r>
      </text>
    </comment>
    <comment ref="P25" authorId="0" shapeId="0" xr:uid="{D6F19A94-207B-47D5-A899-6630A1520A7C}">
      <text>
        <r>
          <rPr>
            <sz val="12"/>
            <color indexed="81"/>
            <rFont val="Arial"/>
            <family val="2"/>
          </rPr>
          <t>Vraag leergebieden: Een leerling heeft extra aandacht nodig bij het leren van rekenen. 
Basisondersteuning plus leergebieden: Een korte gerichte individuele begeleiding (remedial teaching) van een leerling die extra aandacht krijgt bij rekenen.</t>
        </r>
      </text>
    </comment>
    <comment ref="P26" authorId="0" shapeId="0" xr:uid="{BE76CE93-3D85-40B2-8037-CF92368E2277}">
      <text>
        <r>
          <rPr>
            <sz val="12"/>
            <color indexed="81"/>
            <rFont val="Arial"/>
            <family val="2"/>
          </rPr>
          <t>Deze leerling heeft binnen de groep extra ondersteuning nodig van de leerkracht.
De leerkracht biedt veel structuur, vaste afspraken.
Vaak is er sprake van een apart ingerichte werkplek voor de leerling.</t>
        </r>
      </text>
    </comment>
    <comment ref="P27" authorId="0" shapeId="0" xr:uid="{E8FCF361-2B63-4DFB-8918-E89875B4F48D}">
      <text>
        <r>
          <rPr>
            <sz val="12"/>
            <color indexed="81"/>
            <rFont val="Arial"/>
            <family val="2"/>
          </rPr>
          <t>De leerling wordt minimaal 2x 30 minuten extra begeleid op het gebeid van lezen.
De activiteit vindt plaats naast het normale leesaanbod in de groep.
Begeleiding kan ook bestaan uit minimaal 4x 15 minuten Bouw!</t>
        </r>
      </text>
    </comment>
    <comment ref="P28" authorId="0" shapeId="0" xr:uid="{26B566C7-10E5-4470-9C0D-A2981CEED0A9}">
      <text>
        <r>
          <rPr>
            <sz val="12"/>
            <color indexed="81"/>
            <rFont val="Arial"/>
            <family val="2"/>
          </rPr>
          <t>Hier kunt u zelf nog een gebied voor Basisondersteuning - plus toevoegen</t>
        </r>
      </text>
    </comment>
    <comment ref="P31" authorId="0" shapeId="0" xr:uid="{3363C926-38AE-4136-8359-1DB7B563562B}">
      <text>
        <r>
          <rPr>
            <b/>
            <sz val="12"/>
            <color indexed="81"/>
            <rFont val="Arial"/>
            <family val="2"/>
          </rPr>
          <t>3. Leerlingen met een speciale onderwijsvraag en eventueel zorgvraag.</t>
        </r>
        <r>
          <rPr>
            <sz val="12"/>
            <color indexed="81"/>
            <rFont val="Arial"/>
            <family val="2"/>
          </rPr>
          <t xml:space="preserve">
Ze hebben meer gespecialiseerd onderwijs en eventueel zorgbegeleiding nodig. 
</t>
        </r>
        <r>
          <rPr>
            <b/>
            <sz val="12"/>
            <color indexed="81"/>
            <rFont val="Arial"/>
            <family val="2"/>
          </rPr>
          <t>Dit wordt dan in een OPP uitgewerkt.</t>
        </r>
        <r>
          <rPr>
            <sz val="12"/>
            <color indexed="81"/>
            <rFont val="Arial"/>
            <family val="2"/>
          </rPr>
          <t xml:space="preserve"> 
Ze worden eventueel extern begeleid door een AB’er. </t>
        </r>
      </text>
    </comment>
    <comment ref="P32" authorId="0" shapeId="0" xr:uid="{A8BBE880-5102-4651-BCF0-7BF89D08D1A3}">
      <text>
        <r>
          <rPr>
            <sz val="12"/>
            <color indexed="81"/>
            <rFont val="Arial"/>
            <family val="2"/>
          </rPr>
          <t>Vraag thuissituatie: Een leerling heeft veel en langdurige problemen in zijn thuissituatie. 
Extra ondersteuning thuissituatie: Met de leerling wordt een aantal gesprekken gevoerd door b.v. de intern begeleider, orthopedagoog en/of maatschappelijk werker. Deze vinden onder schooltijd plaats.
Daarnaast vindt er met vaste regelmaat MDO plaats waarbij intern en extern deskundigen met de ouders de hulpvragen bespreken en met elkaar afstemmen.</t>
        </r>
      </text>
    </comment>
    <comment ref="P33" authorId="0" shapeId="0" xr:uid="{FF549F1D-AE9E-4935-B8A8-3DF1F4B722ED}">
      <text>
        <r>
          <rPr>
            <sz val="12"/>
            <color indexed="81"/>
            <rFont val="Arial"/>
            <family val="2"/>
          </rPr>
          <t xml:space="preserve">Vraag fysieke gesteldheid: Een leerling die in een rolstoel zit of een leerling die spastisch is en gebruik maakt van een rollator. Ze moeten af en toe verschoond worden en medicijnen worden toegediend. Ze hebben daarnaast moeite met het leren van taal en rekenen. 
Extra ondersteuning fysieke gesteldheid: Een leerling die spastisch is wordt vier keer per week apart begeleid bij meerdere schoolse activiteiten. </t>
        </r>
      </text>
    </comment>
    <comment ref="P34" authorId="0" shapeId="0" xr:uid="{4EF52044-5711-49A1-824D-456FD9E8B756}">
      <text>
        <r>
          <rPr>
            <sz val="12"/>
            <color indexed="81"/>
            <rFont val="Arial"/>
            <family val="2"/>
          </rPr>
          <t xml:space="preserve">Vraag werkhouding: Een leerling heeft grote moeite met het uitvoeren van opdragen leer – en ontwikkelingstaken. 
Extra ondersteuning gedrag: Een leerling wordt langdurig, ongeveer een half jaar, intensief begeleid om zijn werkhouding te verbeteren. Er wordt een specifiek programma gebruikt hiervoor. Dit kan zowel binnen als buiten de groep plaatsvinden.  </t>
        </r>
      </text>
    </comment>
    <comment ref="P35" authorId="0" shapeId="0" xr:uid="{75B07652-8860-4426-8AE5-5F4C8B631890}">
      <text>
        <r>
          <rPr>
            <sz val="12"/>
            <color indexed="81"/>
            <rFont val="Arial"/>
            <family val="2"/>
          </rPr>
          <t xml:space="preserve">Vraag gedrag: Een leerling heeft grote moeite met het omgaan van zijn gedrag. 
Extra ondersteuning gedrag: Een leerling wordt langdurig, ongeveer een half jaar, begeleid in het omgaan met zijn gedrag. Er wordt een specifiek programma gebruikt hiervoor. Dit kan zowel binnen als buiten de groep plaatsvinden.  </t>
        </r>
      </text>
    </comment>
    <comment ref="P36" authorId="0" shapeId="0" xr:uid="{A3A1A1E8-51F8-45EC-AA91-FBCE60187C98}">
      <text>
        <r>
          <rPr>
            <sz val="12"/>
            <color indexed="81"/>
            <rFont val="Arial"/>
            <family val="2"/>
          </rPr>
          <t xml:space="preserve">Vraag OPP Taal: Een leerling heeft geen enkele moeite met het leren van taal en rekenen. Hij loopt meer dan een jaar voor in zijn cognitieve ontwikkeling vergeleken met de rest van de groep. 
Extra ondersteuning OPP Taal en Rekenen: Voor deze leerling wordt een OPP en een eigen leerlijn voor taal opgesteld. Hierin wordt de ondersteuning uitgestippeld. Elk half jaar vindt evaluatie plaats. De ouders zijn hierbij actief betrokken.
Een groep leerlingen die meer of hoogbegaafd zijn, wordt één of twee keer per week apart begeleid door een leraar (plusklas). 
</t>
        </r>
      </text>
    </comment>
    <comment ref="P37" authorId="0" shapeId="0" xr:uid="{C77DD7BC-7B73-4B27-B906-F978CFF546C8}">
      <text>
        <r>
          <rPr>
            <sz val="12"/>
            <color indexed="81"/>
            <rFont val="Arial"/>
            <family val="2"/>
          </rPr>
          <t>Vraag OPP Taal: Een leerling heeft grote moeite met het leren van taal en rekenen. Hij loopt minimaal een jaar achter in zijn cognitieve ontwikkeling vergeleken met de rest van de groep. 
Extra ondersteuning OPP Taal en Rekenen: Voor deze leerling wordt een OPP en een eigen leerlijn voor taal en rekenen opgesteld. Hierin wordt de ondersteuning uitgestippeld. Elk half jaar vindt evaluatie plaats. De ouders zijn hierbij actief betrokken.</t>
        </r>
      </text>
    </comment>
    <comment ref="P38" authorId="0" shapeId="0" xr:uid="{2AA44754-15AB-4FF3-BBFA-EDAC4749AB8E}">
      <text>
        <r>
          <rPr>
            <sz val="12"/>
            <color indexed="81"/>
            <rFont val="Arial"/>
            <family val="2"/>
          </rPr>
          <t>Vraag OPP Taal: Een leerling heeft grote moeite met het leren van taal. Hij loopt minimaal een jaar achter in zijn cognitieve ontwikkeling vergeleken met de rest van de groep. 
Extra ondersteuning OPP Taal: Voor deze leerling wordt een OPP en een eigen leerlijn voor taal opgesteld. Hierin wordt de ondersteuning uitgestippeld. Elk half jaar vindt evaluatie plaats. De ouders zijn hierbij actief betrokken.</t>
        </r>
      </text>
    </comment>
    <comment ref="P39" authorId="0" shapeId="0" xr:uid="{4DF06392-DA41-4AEB-A5E6-A62533E1F8F9}">
      <text>
        <r>
          <rPr>
            <sz val="12"/>
            <color indexed="81"/>
            <rFont val="Arial"/>
            <family val="2"/>
          </rPr>
          <t xml:space="preserve">Vraag OPP Rekenen: Een leerling heeft grote moeite met het leren van rekenen. Hij loopt minimaal een jaar achter in zijn cognitieve ontwikkeling vergeleken met de rest van de groep. 
Extra ondersteuning OPP Rekenen: Voor deze leerling wordt een OPP en een eigen leerlijn voor rekenen opgesteld. Hierin wordt de ondersteuning uitgestippeld. Elk half jaar vindt evaluatie plaats. De ouders zijn hierbij actief betrokken. </t>
        </r>
      </text>
    </comment>
    <comment ref="P42" authorId="0" shapeId="0" xr:uid="{0DB98386-FA77-40E0-BC4E-F0C235215F05}">
      <text>
        <r>
          <rPr>
            <b/>
            <u/>
            <sz val="12"/>
            <color indexed="81"/>
            <rFont val="Arial"/>
            <family val="2"/>
          </rPr>
          <t>4. Leerlingen met een zeer speciale onderwijs en eventueel zorgvraag.</t>
        </r>
        <r>
          <rPr>
            <sz val="12"/>
            <color indexed="81"/>
            <rFont val="Arial"/>
            <family val="2"/>
          </rPr>
          <t xml:space="preserve">
Ze hebben intensief gespecialiseerd onderwijs en eventueel zorgbegeleiding nodig. Dit wordt ook uitgewerkt in een OPP. 
Ze worden extern begeleid door eventueel een AB’er en intern door een onderwijsassistent.</t>
        </r>
      </text>
    </comment>
    <comment ref="P43" authorId="0" shapeId="0" xr:uid="{0E8A8E30-3C87-4BEF-B07F-DBFFB5102AEC}">
      <text>
        <r>
          <rPr>
            <sz val="12"/>
            <color indexed="81"/>
            <rFont val="Arial"/>
            <family val="2"/>
          </rPr>
          <t>Indicatie Cluster 1: Een leerling heeft een indicatie gekregen voor cluster 1, leerlingen met een visuele beperking. 
Extra ondersteuning plus cluster 1: Een leerling ontvangt ambulante begeleiding vanuit de speciale school voor leerlingen met een visuele beperking. Deze begeleiding wordt uitgewerkt in een begeleidingsplan.</t>
        </r>
      </text>
    </comment>
    <comment ref="P44" authorId="0" shapeId="0" xr:uid="{56856888-40A5-4670-BA90-9B3CA8B77764}">
      <text>
        <r>
          <rPr>
            <sz val="12"/>
            <color indexed="81"/>
            <rFont val="Arial"/>
            <family val="2"/>
          </rPr>
          <t xml:space="preserve">Indicatie Cluster 2: Een leerling heeft een indicatie gekregen voor cluster 2, leerlingen met een auditieve of spraak taal beperking. 
Extra ondersteuning plus cluster 2: Een leerling ontvangt ambulante begeleiding vanuit de speciale school voor leerlingen met een auditieve of spraak taal beperking. Deze begeleiding wordt uitgewerkt in een begeleidingsplan. </t>
        </r>
      </text>
    </comment>
    <comment ref="P45" authorId="0" shapeId="0" xr:uid="{646C884D-B600-4AC0-9FE8-1F2BD49325D3}">
      <text>
        <r>
          <rPr>
            <sz val="12"/>
            <color indexed="81"/>
            <rFont val="Arial"/>
            <family val="2"/>
          </rPr>
          <t>Vraag fysieke gesteldheid: Een leerling die in een rolstoel zit of een leerling die spastisch is en gebruik maakt van een rollator. 
Ze moeten af en toe verschoond worden en medicijnen worden toegediend. 
Ze hebben daarnaast zeer grote moeite met het leren van taal, rekenen en omgaan met hun gedrag. 
Extra ondersteuning plus fysieke gesteldheid: Een leerling die spastisch is wordt bijna de gehele week apart begeleid bij meerdere schoolse activiteiten.</t>
        </r>
      </text>
    </comment>
    <comment ref="P46" authorId="0" shapeId="0" xr:uid="{A1D44459-9C4B-40B8-B762-83A31C2BA927}">
      <text>
        <r>
          <rPr>
            <sz val="12"/>
            <color indexed="81"/>
            <rFont val="Arial"/>
            <family val="2"/>
          </rPr>
          <t>Vraag gedrag: Een leerling heeft zeer grote moeite met het omgaan van zijn gedrag. 
Extra ondersteuning plus gedrag: Een leerling ontvangt ambulante begeleiding vanuit het samenwerkingsverband of bestuur (expertise centrum). Deze begeleiding wordt uitgewerkt in een begeleidingsplan</t>
        </r>
      </text>
    </comment>
    <comment ref="P47" authorId="0" shapeId="0" xr:uid="{1594EEF5-C6B0-4A1D-9BB3-6A07EC5B79F5}">
      <text>
        <r>
          <rPr>
            <sz val="12"/>
            <color indexed="81"/>
            <rFont val="Arial"/>
            <family val="2"/>
          </rPr>
          <t xml:space="preserve">Vraag leergebieden: Een leerling met een verstandelijke beperking heeft zeer grote moeite met het leren van taal en rekenen. Hij loopt enige jaren achter in zijn cognitieve ontwikkeling vergeleken met de rest van de groep. 
Extra ondersteuning plus leergebieden: Een leerling met een Downsyndroom wordt de gehele week begeleid door een onderwijsassistent.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Harrie Meinen | De Kardoen</author>
    <author>School</author>
    <author>Meinen</author>
  </authors>
  <commentList>
    <comment ref="J4" authorId="0" shapeId="0" xr:uid="{AEA93AA7-9E80-4171-BB6A-BFF0788B6081}">
      <text>
        <r>
          <rPr>
            <b/>
            <sz val="10"/>
            <color indexed="81"/>
            <rFont val="Arial"/>
            <family val="2"/>
          </rPr>
          <t>EMT - Brus 2019
                                percentiel
1 = zeer goed                &gt;= 91     = A+
2 = goed                        = 75-90  = A-
3 = gemiddeld                = 25-74  = C+B
4 = laag gemiddeld         = 17-24  = D+
5 = beneden gemiddeld  = 11-16  = D-
6 = zwak                        = 4-10    = E+
7 = zeer zwak                &lt;= 3       = E-</t>
        </r>
        <r>
          <rPr>
            <sz val="10"/>
            <color indexed="81"/>
            <rFont val="Arial"/>
            <family val="2"/>
          </rPr>
          <t xml:space="preserve">            </t>
        </r>
      </text>
    </comment>
    <comment ref="L4" authorId="1" shapeId="0" xr:uid="{00000000-0006-0000-2300-000002000000}">
      <text>
        <r>
          <rPr>
            <sz val="10"/>
            <color indexed="81"/>
            <rFont val="Arial"/>
            <family val="2"/>
          </rPr>
          <t>Hier kunt u zelf een toets invoeren
Vul in: scores / leerrendement / niveauwaarde</t>
        </r>
      </text>
    </comment>
    <comment ref="O26" authorId="2" shapeId="0" xr:uid="{00000000-0006-0000-2300-000003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Harrie Meinen | De Kardoen</author>
    <author>School</author>
    <author>Meinen</author>
  </authors>
  <commentList>
    <comment ref="J4" authorId="0" shapeId="0" xr:uid="{00000000-0006-0000-2400-000001000000}">
      <text>
        <r>
          <rPr>
            <b/>
            <sz val="10"/>
            <color indexed="81"/>
            <rFont val="Arial"/>
            <family val="2"/>
          </rPr>
          <t>EMT - Brus 2019
                                percentiel
1 = zeer goed                &gt;= 91     = A+
2 = goed                        = 75-90  = A-
3 = gemiddeld                = 25-74  = C+B
4 = laag gemiddeld         = 17-24  = D+
5 = beneden gemiddeld  = 11-16  = D-
6 = zwak                        = 4-10    = E+
7 = zeer zwak                &lt;= 3       = E-</t>
        </r>
        <r>
          <rPr>
            <sz val="10"/>
            <color indexed="81"/>
            <rFont val="Arial"/>
            <family val="2"/>
          </rPr>
          <t xml:space="preserve">            </t>
        </r>
      </text>
    </comment>
    <comment ref="L4" authorId="1" shapeId="0" xr:uid="{00000000-0006-0000-2400-000002000000}">
      <text>
        <r>
          <rPr>
            <sz val="10"/>
            <color indexed="81"/>
            <rFont val="Arial"/>
            <family val="2"/>
          </rPr>
          <t>Hier kunt u zelf een toets invoeren
Vul in: scores / leerrendement / niveauwaarde</t>
        </r>
      </text>
    </comment>
    <comment ref="O26" authorId="2" shapeId="0" xr:uid="{00000000-0006-0000-2400-000003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500-000001000000}">
      <text>
        <r>
          <rPr>
            <sz val="10"/>
            <color indexed="81"/>
            <rFont val="Arial"/>
            <family val="2"/>
          </rPr>
          <t>Hier kunt u zelf een toets invoeren
Vul in: scores / leerrendement / niveauwaarde</t>
        </r>
      </text>
    </comment>
    <comment ref="O26" authorId="1" shapeId="0" xr:uid="{00000000-0006-0000-25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600-000001000000}">
      <text>
        <r>
          <rPr>
            <sz val="10"/>
            <color indexed="81"/>
            <rFont val="Arial"/>
            <family val="2"/>
          </rPr>
          <t>Hier kunt u zelf een toets invoeren
Vul in: scores / leerrendement / niveauwaarde</t>
        </r>
      </text>
    </comment>
    <comment ref="O26" authorId="1" shapeId="0" xr:uid="{00000000-0006-0000-26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700-000001000000}">
      <text>
        <r>
          <rPr>
            <sz val="10"/>
            <color indexed="81"/>
            <rFont val="Arial"/>
            <family val="2"/>
          </rPr>
          <t>Hier kunt u zelf een toets invoeren
Vul in: scores / leerrendement / niveauwaarde</t>
        </r>
      </text>
    </comment>
    <comment ref="O26" authorId="1" shapeId="0" xr:uid="{00000000-0006-0000-27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800-000001000000}">
      <text>
        <r>
          <rPr>
            <sz val="10"/>
            <color indexed="81"/>
            <rFont val="Arial"/>
            <family val="2"/>
          </rPr>
          <t>Hier kunt u zelf een toets invoeren
Vul in: scores / leerrendement / niveauwaarde</t>
        </r>
      </text>
    </comment>
    <comment ref="O26" authorId="1" shapeId="0" xr:uid="{00000000-0006-0000-28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900-000001000000}">
      <text>
        <r>
          <rPr>
            <sz val="10"/>
            <color indexed="81"/>
            <rFont val="Arial"/>
            <family val="2"/>
          </rPr>
          <t>Hier kunt u zelf een toets invoeren
Vul in: scores / leerrendement / niveauwaarde</t>
        </r>
      </text>
    </comment>
    <comment ref="O26" authorId="1" shapeId="0" xr:uid="{00000000-0006-0000-29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A00-000001000000}">
      <text>
        <r>
          <rPr>
            <sz val="10"/>
            <color indexed="81"/>
            <rFont val="Arial"/>
            <family val="2"/>
          </rPr>
          <t>Hier kunt u zelf een toets invoeren
Vul in: scores / leerrendement / niveauwaarde</t>
        </r>
      </text>
    </comment>
    <comment ref="O26" authorId="1" shapeId="0" xr:uid="{00000000-0006-0000-2A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sharedStrings.xml><?xml version="1.0" encoding="utf-8"?>
<sst xmlns="http://schemas.openxmlformats.org/spreadsheetml/2006/main" count="2382" uniqueCount="571">
  <si>
    <t>informatie bij AANLEG</t>
  </si>
  <si>
    <r>
      <t xml:space="preserve">Zo voer je de </t>
    </r>
    <r>
      <rPr>
        <b/>
        <u/>
        <sz val="16"/>
        <color rgb="FFFF0000"/>
        <rFont val="Arial"/>
        <family val="2"/>
      </rPr>
      <t>niveauwaarden</t>
    </r>
    <r>
      <rPr>
        <b/>
        <sz val="16"/>
        <color rgb="FFFF0000"/>
        <rFont val="Arial"/>
        <family val="2"/>
      </rPr>
      <t xml:space="preserve"> van ParnasSys in het Groepsplan</t>
    </r>
  </si>
  <si>
    <t xml:space="preserve">Stap 1: ParnasSys </t>
  </si>
  <si>
    <r>
      <t>1.</t>
    </r>
    <r>
      <rPr>
        <sz val="7"/>
        <rFont val="Times New Roman"/>
        <family val="1"/>
      </rPr>
      <t xml:space="preserve">       </t>
    </r>
    <r>
      <rPr>
        <sz val="11"/>
        <rFont val="Calibri"/>
        <family val="2"/>
      </rPr>
      <t xml:space="preserve">Log in op de site van </t>
    </r>
    <r>
      <rPr>
        <b/>
        <u/>
        <sz val="11"/>
        <rFont val="Calibri"/>
        <family val="2"/>
      </rPr>
      <t>ParnasSys</t>
    </r>
  </si>
  <si>
    <r>
      <t>2.</t>
    </r>
    <r>
      <rPr>
        <sz val="7"/>
        <rFont val="Times New Roman"/>
        <family val="1"/>
      </rPr>
      <t xml:space="preserve">       </t>
    </r>
    <r>
      <rPr>
        <sz val="11"/>
        <rFont val="Calibri"/>
        <family val="2"/>
      </rPr>
      <t xml:space="preserve">Ga naar de </t>
    </r>
    <r>
      <rPr>
        <b/>
        <u/>
        <sz val="11"/>
        <rFont val="Calibri"/>
        <family val="2"/>
      </rPr>
      <t>Groep</t>
    </r>
    <r>
      <rPr>
        <sz val="11"/>
        <rFont val="Calibri"/>
        <family val="2"/>
      </rPr>
      <t xml:space="preserve"> - daarna naar </t>
    </r>
    <r>
      <rPr>
        <b/>
        <u/>
        <sz val="11"/>
        <rFont val="Calibri"/>
        <family val="2"/>
      </rPr>
      <t>Groepskaart</t>
    </r>
  </si>
  <si>
    <r>
      <t>3.</t>
    </r>
    <r>
      <rPr>
        <sz val="7"/>
        <rFont val="Times New Roman"/>
        <family val="1"/>
      </rPr>
      <t xml:space="preserve">       </t>
    </r>
    <r>
      <rPr>
        <sz val="11"/>
        <rFont val="Calibri"/>
        <family val="2"/>
      </rPr>
      <t>Zorg dat de Niet-methodetoetsen (rolvenster) op Niveauwaarde – Recent staat (zie hieronder)</t>
    </r>
  </si>
  <si>
    <t xml:space="preserve">                           </t>
  </si>
  <si>
    <r>
      <t xml:space="preserve">             4.</t>
    </r>
    <r>
      <rPr>
        <sz val="7"/>
        <rFont val="Times New Roman"/>
        <family val="1"/>
      </rPr>
      <t xml:space="preserve">         </t>
    </r>
    <r>
      <rPr>
        <b/>
        <u/>
        <sz val="11"/>
        <rFont val="Calibri"/>
        <family val="2"/>
      </rPr>
      <t xml:space="preserve">Selecteer </t>
    </r>
    <r>
      <rPr>
        <sz val="11"/>
        <rFont val="Calibri"/>
        <family val="2"/>
      </rPr>
      <t xml:space="preserve">(met linker muisknop ingedrukt van linksboven naar rechtsonder over het blad bewegen) </t>
    </r>
    <r>
      <rPr>
        <b/>
        <u/>
        <sz val="11"/>
        <rFont val="Calibri"/>
        <family val="2"/>
      </rPr>
      <t>+ KOPIEER</t>
    </r>
    <r>
      <rPr>
        <sz val="11"/>
        <rFont val="Calibri"/>
        <family val="2"/>
      </rPr>
      <t xml:space="preserve"> de niveauwaarden (rechter muisknop)</t>
    </r>
  </si>
  <si>
    <t xml:space="preserve">                                           </t>
  </si>
  <si>
    <t>Stap 2: Excel</t>
  </si>
  <si>
    <r>
      <t>1.</t>
    </r>
    <r>
      <rPr>
        <sz val="7"/>
        <rFont val="Times New Roman"/>
        <family val="1"/>
      </rPr>
      <t xml:space="preserve">       </t>
    </r>
    <r>
      <rPr>
        <sz val="11"/>
        <rFont val="Calibri"/>
        <family val="2"/>
      </rPr>
      <t xml:space="preserve">Open een NIEUW </t>
    </r>
    <r>
      <rPr>
        <b/>
        <u/>
        <sz val="11"/>
        <rFont val="Calibri"/>
        <family val="2"/>
      </rPr>
      <t>Excel-sheet</t>
    </r>
  </si>
  <si>
    <r>
      <t>2.</t>
    </r>
    <r>
      <rPr>
        <sz val="7"/>
        <rFont val="Times New Roman"/>
        <family val="1"/>
      </rPr>
      <t xml:space="preserve">       </t>
    </r>
    <r>
      <rPr>
        <b/>
        <u/>
        <sz val="11"/>
        <rFont val="Calibri"/>
        <family val="2"/>
      </rPr>
      <t>Plak</t>
    </r>
    <r>
      <rPr>
        <sz val="11"/>
        <rFont val="Calibri"/>
        <family val="2"/>
      </rPr>
      <t xml:space="preserve"> de niveauwaarden in het excel-sheet (Selectie </t>
    </r>
    <r>
      <rPr>
        <b/>
        <u/>
        <sz val="11"/>
        <rFont val="Calibri"/>
        <family val="2"/>
      </rPr>
      <t>NIET</t>
    </r>
    <r>
      <rPr>
        <sz val="11"/>
        <rFont val="Calibri"/>
        <family val="2"/>
      </rPr>
      <t xml:space="preserve"> ongedaan maken)</t>
    </r>
  </si>
  <si>
    <r>
      <t>3.</t>
    </r>
    <r>
      <rPr>
        <sz val="7"/>
        <rFont val="Times New Roman"/>
        <family val="1"/>
      </rPr>
      <t xml:space="preserve">       </t>
    </r>
    <r>
      <rPr>
        <sz val="11"/>
        <rFont val="Calibri"/>
        <family val="2"/>
      </rPr>
      <t>Maak de getallen zwart (tekst – Automatisch)</t>
    </r>
  </si>
  <si>
    <t xml:space="preserve">                                          </t>
  </si>
  <si>
    <r>
      <t xml:space="preserve">               4.</t>
    </r>
    <r>
      <rPr>
        <sz val="7"/>
        <rFont val="Times New Roman"/>
        <family val="1"/>
      </rPr>
      <t xml:space="preserve">         </t>
    </r>
    <r>
      <rPr>
        <sz val="11"/>
        <rFont val="Calibri"/>
        <family val="2"/>
      </rPr>
      <t xml:space="preserve">Maak de </t>
    </r>
    <r>
      <rPr>
        <b/>
        <u/>
        <sz val="11"/>
        <rFont val="Calibri"/>
        <family val="2"/>
      </rPr>
      <t>randen</t>
    </r>
    <r>
      <rPr>
        <sz val="11"/>
        <rFont val="Calibri"/>
        <family val="2"/>
      </rPr>
      <t xml:space="preserve"> zwart (Alle randen)</t>
    </r>
  </si>
  <si>
    <t xml:space="preserve">                                             </t>
  </si>
  <si>
    <r>
      <t>5.</t>
    </r>
    <r>
      <rPr>
        <sz val="7"/>
        <rFont val="Times New Roman"/>
        <family val="1"/>
      </rPr>
      <t xml:space="preserve">         </t>
    </r>
    <r>
      <rPr>
        <b/>
        <u/>
        <sz val="11"/>
        <rFont val="Calibri"/>
        <family val="2"/>
      </rPr>
      <t>Eventueel</t>
    </r>
    <r>
      <rPr>
        <sz val="11"/>
        <rFont val="Calibri"/>
        <family val="2"/>
      </rPr>
      <t xml:space="preserve"> via Celeigenschappen (= klik op de rechtermuisknop) één cijfer achter de komma</t>
    </r>
  </si>
  <si>
    <r>
      <t>6.</t>
    </r>
    <r>
      <rPr>
        <sz val="7"/>
        <rFont val="Times New Roman"/>
        <family val="1"/>
      </rPr>
      <t xml:space="preserve">         </t>
    </r>
    <r>
      <rPr>
        <sz val="11"/>
        <rFont val="Calibri"/>
        <family val="2"/>
      </rPr>
      <t>Selecteer + kopieer een kolom (niveauwaarden) van het excel sheet</t>
    </r>
  </si>
  <si>
    <t>Stap 3: Groepsplan</t>
  </si>
  <si>
    <r>
      <t>1.</t>
    </r>
    <r>
      <rPr>
        <sz val="7"/>
        <rFont val="Times New Roman"/>
        <family val="1"/>
      </rPr>
      <t xml:space="preserve">       </t>
    </r>
    <r>
      <rPr>
        <sz val="11"/>
        <rFont val="Calibri"/>
        <family val="2"/>
      </rPr>
      <t xml:space="preserve">Open </t>
    </r>
    <r>
      <rPr>
        <b/>
        <u/>
        <sz val="11"/>
        <rFont val="Calibri"/>
        <family val="2"/>
      </rPr>
      <t>Groepsplan</t>
    </r>
  </si>
  <si>
    <r>
      <t>2.</t>
    </r>
    <r>
      <rPr>
        <sz val="7"/>
        <rFont val="Times New Roman"/>
        <family val="1"/>
      </rPr>
      <t xml:space="preserve">       </t>
    </r>
    <r>
      <rPr>
        <sz val="11"/>
        <rFont val="Calibri"/>
        <family val="2"/>
      </rPr>
      <t>Ga naar het tabblad NIVEAU WAARDE</t>
    </r>
  </si>
  <si>
    <r>
      <t>3.</t>
    </r>
    <r>
      <rPr>
        <sz val="7"/>
        <rFont val="Times New Roman"/>
        <family val="1"/>
      </rPr>
      <t xml:space="preserve">       </t>
    </r>
    <r>
      <rPr>
        <sz val="11"/>
        <rFont val="Calibri"/>
        <family val="2"/>
      </rPr>
      <t>Plak (rechter muisknop) de geselecteerde kolom (zie blz.3) in de kolom van Groepsplan</t>
    </r>
  </si>
  <si>
    <r>
      <t xml:space="preserve">               4.</t>
    </r>
    <r>
      <rPr>
        <sz val="7"/>
        <rFont val="Times New Roman"/>
        <family val="1"/>
      </rPr>
      <t xml:space="preserve">         </t>
    </r>
    <r>
      <rPr>
        <sz val="11"/>
        <rFont val="Calibri"/>
        <family val="2"/>
      </rPr>
      <t>Zo alle scores per kolom invoeren</t>
    </r>
  </si>
  <si>
    <t>Handige Stap: 2 schermen naast elkaar</t>
  </si>
  <si>
    <t>1.     Het is best handig om met 2 schermen naast elkaar te werken:</t>
  </si>
  <si>
    <t xml:space="preserve">        2.     Links = de kolommen met scores / Rechts = het Groepsplan</t>
  </si>
  <si>
    <t xml:space="preserve">        3.     Klik op het bestand + druk op de windows-knop + pijltjestoets (naar links of rechts)</t>
  </si>
  <si>
    <t>Informatie bij OPO (Opbrengstgericht Passend Onderwijs)</t>
  </si>
  <si>
    <t>informatie bij het PLAN PER VAK</t>
  </si>
  <si>
    <t>Informatie bij OPP ( = OntwikkelingsPersPectief)</t>
  </si>
  <si>
    <t>Informatie bij DL - DLE</t>
  </si>
  <si>
    <t>informatie bij BASISAANPAK</t>
  </si>
  <si>
    <t>informatie bij INTENSIEVE AANPAK en VERRIJKTE AANPAK</t>
  </si>
  <si>
    <t>informatie bij LijV - groepsoverzicht</t>
  </si>
  <si>
    <t>Informatie bij KINDGESPREK</t>
  </si>
  <si>
    <t>Informatie bij ADVIES VO</t>
  </si>
  <si>
    <t>Informatie bij SOCIAAL EMOTIONEEL</t>
  </si>
  <si>
    <t>gem.</t>
  </si>
  <si>
    <t>GROEP</t>
  </si>
  <si>
    <t>Didactische
Leefijd (DL)</t>
  </si>
  <si>
    <t>NIVEAUWAARDE</t>
  </si>
  <si>
    <t>DL / DLE</t>
  </si>
  <si>
    <t xml:space="preserve">datum: </t>
  </si>
  <si>
    <t>groep</t>
  </si>
  <si>
    <t>namen leerlingen:</t>
  </si>
  <si>
    <t>technisch lezen</t>
  </si>
  <si>
    <t>spelling</t>
  </si>
  <si>
    <t>begrijpend lezen</t>
  </si>
  <si>
    <t>rekenen &amp; wiskunde</t>
  </si>
  <si>
    <t>hoofdrekenen</t>
  </si>
  <si>
    <t>totaal</t>
  </si>
  <si>
    <t>aantal toetsen</t>
  </si>
  <si>
    <t>Gemiddeld</t>
  </si>
  <si>
    <t>Niveau</t>
  </si>
  <si>
    <t>Gem. leerrendement</t>
  </si>
  <si>
    <t xml:space="preserve">namen </t>
  </si>
  <si>
    <t xml:space="preserve">groep </t>
  </si>
  <si>
    <t>TL - vorig jaar</t>
  </si>
  <si>
    <t>volgende periode</t>
  </si>
  <si>
    <t>SP - vorig jaar</t>
  </si>
  <si>
    <t>BL - vorig jaar</t>
  </si>
  <si>
    <t>R&amp;W - vorig jaar</t>
  </si>
  <si>
    <t>HR - vorig jaar</t>
  </si>
  <si>
    <t>gemiddeld</t>
  </si>
  <si>
    <t>IK KAN</t>
  </si>
  <si>
    <t>Hier ben ik trots op</t>
  </si>
  <si>
    <t>DOEL</t>
  </si>
  <si>
    <t>Dit wil ik leren</t>
  </si>
  <si>
    <t>HOE</t>
  </si>
  <si>
    <t>Zo ga ik dat doen</t>
  </si>
  <si>
    <t>NODIG</t>
  </si>
  <si>
    <t>Dit heb ik nodig</t>
  </si>
  <si>
    <t>EVALUATIE</t>
  </si>
  <si>
    <t>datum:
Ik heb mijn doel wel / niet bereikt, want</t>
  </si>
  <si>
    <t>TL - 1e periode</t>
  </si>
  <si>
    <t>SP - 1e periode</t>
  </si>
  <si>
    <t>BL - 1e periode</t>
  </si>
  <si>
    <t>R&amp;W - 1e periode</t>
  </si>
  <si>
    <t>HR - 1e periode</t>
  </si>
  <si>
    <t>TL - 2e periode</t>
  </si>
  <si>
    <t>SP - 2e periode</t>
  </si>
  <si>
    <t>BL - 2e periode</t>
  </si>
  <si>
    <t>R&amp;W - 2e periode</t>
  </si>
  <si>
    <t>HR - 2e periode</t>
  </si>
  <si>
    <t>LEERLING:</t>
  </si>
  <si>
    <t>schooladvies groep 8</t>
  </si>
  <si>
    <t>gemiddelde-LVS</t>
  </si>
  <si>
    <t>aanleg</t>
  </si>
  <si>
    <t>gemiddelde-DLE</t>
  </si>
  <si>
    <t>vorig jaar</t>
  </si>
  <si>
    <t>1e toetsperiode</t>
  </si>
  <si>
    <t>2e toetsperiode</t>
  </si>
  <si>
    <t>OPO</t>
  </si>
  <si>
    <t>TL</t>
  </si>
  <si>
    <t>SP</t>
  </si>
  <si>
    <t>BL</t>
  </si>
  <si>
    <t>RW</t>
  </si>
  <si>
    <t>HR</t>
  </si>
  <si>
    <t>onder</t>
  </si>
  <si>
    <t>75% van de leerlingen</t>
  </si>
  <si>
    <t>25% van de leerlingen</t>
  </si>
  <si>
    <t>PRO</t>
  </si>
  <si>
    <t>BBL</t>
  </si>
  <si>
    <t>KBL</t>
  </si>
  <si>
    <t>GTL</t>
  </si>
  <si>
    <t>HAVO</t>
  </si>
  <si>
    <t>VWO</t>
  </si>
  <si>
    <t>totaal:</t>
  </si>
  <si>
    <t>verrijkt</t>
  </si>
  <si>
    <t>intensief</t>
  </si>
  <si>
    <t>Vakken</t>
  </si>
  <si>
    <t>spellen</t>
  </si>
  <si>
    <t>rekenen</t>
  </si>
  <si>
    <t xml:space="preserve">1 = </t>
  </si>
  <si>
    <t>makkie</t>
  </si>
  <si>
    <t xml:space="preserve">2 = </t>
  </si>
  <si>
    <t>voldoende gemotiveerd</t>
  </si>
  <si>
    <t xml:space="preserve">3 = </t>
  </si>
  <si>
    <t>stress</t>
  </si>
  <si>
    <t xml:space="preserve">4 = </t>
  </si>
  <si>
    <t>weinig gemotiveerd</t>
  </si>
  <si>
    <t>totaal %</t>
  </si>
  <si>
    <t>valkuil</t>
  </si>
  <si>
    <t>actie</t>
  </si>
  <si>
    <t>achterover leunen</t>
  </si>
  <si>
    <t>(kind)
gesprek</t>
  </si>
  <si>
    <t>evenwicht behouden</t>
  </si>
  <si>
    <t>nog harder werken</t>
  </si>
  <si>
    <t>afhaken</t>
  </si>
  <si>
    <t>toetsafspraken</t>
  </si>
  <si>
    <t>notities</t>
  </si>
  <si>
    <t>1e periode - INTENSIEVE AANPAK = LAAGSTE 10%</t>
  </si>
  <si>
    <t>TECHNISCH LEZEN - klik hier</t>
  </si>
  <si>
    <t>BEGRIJPEND LEZEN - klik hier</t>
  </si>
  <si>
    <t>HOOFDREKENEN - klik hier</t>
  </si>
  <si>
    <t>doel</t>
  </si>
  <si>
    <t>AVI niveau moet minimaal één niveau omhoog
Leesplezier bevorderen
Leessnelheid + intonatie opvoeren</t>
  </si>
  <si>
    <t>wat?</t>
  </si>
  <si>
    <t>SPELLEN - klik hier</t>
  </si>
  <si>
    <t>REKENEN &amp; WISKUNDE - klik hier</t>
  </si>
  <si>
    <t>Methodetoetsen moeten voldoende scoren
Niet methodetoetsen minimaal B niveau
cijferend rekenen moet voldoende zijn</t>
  </si>
  <si>
    <t>2e periode - INTENSIEVE AANPAK = LAAGSTE 10%</t>
  </si>
  <si>
    <t>TECHNISCH LEZEN - 2e periode - klik hier</t>
  </si>
  <si>
    <t>BEGRIJPEND LEZEN - 2e periode - klik hier</t>
  </si>
  <si>
    <t>OPMERKING:</t>
  </si>
  <si>
    <t>1e periode - BASISAANPAK - MIDDENMOOT</t>
  </si>
  <si>
    <t>AVI niveau moet één vooruit
leesplezier bevorderen: stillezen, bieb project, boekenbeurt</t>
  </si>
  <si>
    <t>Niveau van begrijpend lezen: middenmoot meer A-B scores (laatstse Boom-toets: Groep 6 : 2xA, Groep 7: 1x A, Groep 8: 1x A)
motivatie bevorderen door korte en aansprekende teksten</t>
  </si>
  <si>
    <t>niveau DLE-rekenen moet voldoende scoren (C-niveau = onvoldoende)
Na 4 weken komen de sommen terug - dan moeten de kinderen meer sommen maken - 80% moet beter scoren</t>
  </si>
  <si>
    <t xml:space="preserve">groep 6/7/8: Kidsweek twee keer in de week, Maandag en vrijdag
</t>
  </si>
  <si>
    <t>ma: tafels oefenen (tafeltoetsje)
di, do, vr: 5 minuten hoofdrekenen voor de rekenles (sommenblad - bordrijen op computer)
gr.6: oefenen dagelijks met Ambrasoft (tafels). Groep 7/8 dagelijks ambrasoft breuken of procenten en/of maten en gewichten of iets dergelijks.</t>
  </si>
  <si>
    <t>Niet methodetoetsen minimaal B niveau
WRTS foutloos typen
Methodetoetsen voldoende scoren</t>
  </si>
  <si>
    <t xml:space="preserve">Les 1 en 3 van de methode  = klein dictee (8 woorden) - de woorden worden ook besproken (ma + di) + les uit het boek / werkboek
Op wo-do klein dictee José Schraven - in gr. 6-7-8 hetzelfde dictee (uit de map van gr. 7-8) Daarnaast elke dag WRTS
Op do + vr: kopieerblad uit de methode
gr. 7+8: op di: werkwoordbespreking n.a.v. dictee les 3, 5, 7 en les 11
</t>
  </si>
  <si>
    <t>2e periode - BASISAANPAK - MIDDENMOOT</t>
  </si>
  <si>
    <t>2e periode - TECHNISCH LEZEN - klik hier</t>
  </si>
  <si>
    <t>2e periode - BEGRIJPEND LEZEN - klik hier</t>
  </si>
  <si>
    <t>1e periode - VERRIJKTE AANPAK = HOOGSTE 10%</t>
  </si>
  <si>
    <t>1e periode - TECHNISCH LEZEN - klik hier</t>
  </si>
  <si>
    <t>1e periode - BEGRIJPEND LEZEN - klik hier</t>
  </si>
  <si>
    <t xml:space="preserve"> - gemotiveerd blijven
 - eigen initiatief ontwikkelen = zelf verantwoordelijk zijn
 - leren plannen</t>
  </si>
  <si>
    <t>2e periode - VERRIJKTE AANPAK = HOOGSTE 10%</t>
  </si>
  <si>
    <t>1e  periode</t>
  </si>
  <si>
    <t>2e periode</t>
  </si>
  <si>
    <t>geb.datum</t>
  </si>
  <si>
    <t>jaar</t>
  </si>
  <si>
    <t>maand</t>
  </si>
  <si>
    <t>nov.</t>
  </si>
  <si>
    <t>apr.</t>
  </si>
  <si>
    <t>mei.</t>
  </si>
  <si>
    <t>okt.</t>
  </si>
  <si>
    <t>opmerking</t>
  </si>
  <si>
    <t>Uiteindelijke beslissing over aanlegniveau</t>
  </si>
  <si>
    <t>Inschatting leerkracht</t>
  </si>
  <si>
    <t>NSCCT groep 4</t>
  </si>
  <si>
    <t>totaal
score</t>
  </si>
  <si>
    <t>NSCCT groep 6</t>
  </si>
  <si>
    <t>NIO</t>
  </si>
  <si>
    <t>WISC-V</t>
  </si>
  <si>
    <t>goed</t>
  </si>
  <si>
    <t>zeer goed</t>
  </si>
  <si>
    <t>boven gemiddeld</t>
  </si>
  <si>
    <t>beneden gemiddeld</t>
  </si>
  <si>
    <t>zwak</t>
  </si>
  <si>
    <t>gemiddeld:</t>
  </si>
  <si>
    <t>Sociaal en emotioneel</t>
  </si>
  <si>
    <t xml:space="preserve"> DIAGNOSE?</t>
  </si>
  <si>
    <t>Sociogram</t>
  </si>
  <si>
    <t>LijV 4-5</t>
  </si>
  <si>
    <t>klassenzorgscore:</t>
  </si>
  <si>
    <t>Kanjerlijst 6-7-8</t>
  </si>
  <si>
    <t xml:space="preserve"> veel gekozen</t>
  </si>
  <si>
    <t xml:space="preserve"> weinig gekozen</t>
  </si>
  <si>
    <t xml:space="preserve"> Opvallende score?</t>
  </si>
  <si>
    <t xml:space="preserve"> Handelen?</t>
  </si>
  <si>
    <t xml:space="preserve"> Negatieve intenties = zwart</t>
  </si>
  <si>
    <t xml:space="preserve"> Ongelukkig - somber = geel</t>
  </si>
  <si>
    <t xml:space="preserve"> Onrustig - verstorend = rood</t>
  </si>
  <si>
    <t xml:space="preserve"> Hulpvaardig - sociaal = wit</t>
  </si>
  <si>
    <t>Intensief</t>
  </si>
  <si>
    <t>t/m groep 2 in Denemarken</t>
  </si>
  <si>
    <t>aanbod</t>
  </si>
  <si>
    <t>x</t>
  </si>
  <si>
    <t>rekenen - doet mee met groep 5 - heeft een OPP</t>
  </si>
  <si>
    <t>vermoeden ADHD</t>
  </si>
  <si>
    <t>langzaam</t>
  </si>
  <si>
    <t>heeft levelwerk</t>
  </si>
  <si>
    <t>BL + WS!!</t>
  </si>
  <si>
    <t>Levelwerk + Plusklas</t>
  </si>
  <si>
    <t>wel kien op taalgebied - kan meer!</t>
  </si>
  <si>
    <t>Levelwerk</t>
  </si>
  <si>
    <t>Verrijkt</t>
  </si>
  <si>
    <t>dag</t>
  </si>
  <si>
    <t>tijd</t>
  </si>
  <si>
    <t>evaluatie</t>
  </si>
  <si>
    <t>maandag</t>
  </si>
  <si>
    <t>dinsdag</t>
  </si>
  <si>
    <t>woensdag</t>
  </si>
  <si>
    <t>donderdag</t>
  </si>
  <si>
    <t>vrijdag</t>
  </si>
  <si>
    <t>A+</t>
  </si>
  <si>
    <t>A</t>
  </si>
  <si>
    <t>B</t>
  </si>
  <si>
    <t>C</t>
  </si>
  <si>
    <t>C-</t>
  </si>
  <si>
    <t>D</t>
  </si>
  <si>
    <t>E</t>
  </si>
  <si>
    <t>© Harrie Meinen M SEN</t>
  </si>
  <si>
    <t>Namen</t>
  </si>
  <si>
    <t>Groep 7</t>
  </si>
  <si>
    <t>Groep 8</t>
  </si>
  <si>
    <t xml:space="preserve"> - X -  voor het hoogste niveau</t>
  </si>
  <si>
    <t>Definitief</t>
  </si>
  <si>
    <t>Lezen</t>
  </si>
  <si>
    <t>Taalverzorging</t>
  </si>
  <si>
    <t>Rekenen</t>
  </si>
  <si>
    <t>school-advies 
NIO</t>
  </si>
  <si>
    <r>
      <rPr>
        <b/>
        <sz val="12"/>
        <color rgb="FFFF0000"/>
        <rFont val="Arial"/>
        <family val="2"/>
      </rPr>
      <t>VOORLOPIG</t>
    </r>
    <r>
      <rPr>
        <sz val="10"/>
        <rFont val="Arial"/>
        <family val="2"/>
      </rPr>
      <t xml:space="preserve"> 
school-advies groep 7</t>
    </r>
  </si>
  <si>
    <t>score CITO</t>
  </si>
  <si>
    <t>score IEP</t>
  </si>
  <si>
    <t xml:space="preserve"> school-advies 
groep 8</t>
  </si>
  <si>
    <t xml:space="preserve"> score CITO</t>
  </si>
  <si>
    <t xml:space="preserve"> score IEP</t>
  </si>
  <si>
    <t xml:space="preserve"> definitief?</t>
  </si>
  <si>
    <t xml:space="preserve"> Eindtoets CITO</t>
  </si>
  <si>
    <t xml:space="preserve"> Eindtoets IEP</t>
  </si>
  <si>
    <t xml:space="preserve"> school-advies CITO</t>
  </si>
  <si>
    <t xml:space="preserve"> school-advies IEP</t>
  </si>
  <si>
    <t xml:space="preserve"> &lt; 1F</t>
  </si>
  <si>
    <t xml:space="preserve"> 1F</t>
  </si>
  <si>
    <t xml:space="preserve"> 2F</t>
  </si>
  <si>
    <t xml:space="preserve"> 1S</t>
  </si>
  <si>
    <r>
      <t xml:space="preserve"> </t>
    </r>
    <r>
      <rPr>
        <b/>
        <sz val="12"/>
        <color rgb="FFFF0000"/>
        <rFont val="Arial"/>
        <family val="2"/>
      </rPr>
      <t>DEFINITIEF</t>
    </r>
    <r>
      <rPr>
        <sz val="10"/>
        <rFont val="Arial"/>
        <family val="2"/>
      </rPr>
      <t xml:space="preserve"> 
school-advies groep 8</t>
    </r>
  </si>
  <si>
    <t xml:space="preserve"> DEFINITIEF??</t>
  </si>
  <si>
    <t>Verwijzing VO</t>
  </si>
  <si>
    <t>aantal lln.</t>
  </si>
  <si>
    <t>Landelijk</t>
  </si>
  <si>
    <t>PRO/BB</t>
  </si>
  <si>
    <t>BB</t>
  </si>
  <si>
    <t>BB/KB</t>
  </si>
  <si>
    <t>KB</t>
  </si>
  <si>
    <t>KB/TL</t>
  </si>
  <si>
    <t>TL/HAVO</t>
  </si>
  <si>
    <t>HAVO/VWO</t>
  </si>
  <si>
    <t>prognose</t>
  </si>
  <si>
    <t>definitief</t>
  </si>
  <si>
    <t>Technisch lezen - 1e periode</t>
  </si>
  <si>
    <t xml:space="preserve"> vorige afname</t>
  </si>
  <si>
    <t xml:space="preserve"> LVS woord lezen</t>
  </si>
  <si>
    <t xml:space="preserve"> A-1+ t/m E-5-</t>
  </si>
  <si>
    <t xml:space="preserve"> EMT - Brus 2019</t>
  </si>
  <si>
    <t xml:space="preserve">  LVS zinnen lezen</t>
  </si>
  <si>
    <t xml:space="preserve"> invoer: A-E of 1-5</t>
  </si>
  <si>
    <t>M5E5</t>
  </si>
  <si>
    <t>E7</t>
  </si>
  <si>
    <t>M6E6</t>
  </si>
  <si>
    <t>M6</t>
  </si>
  <si>
    <t>E5M6</t>
  </si>
  <si>
    <t>E6</t>
  </si>
  <si>
    <t>E5</t>
  </si>
  <si>
    <t>PLUS</t>
  </si>
  <si>
    <t>E6M7</t>
  </si>
  <si>
    <t>E7M8</t>
  </si>
  <si>
    <t>basis</t>
  </si>
  <si>
    <t>instructie level gr.8</t>
  </si>
  <si>
    <t>gr.7: 13.00-13.30</t>
  </si>
  <si>
    <t xml:space="preserve">gr 6: 8.30-9.00 </t>
  </si>
  <si>
    <t>instructie level gr.7</t>
  </si>
  <si>
    <t>gr.6 + 7: 13.00-13.30</t>
  </si>
  <si>
    <t>zeer goed    = A1+</t>
  </si>
  <si>
    <t>voldoende</t>
  </si>
  <si>
    <t>goed             = A-1</t>
  </si>
  <si>
    <t>boven gem.  = A2+B2</t>
  </si>
  <si>
    <t>gemiddeld     = B3</t>
  </si>
  <si>
    <t>gemiddeld     = C3</t>
  </si>
  <si>
    <t>onvoldoende</t>
  </si>
  <si>
    <t>onder gem.   = C4</t>
  </si>
  <si>
    <t>onder gem.   = D4</t>
  </si>
  <si>
    <t>zwak            = D5 + E5</t>
  </si>
  <si>
    <t>zeer zwak    = E5-</t>
  </si>
  <si>
    <t>Technisch lezen - 2e periode</t>
  </si>
  <si>
    <t>1e periode</t>
  </si>
  <si>
    <t xml:space="preserve"> 1e periode</t>
  </si>
  <si>
    <t>Begrijpend lezen - 1e periode</t>
  </si>
  <si>
    <t xml:space="preserve"> LVS  begrijpend lezen</t>
  </si>
  <si>
    <t xml:space="preserve"> LVS woordenschat</t>
  </si>
  <si>
    <t>Begrijpend lezen - 2e periode</t>
  </si>
  <si>
    <t>Spellen - 1e periode</t>
  </si>
  <si>
    <t xml:space="preserve"> LVS  spellen</t>
  </si>
  <si>
    <t xml:space="preserve"> LVS werkwoorden</t>
  </si>
  <si>
    <t>Spellen - 2e periode</t>
  </si>
  <si>
    <t>Rekenen - 1e periode</t>
  </si>
  <si>
    <t xml:space="preserve"> LVS  rekenen</t>
  </si>
  <si>
    <t xml:space="preserve"> LVS hoofdrekenen</t>
  </si>
  <si>
    <t>instructie groep 8</t>
  </si>
  <si>
    <t>instructie Nadia</t>
  </si>
  <si>
    <t>Rekenen - 2e periode</t>
  </si>
  <si>
    <t>Hoofdrekenen - 1e periode</t>
  </si>
  <si>
    <t xml:space="preserve"> LVS  hoofdrekenen</t>
  </si>
  <si>
    <t xml:space="preserve"> optellen</t>
  </si>
  <si>
    <t xml:space="preserve"> aftrekken</t>
  </si>
  <si>
    <t xml:space="preserve"> tafels</t>
  </si>
  <si>
    <t xml:space="preserve"> deeltafels</t>
  </si>
  <si>
    <t xml:space="preserve"> klokkijken analoog</t>
  </si>
  <si>
    <t xml:space="preserve"> klokkijken digitaal</t>
  </si>
  <si>
    <t xml:space="preserve"> metriek stelstel</t>
  </si>
  <si>
    <t>m</t>
  </si>
  <si>
    <t>v</t>
  </si>
  <si>
    <t>g</t>
  </si>
  <si>
    <t>o</t>
  </si>
  <si>
    <t>Hoofdrekenen - 2e periode</t>
  </si>
  <si>
    <r>
      <t xml:space="preserve">Stap 1 </t>
    </r>
    <r>
      <rPr>
        <sz val="14"/>
        <rFont val="Arial"/>
        <family val="2"/>
      </rPr>
      <t xml:space="preserve">= noteer de namen + klik de catagorie aan </t>
    </r>
  </si>
  <si>
    <r>
      <t>Stap 2</t>
    </r>
    <r>
      <rPr>
        <sz val="12"/>
        <rFont val="Arial"/>
        <family val="2"/>
      </rPr>
      <t xml:space="preserve"> </t>
    </r>
    <r>
      <rPr>
        <sz val="14"/>
        <rFont val="Arial"/>
        <family val="2"/>
      </rPr>
      <t xml:space="preserve">= noteer </t>
    </r>
    <r>
      <rPr>
        <b/>
        <u/>
        <sz val="14"/>
        <rFont val="Arial"/>
        <family val="2"/>
      </rPr>
      <t>voor</t>
    </r>
    <r>
      <rPr>
        <sz val="14"/>
        <rFont val="Arial"/>
        <family val="2"/>
      </rPr>
      <t>namen van leerlingen bij categorie 2 -3 - 4 (categorie 1 = automatisch)</t>
    </r>
  </si>
  <si>
    <r>
      <t xml:space="preserve">Stap 3 </t>
    </r>
    <r>
      <rPr>
        <sz val="14"/>
        <rFont val="Arial"/>
        <family val="2"/>
      </rPr>
      <t>= Diversiteit Quotient</t>
    </r>
  </si>
  <si>
    <t>Soort 
ondersteuning</t>
  </si>
  <si>
    <t xml:space="preserve">HP / GP </t>
  </si>
  <si>
    <t xml:space="preserve">OPP </t>
  </si>
  <si>
    <t>OPP + AB</t>
  </si>
  <si>
    <t xml:space="preserve"> 6-7-8</t>
  </si>
  <si>
    <t>Noteer een leerling maar één keer in een categorie</t>
  </si>
  <si>
    <t>totaal aantal leerlingen</t>
  </si>
  <si>
    <t>Noteer alleen gegevens in de gele vakken</t>
  </si>
  <si>
    <t>Zwarte van de groep</t>
  </si>
  <si>
    <t>Groep</t>
  </si>
  <si>
    <t>Cat. 1</t>
  </si>
  <si>
    <t>Cat. 2</t>
  </si>
  <si>
    <t>Cat. 3</t>
  </si>
  <si>
    <t>Cat. 4</t>
  </si>
  <si>
    <t>zwaar-
te</t>
  </si>
  <si>
    <t>DQ</t>
  </si>
  <si>
    <t>1. ik heb een enkele groep</t>
  </si>
  <si>
    <t>Categorie</t>
  </si>
  <si>
    <t>Basis</t>
  </si>
  <si>
    <t>Basis - Plus</t>
  </si>
  <si>
    <t>Extra</t>
  </si>
  <si>
    <t>Extra - Plus</t>
  </si>
  <si>
    <t>2. Ik heb een combi van 2 groepen</t>
  </si>
  <si>
    <t>3. Ik heb een combi van 3 groepen</t>
  </si>
  <si>
    <t>4. Ik heb een combi van 4 groepen</t>
  </si>
  <si>
    <t>Cat.</t>
  </si>
  <si>
    <t>extra inzet voor de groep</t>
  </si>
  <si>
    <t>CAT. 1: Basisondersteuning</t>
  </si>
  <si>
    <t>extra inzet</t>
  </si>
  <si>
    <t>dagen</t>
  </si>
  <si>
    <t>hier noteert u niets</t>
  </si>
  <si>
    <t>extra inzet klassenassistent</t>
  </si>
  <si>
    <t>extra inzet onderwijsassistent</t>
  </si>
  <si>
    <t>CAT. 2: Basis - Plus</t>
  </si>
  <si>
    <r>
      <t xml:space="preserve">noteer de </t>
    </r>
    <r>
      <rPr>
        <u/>
        <sz val="12"/>
        <rFont val="Arial"/>
        <family val="2"/>
      </rPr>
      <t>voor</t>
    </r>
    <r>
      <rPr>
        <sz val="12"/>
        <rFont val="Arial"/>
        <family val="2"/>
      </rPr>
      <t>namen van de leerlingen in de vakken hieronder</t>
    </r>
  </si>
  <si>
    <t>extra inzet reguliere leraar</t>
  </si>
  <si>
    <t>Taal</t>
  </si>
  <si>
    <t>extra inzet speciale leraar</t>
  </si>
  <si>
    <t>Thuissituatie</t>
  </si>
  <si>
    <t>Fysieke gesteldheid</t>
  </si>
  <si>
    <t>Werkhouding</t>
  </si>
  <si>
    <t>Gedrag</t>
  </si>
  <si>
    <t>Meer- of hoogbegaafdheid</t>
  </si>
  <si>
    <t>Minder begaafdheid</t>
  </si>
  <si>
    <t>ASS</t>
  </si>
  <si>
    <t>(Mogelijke) Dyslexie</t>
  </si>
  <si>
    <t>Zelf in te vullen</t>
  </si>
  <si>
    <t>Totaal</t>
  </si>
  <si>
    <t>CAT. 3 Extra ondersteuning</t>
  </si>
  <si>
    <t>OPP Gedrag</t>
  </si>
  <si>
    <t>OPP Meer- of hoogbegaafdheid</t>
  </si>
  <si>
    <t>OPP minder begaafdheid</t>
  </si>
  <si>
    <t>OPP Taal</t>
  </si>
  <si>
    <t>OPP Rekenen</t>
  </si>
  <si>
    <t>CAT. 4: extra ondersteuning - plus</t>
  </si>
  <si>
    <t>OPP en AB cluster 1</t>
  </si>
  <si>
    <t>OPP en AB cluster 2</t>
  </si>
  <si>
    <t>OPP en AB Fysieke gesteldheid</t>
  </si>
  <si>
    <t>OPP en AB Gedrag</t>
  </si>
  <si>
    <t>OPP en AB Leergebieden</t>
  </si>
  <si>
    <t>Diversiteit Quotiënt  (DQ)</t>
  </si>
  <si>
    <t xml:space="preserve">namenlijst: </t>
  </si>
  <si>
    <r>
      <t xml:space="preserve">Noteer van </t>
    </r>
    <r>
      <rPr>
        <b/>
        <sz val="10"/>
        <color rgb="FFFF0000"/>
        <rFont val="Verdana"/>
        <family val="2"/>
      </rPr>
      <t>ELKE</t>
    </r>
    <r>
      <rPr>
        <sz val="10"/>
        <rFont val="Verdana"/>
        <family val="2"/>
      </rPr>
      <t xml:space="preserve"> leerling het aanlegniveau:
1 = zwak 
2 = beneden gemiddeld 
3 = gemiddeld 
4 = boven gemiddeld 
5 = goed</t>
    </r>
  </si>
  <si>
    <r>
      <t xml:space="preserve">deel 1 = wanneer de aanleg </t>
    </r>
    <r>
      <rPr>
        <b/>
        <u/>
        <sz val="10"/>
        <rFont val="Verdana"/>
        <family val="2"/>
      </rPr>
      <t>meer dan gemiddeld</t>
    </r>
    <r>
      <rPr>
        <sz val="10"/>
        <rFont val="Verdana"/>
        <family val="2"/>
      </rPr>
      <t xml:space="preserve"> is</t>
    </r>
  </si>
  <si>
    <t>Leeraspecten</t>
  </si>
  <si>
    <t>Is snel van begrip</t>
  </si>
  <si>
    <t>Heeft een grote diepgaande interesse</t>
  </si>
  <si>
    <t>Is creatief in bedenken en oplossen 
van vraagstukken</t>
  </si>
  <si>
    <t>Heeft een bijzonder gevoel voor humor</t>
  </si>
  <si>
    <t>Is nieuwsgierig, stelt veel vragen</t>
  </si>
  <si>
    <t>Heeft een goed geheugen</t>
  </si>
  <si>
    <t>Heeft een scherp opmerkingsvermogen</t>
  </si>
  <si>
    <t>Heeft een grote parate kennis, 
kan over veel zaken meepraten</t>
  </si>
  <si>
    <t>Heeft een grote woordenschat</t>
  </si>
  <si>
    <t>Gaat graag dieper in op een onderwerp</t>
  </si>
  <si>
    <t>Komt 'wereldwijs' over</t>
  </si>
  <si>
    <t>Kan grote denkstappen maken</t>
  </si>
  <si>
    <t>Totaal aantal x en ?</t>
  </si>
  <si>
    <t>deel 2 = bij een score van 5 of meer op deel 1</t>
  </si>
  <si>
    <t>signalen van zorg (SVZ)</t>
  </si>
  <si>
    <t>Zelfbeeld 
aspecten</t>
  </si>
  <si>
    <t>Heeft moeite met uiten van eigen
gevoelens en gedachten</t>
  </si>
  <si>
    <t>Heeft te veel of te weinig zelfvertrouwen</t>
  </si>
  <si>
    <t>Heeft weinig positief zelfbeeld of te 
sterk beeld van eigen mogelijkheden</t>
  </si>
  <si>
    <t>Omgang
aspecten</t>
  </si>
  <si>
    <t>Is niet goed opgenomen in de groep</t>
  </si>
  <si>
    <t>Heeft moeite met samenwerken</t>
  </si>
  <si>
    <t>Heeft moeite met het op de juiste
wijze opkomen voor zichzelf</t>
  </si>
  <si>
    <t>Werkhouding
aspecten</t>
  </si>
  <si>
    <t>Sterk wisselende betrokkenheid
bij de lestaken</t>
  </si>
  <si>
    <t>Vertoont erg wisselend gedrag in
taakgerichtheid</t>
  </si>
  <si>
    <t>Heeft moeite met doorzetten</t>
  </si>
  <si>
    <t>Totaal aantal signalen van zorg</t>
  </si>
  <si>
    <t>7x leerrendement = 1</t>
  </si>
  <si>
    <t>geen SVZ = 1</t>
  </si>
  <si>
    <t>aanleg:</t>
  </si>
  <si>
    <t>deel 1 = voor alle leerlingen</t>
  </si>
  <si>
    <t>Heeft een sterk wisselende
of weinig concentratie</t>
  </si>
  <si>
    <t>Heeft weinig positief beeld van eigen mogelijkheden</t>
  </si>
  <si>
    <t>Heeft moeite met empatische inschatting</t>
  </si>
  <si>
    <t>Komt niet goed op voor zichzelf</t>
  </si>
  <si>
    <t>Is niet zo zelfstandig, vraagt voortdurend bevestiging</t>
  </si>
  <si>
    <t>Voor de ouders / verzorgers van:      </t>
  </si>
  <si>
    <t>Een aantal malen per jaar worden alle kinderen op onze school getoetst. De gegevens die we op deze manier krijgen worden besproken met de Intern Begeleider of in de leerlingenbespreking.</t>
  </si>
  <si>
    <t>Als de uitslag van een bepaald onderdeel volgens ons te wensen overlaat, proberen we dit met behulp van een "groepsplan” of een “handelingsplan" bij te stellen.</t>
  </si>
  <si>
    <r>
      <t xml:space="preserve">Bij een </t>
    </r>
    <r>
      <rPr>
        <i/>
        <u/>
        <sz val="11"/>
        <rFont val="Comic Sans MS"/>
        <family val="4"/>
      </rPr>
      <t>groepsplan</t>
    </r>
    <r>
      <rPr>
        <sz val="11"/>
        <rFont val="Comic Sans MS"/>
        <family val="4"/>
      </rPr>
      <t xml:space="preserve"> (het woord zegt het al) wordt een groepje kinderen die extra aandacht nodig heeft begeleid. Dit gebeurt overwegend binnen de groep door de klassenleerkracht. Soms kan het groepje kinderen extra begeleid worden door de RT-er of door de onderwijsassistente. Ouders worden op de hoogte gesteld als hun kind begeleid wordt binnen een groepsplan.</t>
    </r>
  </si>
  <si>
    <r>
      <t xml:space="preserve">Wanneer de leerling onvoldoende profiteert van de aanpak binnen het groepsplan wordt een individueel </t>
    </r>
    <r>
      <rPr>
        <i/>
        <u/>
        <sz val="11"/>
        <color indexed="8"/>
        <rFont val="Comic Sans MS"/>
        <family val="4"/>
      </rPr>
      <t>handelingsplan</t>
    </r>
    <r>
      <rPr>
        <sz val="11"/>
        <color indexed="8"/>
        <rFont val="Comic Sans MS"/>
        <family val="4"/>
      </rPr>
      <t xml:space="preserve"> opgesteld. In het handelingsplan proberen we zo goed mogelijk te omschrijven wat het kind nodig heeft om zaken wel te kunnen. Ouders wordt dan ook gevraagd dit plan te ondertekenen.</t>
    </r>
  </si>
  <si>
    <t>Bij uw kind willen we in de komende weken graag extra zorg besteden aan het volgende</t>
  </si>
  <si>
    <t>We willen  uw kind begeleiden binnen een</t>
  </si>
  <si>
    <t>Is een handelingsplan bijgevoegd, dan vragen we u dit plan ondertekend weer aan ons terug te sturen of aan uw kind mee te geven.</t>
  </si>
  <si>
    <t>We kunnen ons indenken dat u een gesprek wilt met de leerkracht van uw kind om af te stemmen wat u eventueel thuis kunt doen.</t>
  </si>
  <si>
    <t>In dat geval vragen we u contact op te nemen met de juf of meester van uw kind of met de Intern Begeleider van de school.</t>
  </si>
  <si>
    <t>We hopen dat we u vooreerst voldoende hebben geïnformeerd.</t>
  </si>
  <si>
    <t>Met vriendelijke groet,</t>
  </si>
  <si>
    <t>Namens het team van de school,</t>
  </si>
  <si>
    <t>VWO+</t>
  </si>
  <si>
    <t>REFERENTIE
SCORE</t>
  </si>
  <si>
    <t>TAAL</t>
  </si>
  <si>
    <t>LEZEN</t>
  </si>
  <si>
    <t>REKENEN</t>
  </si>
  <si>
    <t>1F</t>
  </si>
  <si>
    <t>2F</t>
  </si>
  <si>
    <t>2F/1S</t>
  </si>
  <si>
    <t>Schoolweging</t>
  </si>
  <si>
    <t>Signaleringswaarde</t>
  </si>
  <si>
    <t>LG 1S/2F</t>
  </si>
  <si>
    <t>LG 1F</t>
  </si>
  <si>
    <t>schooljaar</t>
  </si>
  <si>
    <t>1F scores</t>
  </si>
  <si>
    <t>signaal 1F</t>
  </si>
  <si>
    <t>landelijk 1F</t>
  </si>
  <si>
    <t>2F / 1S scores</t>
  </si>
  <si>
    <t>signaal 2F/1S</t>
  </si>
  <si>
    <t>landelijk 2F/1S</t>
  </si>
  <si>
    <t>Referentieniveau - vorige jaar</t>
  </si>
  <si>
    <t>1F - LEZEN</t>
  </si>
  <si>
    <t>2F - LEZEN</t>
  </si>
  <si>
    <t>1F - TAAL</t>
  </si>
  <si>
    <t>2F - TAAL</t>
  </si>
  <si>
    <t>1F - REKENEN</t>
  </si>
  <si>
    <t>2F - REKENEN</t>
  </si>
  <si>
    <t>schoolweging</t>
  </si>
  <si>
    <t>score</t>
  </si>
  <si>
    <t>vakgebied</t>
  </si>
  <si>
    <t>Referentieniveau - 1e toets</t>
  </si>
  <si>
    <t>Referentieniveau - 2e toets</t>
  </si>
  <si>
    <t>Referentieniveau - Eindtoets</t>
  </si>
  <si>
    <t>grootste 25%</t>
  </si>
  <si>
    <t>kleinste 75%</t>
  </si>
  <si>
    <t>aantal</t>
  </si>
  <si>
    <t>M7E7</t>
  </si>
  <si>
    <t>M5</t>
  </si>
  <si>
    <t>Informatie bij REFERENTIENIVEAU</t>
  </si>
  <si>
    <t>R</t>
  </si>
  <si>
    <t>G</t>
  </si>
  <si>
    <t>F</t>
  </si>
  <si>
    <t>J</t>
  </si>
  <si>
    <t>N</t>
  </si>
  <si>
    <t>H</t>
  </si>
  <si>
    <t xml:space="preserve">De drie kinderen van groep 6 krijgen op woensdag en donderdag extra leesinstructie: Vloeiend en Vlot (ook m.b.t. de woordenschat) en Estafette M6
-- gr.7: Krijgen op dinsdag en donderdag extra leesinstructie: Vloeiend &amp; Vlot + Estafette
</t>
  </si>
  <si>
    <t xml:space="preserve">Alle dagen rekent --- met groep 6 mee op het niveau van Groep 6. WIG 6 A/B Op woensdag is er veel tijd voor tijd, meten , klokkijken etc.
</t>
  </si>
  <si>
    <t xml:space="preserve">Elke dag stillezen: ma (15 min), di (15 min), wo en do: (tijdens Estafettelezen 30 min) , Groep 6/7/8 lezen dan voorzichzelf drie kinderen  helpen de kinderen van groep 3 met bouw. --- lezen voor zichzelf in het stilleesboek. Groep 6 doet mee met Estafettelezen. --- lezen op dinsdag en donderdag Estafette. Op woensdag lezen zij in hun eigen boek.
Duo lezen: mag ook tijdens de stilleesmomenten
</t>
  </si>
  <si>
    <t xml:space="preserve">Groep 6: doet basis. 
Groep 7: doet basis 
Groep 8: doet basis - behalve ---                                                                 
Na elke (methode)toets analyseren wat nog niet voldoende scoort en dit intensiveren
Alle kinderen die in basisaanpak zitten moeten in 2 ster-aanpak blijven.
</t>
  </si>
  <si>
    <t xml:space="preserve"> - ---(gr.7), --- (gr.8) werken  met Levelwerk
 - ze krijgen instructie door de IB-er op maandag</t>
  </si>
  <si>
    <t xml:space="preserve"> - --- (gr.7), --- (gr.8) werken  met Levelwerk
 - ze krijgen instructie door de IB-er op maandag of woensdag.</t>
  </si>
  <si>
    <t xml:space="preserve"> - --- (gr.8) en --- (gr.7) werken  met Levelwerk
 - --- krijgt instructie door de IB-er op woensdag
 - --- op maandag - om de week.
 - --- werkt op *** niveau (pluswerkboek)</t>
  </si>
  <si>
    <t>K</t>
  </si>
  <si>
    <t>L</t>
  </si>
  <si>
    <t>M</t>
  </si>
  <si>
    <t>T</t>
  </si>
  <si>
    <t>onderlijn</t>
  </si>
  <si>
    <t>bovenlijn</t>
  </si>
  <si>
    <t>nivauwaarde o.b.v. schoolweging</t>
  </si>
  <si>
    <t>1S</t>
  </si>
  <si>
    <t>B6</t>
  </si>
  <si>
    <t>B7</t>
  </si>
  <si>
    <t>M7</t>
  </si>
  <si>
    <t>B8</t>
  </si>
  <si>
    <t>M8</t>
  </si>
  <si>
    <t>E8</t>
  </si>
  <si>
    <t>STAP 1: Voer de namen van de leerlingen in + geb.datum + groep + data van periode 1 en periode 2</t>
  </si>
  <si>
    <r>
      <t xml:space="preserve">STAP 2: Voer de niveauwaarden (laatste toetsperiode - afgelopen jaar) in via Groepskaart - ParnasSys </t>
    </r>
    <r>
      <rPr>
        <b/>
        <sz val="10"/>
        <color rgb="FFFF0000"/>
        <rFont val="Arial"/>
        <family val="2"/>
      </rPr>
      <t>&gt;&gt; rode knop</t>
    </r>
  </si>
  <si>
    <r>
      <t xml:space="preserve">STAP 3: Beschrijf: Basisaanpak - Intensieve aanpak - Verrijkte aanpak </t>
    </r>
    <r>
      <rPr>
        <b/>
        <sz val="10"/>
        <color rgb="FFFFC000"/>
        <rFont val="Arial"/>
        <family val="2"/>
      </rPr>
      <t>&gt;&gt; 3x oranje knoppen</t>
    </r>
  </si>
  <si>
    <r>
      <t xml:space="preserve">STAP 2: Stel bij (waar nodig): Basisaanpak - Intensieve aanpak - Verrijkte aanpak </t>
    </r>
    <r>
      <rPr>
        <b/>
        <sz val="10"/>
        <color rgb="FFFFC000"/>
        <rFont val="Arial"/>
        <family val="2"/>
      </rPr>
      <t>&gt;&gt; 3x oranje knoppen</t>
    </r>
  </si>
  <si>
    <t xml:space="preserve">STAP 1: Kijk naar de resultaten van de Methodetoetsen </t>
  </si>
  <si>
    <t>START van het schooljaar:</t>
  </si>
  <si>
    <t>ORGANISATIE VAN HET GROEPSPLAN</t>
  </si>
  <si>
    <t>1S - REKENEN</t>
  </si>
  <si>
    <r>
      <rPr>
        <b/>
        <u/>
        <sz val="10"/>
        <color rgb="FFFF0000"/>
        <rFont val="Arial"/>
        <family val="2"/>
      </rPr>
      <t>Kopieer</t>
    </r>
    <r>
      <rPr>
        <sz val="10"/>
        <rFont val="Arial"/>
        <family val="2"/>
      </rPr>
      <t xml:space="preserve"> eerst de tekst uit de gele vakken van de vorige periode</t>
    </r>
  </si>
  <si>
    <r>
      <rPr>
        <b/>
        <u/>
        <sz val="10"/>
        <color rgb="FFFF0000"/>
        <rFont val="Arial"/>
        <family val="2"/>
      </rPr>
      <t>Plak</t>
    </r>
    <r>
      <rPr>
        <sz val="10"/>
        <rFont val="Arial"/>
        <family val="2"/>
      </rPr>
      <t xml:space="preserve"> vervolgens die tekst in de vakken van de 2e periode. Pas daarna de tekst aan</t>
    </r>
  </si>
  <si>
    <t>TOETSAFSPRAKEN</t>
  </si>
  <si>
    <t>NOTITIES</t>
  </si>
  <si>
    <t>noteer aantal leerlingen &gt;&gt;</t>
  </si>
  <si>
    <t>&lt;1F</t>
  </si>
  <si>
    <t>1F+2F</t>
  </si>
  <si>
    <t>leelring 1</t>
  </si>
  <si>
    <t>leerling 2</t>
  </si>
  <si>
    <t>leerling 3</t>
  </si>
  <si>
    <t>leerling 4</t>
  </si>
  <si>
    <t>leerling 5</t>
  </si>
  <si>
    <t>leerling 6</t>
  </si>
  <si>
    <t>leerling 7</t>
  </si>
  <si>
    <t>leerling 8</t>
  </si>
  <si>
    <t>leerling 9</t>
  </si>
  <si>
    <t>leerling 10</t>
  </si>
  <si>
    <t>leerling 11</t>
  </si>
  <si>
    <t>leerling 12</t>
  </si>
  <si>
    <t>leerling 13</t>
  </si>
  <si>
    <t>leerling 14</t>
  </si>
  <si>
    <t>leerling 15</t>
  </si>
  <si>
    <t>leerling 16</t>
  </si>
  <si>
    <t>leerling 17</t>
  </si>
  <si>
    <t>leerling 18</t>
  </si>
  <si>
    <t>leerling 19</t>
  </si>
  <si>
    <t>leerling 20</t>
  </si>
  <si>
    <t>leerling 21</t>
  </si>
  <si>
    <t>leerling 22</t>
  </si>
  <si>
    <t>leerling 23</t>
  </si>
  <si>
    <t>leerling 24</t>
  </si>
  <si>
    <t>leerling 25</t>
  </si>
  <si>
    <t>leerling 26</t>
  </si>
  <si>
    <t>Betrokkenheid - LijV</t>
  </si>
  <si>
    <t>Technisch lezen</t>
  </si>
  <si>
    <t>Spellen</t>
  </si>
  <si>
    <t>Begrijpend lezen</t>
  </si>
  <si>
    <t>Na de 1e toetsperiode (oktober)</t>
  </si>
  <si>
    <r>
      <t xml:space="preserve">STAP 1: Kijk naar de resultaten de 1e toetsperiode - wat zie je - wat denk je - wat doe je? </t>
    </r>
    <r>
      <rPr>
        <b/>
        <sz val="10"/>
        <color rgb="FF00FF00"/>
        <rFont val="Arial"/>
        <family val="2"/>
      </rPr>
      <t>&gt;&gt; 5x lichtgroene knoppen</t>
    </r>
  </si>
  <si>
    <t>tussen 1e en 2e toetsperiode (januari)</t>
  </si>
  <si>
    <t>Na de 2e toetsperiode (april)</t>
  </si>
  <si>
    <r>
      <t xml:space="preserve">STAP 1: Kijk naar de resultaten de 2e toetsperiode - wat zie je - wat denk je - wat doe je? </t>
    </r>
    <r>
      <rPr>
        <b/>
        <sz val="10"/>
        <color rgb="FF00B050"/>
        <rFont val="Arial"/>
        <family val="2"/>
      </rPr>
      <t>&gt;&gt; 5x donkergroene knoppen</t>
    </r>
  </si>
  <si>
    <r>
      <t xml:space="preserve">STAP 2: Evalueer de 1e periode - wat zie je - wat denk je - wat doe je? </t>
    </r>
    <r>
      <rPr>
        <b/>
        <sz val="10"/>
        <color rgb="FF00FF00"/>
        <rFont val="Arial"/>
        <family val="2"/>
      </rPr>
      <t>&gt;&gt; 5x lichtgroene knoppen</t>
    </r>
  </si>
  <si>
    <r>
      <t xml:space="preserve">STAP 3: Stel bij (waar nodig): Basisaanpak - Intensieve aanpak - Verrijkte aanpak </t>
    </r>
    <r>
      <rPr>
        <b/>
        <sz val="10"/>
        <color theme="9" tint="-0.249977111117893"/>
        <rFont val="Arial"/>
        <family val="2"/>
      </rPr>
      <t>&gt;&gt; 3x bruine knoppen</t>
    </r>
  </si>
  <si>
    <r>
      <t xml:space="preserve">Onderaan de bladen van de kernvakken </t>
    </r>
    <r>
      <rPr>
        <b/>
        <u/>
        <sz val="10"/>
        <color rgb="FF00FF00"/>
        <rFont val="Arial"/>
        <family val="2"/>
      </rPr>
      <t>- periode 1 -</t>
    </r>
    <r>
      <rPr>
        <sz val="10"/>
        <color rgb="FF00FF00"/>
        <rFont val="Arial"/>
        <family val="2"/>
      </rPr>
      <t xml:space="preserve"> vind je de invoervakken voor de evaluatie</t>
    </r>
  </si>
  <si>
    <t>Voor de zomervakantie (juli)</t>
  </si>
  <si>
    <r>
      <t xml:space="preserve">STAP 2: Evalueer de 2e periode - wat zie je - wat denk je - wat doe je? </t>
    </r>
    <r>
      <rPr>
        <b/>
        <sz val="10"/>
        <color rgb="FF00B050"/>
        <rFont val="Arial"/>
        <family val="2"/>
      </rPr>
      <t>&gt;&gt; 5x donkergroene knoppen</t>
    </r>
  </si>
  <si>
    <r>
      <t xml:space="preserve">STAP 3: Zorg voor een </t>
    </r>
    <r>
      <rPr>
        <b/>
        <sz val="10"/>
        <color rgb="FFFF0000"/>
        <rFont val="Arial"/>
        <family val="2"/>
      </rPr>
      <t>warme overdracht</t>
    </r>
    <r>
      <rPr>
        <sz val="10"/>
        <rFont val="Arial"/>
        <family val="2"/>
      </rPr>
      <t xml:space="preserve"> naar de volgende groep</t>
    </r>
  </si>
  <si>
    <r>
      <t xml:space="preserve">Onderaan de bladen van de kernvakken </t>
    </r>
    <r>
      <rPr>
        <b/>
        <u/>
        <sz val="10"/>
        <color rgb="FF00B050"/>
        <rFont val="Arial"/>
        <family val="2"/>
      </rPr>
      <t>- periode 2 -</t>
    </r>
    <r>
      <rPr>
        <sz val="10"/>
        <color rgb="FF00B050"/>
        <rFont val="Arial"/>
        <family val="2"/>
      </rPr>
      <t xml:space="preserve"> vind je de invoervakken voor de evaluatie</t>
    </r>
  </si>
  <si>
    <t>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</si>
</sst>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dd/mm/yy;@"/>
    <numFmt numFmtId="166" formatCode="0.0%"/>
    <numFmt numFmtId="167" formatCode="_ * #,##0.00_ ;_ * \-#,##0.00_ ;_ * \-??_ ;_ @_ "/>
    <numFmt numFmtId="168" formatCode="#,##0.0000000000000000"/>
    <numFmt numFmtId="169" formatCode="#,##0.0"/>
  </numFmts>
  <fonts count="1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0"/>
      <name val="Arial"/>
      <family val="2"/>
    </font>
    <font>
      <b/>
      <sz val="8"/>
      <name val="Arial"/>
      <family val="2"/>
    </font>
    <font>
      <b/>
      <sz val="12"/>
      <name val="Comic Sans MS"/>
      <family val="4"/>
    </font>
    <font>
      <b/>
      <sz val="20"/>
      <name val="Comic Sans MS"/>
      <family val="4"/>
    </font>
    <font>
      <b/>
      <i/>
      <sz val="12"/>
      <name val="Comic Sans MS"/>
      <family val="4"/>
    </font>
    <font>
      <sz val="12"/>
      <name val="Comic Sans MS"/>
      <family val="4"/>
    </font>
    <font>
      <sz val="14"/>
      <name val="Arial"/>
      <family val="2"/>
    </font>
    <font>
      <sz val="12"/>
      <name val="Arial"/>
      <family val="2"/>
    </font>
    <font>
      <sz val="14"/>
      <name val="Comic Sans MS"/>
      <family val="4"/>
    </font>
    <font>
      <b/>
      <sz val="16"/>
      <name val="Arial"/>
      <family val="2"/>
    </font>
    <font>
      <sz val="8"/>
      <name val="Arial"/>
      <family val="2"/>
    </font>
    <font>
      <sz val="10"/>
      <color rgb="FF0A0D0C"/>
      <name val="Arial"/>
      <family val="2"/>
    </font>
    <font>
      <sz val="10"/>
      <color theme="0"/>
      <name val="Arial"/>
      <family val="2"/>
    </font>
    <font>
      <sz val="13"/>
      <name val="Comic Sans MS"/>
      <family val="4"/>
    </font>
    <font>
      <sz val="10"/>
      <color theme="1"/>
      <name val="Arial"/>
      <family val="2"/>
    </font>
    <font>
      <b/>
      <sz val="16"/>
      <color rgb="FFFF0000"/>
      <name val="Arial"/>
      <family val="2"/>
    </font>
    <font>
      <b/>
      <sz val="12"/>
      <color rgb="FFFF0000"/>
      <name val="Arial"/>
      <family val="2"/>
    </font>
    <font>
      <b/>
      <sz val="12"/>
      <color theme="0"/>
      <name val="Arial"/>
      <family val="2"/>
    </font>
    <font>
      <sz val="11"/>
      <name val="Calibri"/>
      <family val="2"/>
    </font>
    <font>
      <sz val="7"/>
      <name val="Times New Roman"/>
      <family val="1"/>
    </font>
    <font>
      <b/>
      <u/>
      <sz val="11"/>
      <name val="Calibri"/>
      <family val="2"/>
    </font>
    <font>
      <sz val="11"/>
      <color rgb="FF000000"/>
      <name val="Calibri"/>
      <family val="2"/>
    </font>
    <font>
      <b/>
      <i/>
      <sz val="14"/>
      <color rgb="FFFF0000"/>
      <name val="Verdana"/>
      <family val="2"/>
    </font>
    <font>
      <b/>
      <u/>
      <sz val="16"/>
      <color rgb="FFFF0000"/>
      <name val="Arial"/>
      <family val="2"/>
    </font>
    <font>
      <sz val="14"/>
      <name val="Calibri"/>
      <family val="2"/>
      <scheme val="minor"/>
    </font>
    <font>
      <sz val="18"/>
      <name val="Comic Sans MS"/>
      <family val="4"/>
    </font>
    <font>
      <sz val="12"/>
      <color theme="1"/>
      <name val="Comic Sans MS"/>
      <family val="4"/>
    </font>
    <font>
      <b/>
      <sz val="10"/>
      <color theme="0"/>
      <name val="Arial"/>
      <family val="2"/>
    </font>
    <font>
      <sz val="10"/>
      <color indexed="9"/>
      <name val="Arial"/>
      <family val="2"/>
    </font>
    <font>
      <sz val="7"/>
      <color theme="0"/>
      <name val="Arial"/>
      <family val="2"/>
    </font>
    <font>
      <b/>
      <sz val="10"/>
      <color indexed="81"/>
      <name val="Arial"/>
      <family val="2"/>
    </font>
    <font>
      <sz val="10"/>
      <color indexed="81"/>
      <name val="Arial"/>
      <family val="2"/>
    </font>
    <font>
      <b/>
      <sz val="10"/>
      <color indexed="10"/>
      <name val="Arial"/>
      <family val="2"/>
    </font>
    <font>
      <sz val="7"/>
      <color theme="1"/>
      <name val="Arial"/>
      <family val="2"/>
    </font>
    <font>
      <b/>
      <sz val="16"/>
      <color theme="1"/>
      <name val="Arial"/>
      <family val="2"/>
    </font>
    <font>
      <b/>
      <sz val="10"/>
      <color indexed="81"/>
      <name val="Tahoma"/>
      <family val="2"/>
    </font>
    <font>
      <sz val="10"/>
      <color indexed="81"/>
      <name val="Tahoma"/>
      <family val="2"/>
    </font>
    <font>
      <b/>
      <sz val="12"/>
      <color indexed="9"/>
      <name val="Arial"/>
      <family val="2"/>
    </font>
    <font>
      <sz val="12"/>
      <color indexed="9"/>
      <name val="Arial"/>
      <family val="2"/>
    </font>
    <font>
      <sz val="12"/>
      <color theme="1"/>
      <name val="Arial"/>
      <family val="2"/>
    </font>
    <font>
      <sz val="12"/>
      <color indexed="81"/>
      <name val="Arial"/>
      <family val="2"/>
    </font>
    <font>
      <u/>
      <sz val="10"/>
      <color theme="10"/>
      <name val="Arial"/>
      <family val="2"/>
    </font>
    <font>
      <sz val="10"/>
      <name val="Comic Sans MS"/>
      <family val="4"/>
    </font>
    <font>
      <sz val="24"/>
      <name val="Calibri"/>
      <family val="2"/>
    </font>
    <font>
      <b/>
      <sz val="24"/>
      <color indexed="9"/>
      <name val="Calibri"/>
      <family val="2"/>
    </font>
    <font>
      <b/>
      <sz val="10"/>
      <color theme="1"/>
      <name val="Arial"/>
      <family val="2"/>
    </font>
    <font>
      <sz val="18"/>
      <name val="Calibri"/>
      <family val="2"/>
    </font>
    <font>
      <sz val="20"/>
      <name val="Calibri"/>
      <family val="2"/>
    </font>
    <font>
      <sz val="20"/>
      <name val="Comic Sans MS"/>
      <family val="4"/>
    </font>
    <font>
      <sz val="9"/>
      <color indexed="81"/>
      <name val="Tahoma"/>
      <family val="2"/>
    </font>
    <font>
      <sz val="10"/>
      <color rgb="FFCCCCFF"/>
      <name val="Arial"/>
      <family val="2"/>
    </font>
    <font>
      <sz val="14"/>
      <name val="Verdana"/>
      <family val="2"/>
    </font>
    <font>
      <sz val="12"/>
      <color theme="1"/>
      <name val="Verdana"/>
      <family val="2"/>
    </font>
    <font>
      <sz val="24"/>
      <name val="Arial"/>
      <family val="2"/>
    </font>
    <font>
      <b/>
      <u/>
      <sz val="14"/>
      <name val="Arial"/>
      <family val="2"/>
    </font>
    <font>
      <sz val="12"/>
      <color theme="0"/>
      <name val="Arial"/>
      <family val="2"/>
    </font>
    <font>
      <b/>
      <sz val="12"/>
      <name val="Arial"/>
      <family val="2"/>
    </font>
    <font>
      <sz val="12"/>
      <color rgb="FF0A0D0C"/>
      <name val="Arial"/>
      <family val="2"/>
    </font>
    <font>
      <u/>
      <sz val="12"/>
      <name val="Arial"/>
      <family val="2"/>
    </font>
    <font>
      <b/>
      <u/>
      <sz val="12"/>
      <color indexed="81"/>
      <name val="Arial"/>
      <family val="2"/>
    </font>
    <font>
      <b/>
      <sz val="12"/>
      <color indexed="81"/>
      <name val="Arial"/>
      <family val="2"/>
    </font>
    <font>
      <b/>
      <sz val="11"/>
      <color indexed="10"/>
      <name val="Comic Sans MS"/>
      <family val="4"/>
    </font>
    <font>
      <sz val="11"/>
      <name val="Comic Sans MS"/>
      <family val="4"/>
    </font>
    <font>
      <i/>
      <u/>
      <sz val="11"/>
      <name val="Comic Sans MS"/>
      <family val="4"/>
    </font>
    <font>
      <sz val="11"/>
      <color indexed="8"/>
      <name val="Comic Sans MS"/>
      <family val="4"/>
    </font>
    <font>
      <i/>
      <u/>
      <sz val="11"/>
      <color indexed="8"/>
      <name val="Comic Sans MS"/>
      <family val="4"/>
    </font>
    <font>
      <b/>
      <sz val="11"/>
      <name val="Arial"/>
      <family val="2"/>
    </font>
    <font>
      <sz val="10"/>
      <color rgb="FF00FF00"/>
      <name val="Arial"/>
      <family val="2"/>
    </font>
    <font>
      <sz val="8"/>
      <color indexed="9"/>
      <name val="Arial"/>
      <family val="2"/>
    </font>
    <font>
      <b/>
      <i/>
      <sz val="12"/>
      <color indexed="9"/>
      <name val="Comic Sans MS"/>
      <family val="4"/>
    </font>
    <font>
      <sz val="7"/>
      <name val="Arial"/>
      <family val="2"/>
    </font>
    <font>
      <sz val="10"/>
      <color indexed="26"/>
      <name val="Arial"/>
      <family val="2"/>
    </font>
    <font>
      <sz val="10"/>
      <name val="Verdana"/>
      <family val="2"/>
    </font>
    <font>
      <sz val="9"/>
      <color theme="1"/>
      <name val="Arial"/>
      <family val="2"/>
    </font>
    <font>
      <sz val="13"/>
      <name val="Arial"/>
      <family val="2"/>
    </font>
    <font>
      <b/>
      <sz val="20"/>
      <color indexed="9"/>
      <name val="Comic Sans MS"/>
      <family val="4"/>
    </font>
    <font>
      <b/>
      <sz val="10"/>
      <color rgb="FFFF0000"/>
      <name val="Verdana"/>
      <family val="2"/>
    </font>
    <font>
      <b/>
      <u/>
      <sz val="10"/>
      <name val="Verdana"/>
      <family val="2"/>
    </font>
    <font>
      <b/>
      <sz val="10"/>
      <color indexed="10"/>
      <name val="Verdana"/>
      <family val="2"/>
    </font>
    <font>
      <sz val="20"/>
      <name val="Verdana"/>
      <family val="2"/>
    </font>
    <font>
      <b/>
      <sz val="14"/>
      <color indexed="10"/>
      <name val="Verdana"/>
      <family val="2"/>
    </font>
    <font>
      <b/>
      <sz val="15"/>
      <color indexed="10"/>
      <name val="Verdana"/>
      <family val="2"/>
    </font>
    <font>
      <sz val="15"/>
      <name val="Verdana"/>
      <family val="2"/>
    </font>
    <font>
      <sz val="18"/>
      <name val="Verdana"/>
      <family val="2"/>
    </font>
    <font>
      <b/>
      <sz val="20"/>
      <color indexed="9"/>
      <name val="Verdana"/>
      <family val="2"/>
    </font>
    <font>
      <sz val="24"/>
      <name val="Calibri"/>
      <family val="2"/>
      <scheme val="minor"/>
    </font>
    <font>
      <sz val="11"/>
      <color theme="0"/>
      <name val="Calibri"/>
      <family val="2"/>
      <scheme val="minor"/>
    </font>
    <font>
      <sz val="11"/>
      <color rgb="FF000000"/>
      <name val="Calibri"/>
      <family val="2"/>
      <charset val="1"/>
    </font>
    <font>
      <b/>
      <sz val="16"/>
      <color theme="1"/>
      <name val="Calibri"/>
      <family val="2"/>
      <scheme val="minor"/>
    </font>
    <font>
      <sz val="12"/>
      <color theme="0"/>
      <name val="Calibri"/>
      <family val="2"/>
      <scheme val="minor"/>
    </font>
    <font>
      <sz val="12"/>
      <color theme="1"/>
      <name val="Calibri"/>
      <family val="2"/>
      <scheme val="minor"/>
    </font>
    <font>
      <b/>
      <sz val="16"/>
      <color rgb="FFFF0000"/>
      <name val="Calibri"/>
      <family val="2"/>
      <scheme val="minor"/>
    </font>
    <font>
      <b/>
      <sz val="16"/>
      <color rgb="FF00B050"/>
      <name val="Calibri"/>
      <family val="2"/>
      <scheme val="minor"/>
    </font>
    <font>
      <b/>
      <sz val="16"/>
      <color rgb="FF00B050"/>
      <name val="Calibri"/>
      <family val="2"/>
    </font>
    <font>
      <sz val="12"/>
      <color rgb="FF000000"/>
      <name val="Calibri"/>
      <family val="2"/>
    </font>
    <font>
      <b/>
      <sz val="16"/>
      <color rgb="FF002060"/>
      <name val="Calibri"/>
      <family val="2"/>
      <scheme val="minor"/>
    </font>
    <font>
      <b/>
      <sz val="16"/>
      <color rgb="FF002060"/>
      <name val="Calibri"/>
      <family val="2"/>
    </font>
    <font>
      <sz val="22"/>
      <color theme="1"/>
      <name val="Calibri"/>
      <family val="2"/>
      <scheme val="minor"/>
    </font>
    <font>
      <b/>
      <sz val="16"/>
      <color rgb="FF00FF00"/>
      <name val="Calibri"/>
      <family val="2"/>
      <scheme val="minor"/>
    </font>
    <font>
      <b/>
      <sz val="16"/>
      <color rgb="FF00FF00"/>
      <name val="Calibri"/>
      <family val="2"/>
    </font>
    <font>
      <sz val="16"/>
      <color theme="1"/>
      <name val="Calibri"/>
      <family val="2"/>
      <scheme val="minor"/>
    </font>
    <font>
      <b/>
      <sz val="12"/>
      <color theme="1"/>
      <name val="Calibri"/>
      <family val="2"/>
      <scheme val="minor"/>
    </font>
    <font>
      <sz val="16"/>
      <color theme="0"/>
      <name val="Calibri"/>
      <family val="2"/>
      <scheme val="minor"/>
    </font>
    <font>
      <sz val="10"/>
      <color rgb="FFFFFF99"/>
      <name val="Arial"/>
      <family val="2"/>
    </font>
    <font>
      <sz val="10"/>
      <color rgb="FFFF0000"/>
      <name val="Arial"/>
      <family val="2"/>
    </font>
    <font>
      <sz val="11"/>
      <color rgb="FFFF0000"/>
      <name val="Calibri"/>
      <family val="2"/>
      <scheme val="minor"/>
    </font>
    <font>
      <b/>
      <sz val="12"/>
      <color theme="1"/>
      <name val="Arial"/>
      <family val="2"/>
    </font>
    <font>
      <b/>
      <sz val="10"/>
      <color rgb="FFFF0000"/>
      <name val="Arial"/>
      <family val="2"/>
    </font>
    <font>
      <b/>
      <sz val="10"/>
      <color rgb="FF00FF00"/>
      <name val="Arial"/>
      <family val="2"/>
    </font>
    <font>
      <b/>
      <sz val="10"/>
      <color rgb="FFFFC000"/>
      <name val="Arial"/>
      <family val="2"/>
    </font>
    <font>
      <b/>
      <sz val="10"/>
      <color theme="9" tint="-0.249977111117893"/>
      <name val="Arial"/>
      <family val="2"/>
    </font>
    <font>
      <b/>
      <sz val="10"/>
      <color rgb="FF00B050"/>
      <name val="Arial"/>
      <family val="2"/>
    </font>
    <font>
      <b/>
      <u/>
      <sz val="10"/>
      <color rgb="FFFF0000"/>
      <name val="Arial"/>
      <family val="2"/>
    </font>
    <font>
      <sz val="14"/>
      <color theme="1"/>
      <name val="Arial"/>
      <family val="2"/>
    </font>
    <font>
      <sz val="8"/>
      <color rgb="FFFF0000"/>
      <name val="Arial"/>
      <family val="2"/>
    </font>
    <font>
      <sz val="8"/>
      <color theme="1"/>
      <name val="Arial"/>
      <family val="2"/>
    </font>
    <font>
      <sz val="8"/>
      <color rgb="FF000000"/>
      <name val="Tahoma"/>
      <family val="2"/>
    </font>
    <font>
      <sz val="16"/>
      <name val="Calibri"/>
      <family val="2"/>
      <scheme val="minor"/>
    </font>
    <font>
      <b/>
      <u/>
      <sz val="10"/>
      <color rgb="FF00FF00"/>
      <name val="Arial"/>
      <family val="2"/>
    </font>
    <font>
      <sz val="10"/>
      <color rgb="FF00B050"/>
      <name val="Arial"/>
      <family val="2"/>
    </font>
    <font>
      <b/>
      <u/>
      <sz val="10"/>
      <color rgb="FF00B050"/>
      <name val="Arial"/>
      <family val="2"/>
    </font>
  </fonts>
  <fills count="40">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indexed="43"/>
        <bgColor indexed="64"/>
      </patternFill>
    </fill>
    <fill>
      <patternFill patternType="solid">
        <fgColor rgb="FFFFFF99"/>
        <bgColor indexed="64"/>
      </patternFill>
    </fill>
    <fill>
      <patternFill patternType="solid">
        <fgColor rgb="FFFFFFCC"/>
        <bgColor indexed="64"/>
      </patternFill>
    </fill>
    <fill>
      <patternFill patternType="solid">
        <fgColor rgb="FFF4BF3D"/>
        <bgColor indexed="64"/>
      </patternFill>
    </fill>
    <fill>
      <patternFill patternType="solid">
        <fgColor rgb="FF5DB6E2"/>
        <bgColor indexed="64"/>
      </patternFill>
    </fill>
    <fill>
      <patternFill patternType="solid">
        <fgColor rgb="FFF28350"/>
        <bgColor indexed="64"/>
      </patternFill>
    </fill>
    <fill>
      <patternFill patternType="solid">
        <fgColor rgb="FF60BB60"/>
        <bgColor indexed="64"/>
      </patternFill>
    </fill>
    <fill>
      <patternFill patternType="solid">
        <fgColor rgb="FFE04343"/>
        <bgColor indexed="64"/>
      </patternFill>
    </fill>
    <fill>
      <patternFill patternType="solid">
        <fgColor rgb="FFCCFFCC"/>
        <bgColor indexed="64"/>
      </patternFill>
    </fill>
    <fill>
      <patternFill patternType="solid">
        <fgColor indexed="10"/>
        <bgColor indexed="64"/>
      </patternFill>
    </fill>
    <fill>
      <patternFill patternType="solid">
        <fgColor indexed="42"/>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indexed="13"/>
        <bgColor indexed="64"/>
      </patternFill>
    </fill>
    <fill>
      <patternFill patternType="solid">
        <fgColor indexed="9"/>
        <bgColor indexed="64"/>
      </patternFill>
    </fill>
    <fill>
      <patternFill patternType="solid">
        <fgColor rgb="FF99CCFF"/>
        <bgColor indexed="64"/>
      </patternFill>
    </fill>
    <fill>
      <patternFill patternType="solid">
        <fgColor rgb="FFCCFFFF"/>
        <bgColor indexed="64"/>
      </patternFill>
    </fill>
    <fill>
      <patternFill patternType="solid">
        <fgColor rgb="FFCCCCFF"/>
        <bgColor indexed="64"/>
      </patternFill>
    </fill>
    <fill>
      <patternFill patternType="solid">
        <fgColor indexed="44"/>
        <bgColor indexed="64"/>
      </patternFill>
    </fill>
    <fill>
      <patternFill patternType="solid">
        <fgColor theme="0"/>
        <bgColor indexed="64"/>
      </patternFill>
    </fill>
    <fill>
      <patternFill patternType="solid">
        <fgColor rgb="FFFF7C80"/>
        <bgColor indexed="64"/>
      </patternFill>
    </fill>
    <fill>
      <patternFill patternType="solid">
        <fgColor rgb="FFCC99FF"/>
        <bgColor indexed="64"/>
      </patternFill>
    </fill>
    <fill>
      <patternFill patternType="solid">
        <fgColor indexed="46"/>
        <bgColor indexed="64"/>
      </patternFill>
    </fill>
    <fill>
      <patternFill patternType="solid">
        <fgColor indexed="45"/>
        <bgColor indexed="64"/>
      </patternFill>
    </fill>
    <fill>
      <patternFill patternType="solid">
        <fgColor rgb="FFFFFFFF"/>
        <bgColor indexed="64"/>
      </patternFill>
    </fill>
    <fill>
      <patternFill patternType="solid">
        <fgColor rgb="FF99FF99"/>
        <bgColor indexed="64"/>
      </patternFill>
    </fill>
    <fill>
      <patternFill patternType="solid">
        <fgColor rgb="FFFFCC66"/>
        <bgColor indexed="64"/>
      </patternFill>
    </fill>
    <fill>
      <patternFill patternType="solid">
        <fgColor indexed="8"/>
        <bgColor indexed="64"/>
      </patternFill>
    </fill>
    <fill>
      <patternFill patternType="solid">
        <fgColor rgb="FF66CCFF"/>
        <bgColor indexed="64"/>
      </patternFill>
    </fill>
    <fill>
      <patternFill patternType="solid">
        <fgColor rgb="FFCCFF99"/>
        <bgColor indexed="64"/>
      </patternFill>
    </fill>
    <fill>
      <patternFill patternType="solid">
        <fgColor rgb="FFFFCCCC"/>
        <bgColor indexed="64"/>
      </patternFill>
    </fill>
    <fill>
      <patternFill patternType="solid">
        <fgColor rgb="FF7030A0"/>
        <bgColor indexed="64"/>
      </patternFill>
    </fill>
    <fill>
      <patternFill patternType="solid">
        <fgColor rgb="FF339966"/>
        <bgColor indexed="64"/>
      </patternFill>
    </fill>
    <fill>
      <patternFill patternType="solid">
        <fgColor rgb="FFCC0000"/>
        <bgColor indexed="64"/>
      </patternFill>
    </fill>
    <fill>
      <patternFill patternType="solid">
        <fgColor rgb="FFFFC000"/>
        <bgColor indexed="64"/>
      </patternFill>
    </fill>
  </fills>
  <borders count="117">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style="thin">
        <color indexed="64"/>
      </right>
      <top/>
      <bottom style="medium">
        <color indexed="64"/>
      </bottom>
      <diagonal/>
    </border>
    <border>
      <left style="thick">
        <color theme="4" tint="-0.249977111117893"/>
      </left>
      <right/>
      <top style="thick">
        <color theme="4" tint="-0.249977111117893"/>
      </top>
      <bottom style="thin">
        <color indexed="64"/>
      </bottom>
      <diagonal/>
    </border>
    <border>
      <left/>
      <right/>
      <top style="thick">
        <color theme="4" tint="-0.249977111117893"/>
      </top>
      <bottom style="thin">
        <color indexed="64"/>
      </bottom>
      <diagonal/>
    </border>
    <border>
      <left/>
      <right style="thick">
        <color theme="4" tint="-0.249977111117893"/>
      </right>
      <top style="thick">
        <color theme="4" tint="-0.249977111117893"/>
      </top>
      <bottom style="thin">
        <color indexed="64"/>
      </bottom>
      <diagonal/>
    </border>
    <border>
      <left style="thick">
        <color theme="4" tint="-0.249977111117893"/>
      </left>
      <right/>
      <top/>
      <bottom/>
      <diagonal/>
    </border>
    <border>
      <left style="thin">
        <color indexed="64"/>
      </left>
      <right style="thick">
        <color theme="4" tint="-0.249977111117893"/>
      </right>
      <top/>
      <bottom style="thin">
        <color indexed="64"/>
      </bottom>
      <diagonal/>
    </border>
    <border>
      <left style="thin">
        <color auto="1"/>
      </left>
      <right style="thick">
        <color theme="4" tint="-0.249977111117893"/>
      </right>
      <top style="thin">
        <color auto="1"/>
      </top>
      <bottom style="thin">
        <color auto="1"/>
      </bottom>
      <diagonal/>
    </border>
    <border>
      <left style="thin">
        <color indexed="64"/>
      </left>
      <right style="thick">
        <color theme="4" tint="-0.249977111117893"/>
      </right>
      <top style="thin">
        <color indexed="64"/>
      </top>
      <bottom/>
      <diagonal/>
    </border>
    <border>
      <left style="thick">
        <color theme="4" tint="-0.249977111117893"/>
      </left>
      <right/>
      <top style="thin">
        <color indexed="64"/>
      </top>
      <bottom style="thin">
        <color indexed="64"/>
      </bottom>
      <diagonal/>
    </border>
    <border>
      <left/>
      <right style="thick">
        <color theme="4" tint="-0.249977111117893"/>
      </right>
      <top style="thin">
        <color indexed="64"/>
      </top>
      <bottom style="thin">
        <color indexed="64"/>
      </bottom>
      <diagonal/>
    </border>
    <border>
      <left style="thick">
        <color theme="4" tint="-0.249977111117893"/>
      </left>
      <right style="thin">
        <color auto="1"/>
      </right>
      <top style="thin">
        <color auto="1"/>
      </top>
      <bottom style="thin">
        <color auto="1"/>
      </bottom>
      <diagonal/>
    </border>
    <border>
      <left style="thick">
        <color theme="4" tint="-0.249977111117893"/>
      </left>
      <right style="thin">
        <color auto="1"/>
      </right>
      <top style="thin">
        <color auto="1"/>
      </top>
      <bottom style="thick">
        <color theme="4" tint="-0.249977111117893"/>
      </bottom>
      <diagonal/>
    </border>
    <border>
      <left style="thin">
        <color auto="1"/>
      </left>
      <right style="thin">
        <color auto="1"/>
      </right>
      <top style="thin">
        <color auto="1"/>
      </top>
      <bottom style="thick">
        <color theme="4" tint="-0.249977111117893"/>
      </bottom>
      <diagonal/>
    </border>
    <border>
      <left style="thin">
        <color auto="1"/>
      </left>
      <right style="thick">
        <color theme="4" tint="-0.249977111117893"/>
      </right>
      <top style="thin">
        <color auto="1"/>
      </top>
      <bottom style="thick">
        <color theme="4" tint="-0.249977111117893"/>
      </bottom>
      <diagonal/>
    </border>
    <border>
      <left style="thick">
        <color rgb="FF0070C0"/>
      </left>
      <right/>
      <top style="thick">
        <color rgb="FF0070C0"/>
      </top>
      <bottom/>
      <diagonal/>
    </border>
    <border>
      <left/>
      <right/>
      <top style="thick">
        <color rgb="FF0070C0"/>
      </top>
      <bottom/>
      <diagonal/>
    </border>
    <border>
      <left style="thick">
        <color rgb="FF0070C0"/>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right style="thick">
        <color rgb="FF0070C0"/>
      </right>
      <top/>
      <bottom style="thick">
        <color rgb="FF0070C0"/>
      </bottom>
      <diagonal/>
    </border>
    <border>
      <left style="thick">
        <color rgb="FF0070C0"/>
      </left>
      <right style="thick">
        <color rgb="FF0070C0"/>
      </right>
      <top/>
      <bottom style="thick">
        <color rgb="FF0070C0"/>
      </bottom>
      <diagonal/>
    </border>
    <border>
      <left/>
      <right/>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top/>
      <bottom style="thick">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top style="thick">
        <color rgb="FF00B050"/>
      </top>
      <bottom style="thick">
        <color rgb="FF00B050"/>
      </bottom>
      <diagonal/>
    </border>
    <border>
      <left/>
      <right style="thick">
        <color rgb="FF00B050"/>
      </right>
      <top style="thick">
        <color rgb="FF00B050"/>
      </top>
      <bottom style="thick">
        <color rgb="FF00B050"/>
      </bottom>
      <diagonal/>
    </border>
    <border>
      <left/>
      <right/>
      <top/>
      <bottom style="thick">
        <color rgb="FF002060"/>
      </bottom>
      <diagonal/>
    </border>
    <border>
      <left style="thick">
        <color rgb="FF002060"/>
      </left>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FF00"/>
      </left>
      <right/>
      <top style="thick">
        <color rgb="FF00FF00"/>
      </top>
      <bottom style="thick">
        <color rgb="FF00FF00"/>
      </bottom>
      <diagonal/>
    </border>
    <border>
      <left/>
      <right style="thick">
        <color rgb="FF00FF00"/>
      </right>
      <top style="thick">
        <color rgb="FF00FF00"/>
      </top>
      <bottom style="thick">
        <color rgb="FF00FF00"/>
      </bottom>
      <diagonal/>
    </border>
    <border>
      <left/>
      <right/>
      <top/>
      <bottom style="thick">
        <color theme="4" tint="-0.249977111117893"/>
      </bottom>
      <diagonal/>
    </border>
  </borders>
  <cellStyleXfs count="12">
    <xf numFmtId="0" fontId="0" fillId="0" borderId="0"/>
    <xf numFmtId="0" fontId="7" fillId="0" borderId="0"/>
    <xf numFmtId="0" fontId="6" fillId="0" borderId="0"/>
    <xf numFmtId="0" fontId="5" fillId="0" borderId="0"/>
    <xf numFmtId="9" fontId="7" fillId="0" borderId="0" applyFont="0" applyFill="0" applyBorder="0" applyAlignment="0" applyProtection="0"/>
    <xf numFmtId="0" fontId="51" fillId="0" borderId="0" applyNumberFormat="0" applyFill="0" applyBorder="0" applyAlignment="0" applyProtection="0"/>
    <xf numFmtId="0" fontId="4" fillId="0" borderId="0"/>
    <xf numFmtId="0" fontId="82" fillId="0" borderId="0"/>
    <xf numFmtId="167" fontId="97" fillId="0" borderId="0" applyBorder="0" applyProtection="0"/>
    <xf numFmtId="0" fontId="97" fillId="0" borderId="0"/>
    <xf numFmtId="9" fontId="97" fillId="0" borderId="0" applyBorder="0" applyProtection="0"/>
    <xf numFmtId="0" fontId="3" fillId="0" borderId="0"/>
  </cellStyleXfs>
  <cellXfs count="1351">
    <xf numFmtId="0" fontId="0" fillId="0" borderId="0" xfId="0"/>
    <xf numFmtId="0" fontId="13" fillId="0" borderId="0" xfId="0" applyFont="1" applyFill="1" applyBorder="1" applyAlignment="1" applyProtection="1">
      <alignment horizontal="left"/>
      <protection locked="0"/>
    </xf>
    <xf numFmtId="0" fontId="8" fillId="0" borderId="0" xfId="0" applyFont="1"/>
    <xf numFmtId="0" fontId="8" fillId="0" borderId="0" xfId="0" applyFont="1" applyAlignment="1">
      <alignment horizontal="center"/>
    </xf>
    <xf numFmtId="0" fontId="8" fillId="0" borderId="0" xfId="0" applyFont="1" applyFill="1"/>
    <xf numFmtId="0" fontId="8" fillId="0" borderId="0" xfId="0" applyFont="1" applyAlignment="1">
      <alignment vertical="center"/>
    </xf>
    <xf numFmtId="0" fontId="8" fillId="0" borderId="0" xfId="0" applyFont="1" applyAlignment="1">
      <alignment horizontal="right" vertical="center"/>
    </xf>
    <xf numFmtId="0" fontId="17" fillId="0" borderId="0" xfId="0" applyFont="1" applyAlignment="1">
      <alignment vertical="center"/>
    </xf>
    <xf numFmtId="0" fontId="18" fillId="0" borderId="0" xfId="0" applyFont="1" applyAlignment="1">
      <alignment horizontal="center" vertical="center"/>
    </xf>
    <xf numFmtId="0" fontId="0" fillId="0" borderId="0" xfId="0" applyAlignment="1">
      <alignment horizontal="left" vertical="center"/>
    </xf>
    <xf numFmtId="0" fontId="0" fillId="0" borderId="0" xfId="0" applyBorder="1" applyAlignment="1" applyProtection="1">
      <alignment horizontal="center" vertical="center"/>
    </xf>
    <xf numFmtId="0" fontId="10" fillId="0" borderId="0" xfId="0" applyFont="1" applyAlignment="1">
      <alignment horizontal="right" vertical="center"/>
    </xf>
    <xf numFmtId="164" fontId="0" fillId="4" borderId="0" xfId="0" applyNumberFormat="1" applyFill="1" applyBorder="1" applyAlignment="1">
      <alignment horizontal="center" vertical="center"/>
    </xf>
    <xf numFmtId="164" fontId="0" fillId="0" borderId="0" xfId="0" applyNumberFormat="1" applyFill="1" applyBorder="1" applyAlignment="1">
      <alignment horizontal="center" vertical="center"/>
    </xf>
    <xf numFmtId="0" fontId="17" fillId="0" borderId="0" xfId="0" applyFont="1" applyAlignment="1"/>
    <xf numFmtId="0" fontId="10" fillId="0" borderId="0" xfId="0" applyFont="1" applyFill="1" applyBorder="1" applyAlignment="1">
      <alignment horizontal="center" textRotation="90"/>
    </xf>
    <xf numFmtId="0" fontId="8" fillId="0" borderId="0" xfId="0" applyFont="1" applyFill="1" applyBorder="1"/>
    <xf numFmtId="1" fontId="22" fillId="0" borderId="0" xfId="0" applyNumberFormat="1" applyFont="1" applyFill="1" applyAlignment="1">
      <alignment horizontal="right" vertical="center"/>
    </xf>
    <xf numFmtId="1" fontId="22" fillId="0" borderId="0" xfId="0" applyNumberFormat="1" applyFont="1" applyAlignment="1">
      <alignment horizontal="right" vertical="center"/>
    </xf>
    <xf numFmtId="1" fontId="22" fillId="0" borderId="0" xfId="0" applyNumberFormat="1" applyFont="1" applyAlignment="1">
      <alignment horizontal="right" textRotation="90"/>
    </xf>
    <xf numFmtId="164" fontId="0" fillId="5" borderId="24" xfId="0" applyNumberFormat="1" applyFill="1" applyBorder="1" applyAlignment="1" applyProtection="1">
      <alignment horizontal="center" vertical="center"/>
      <protection locked="0"/>
    </xf>
    <xf numFmtId="164" fontId="7" fillId="5" borderId="24" xfId="0" applyNumberFormat="1" applyFont="1" applyFill="1" applyBorder="1" applyAlignment="1" applyProtection="1">
      <alignment horizontal="center" vertical="center"/>
      <protection locked="0"/>
    </xf>
    <xf numFmtId="164" fontId="24" fillId="5" borderId="24" xfId="0" applyNumberFormat="1" applyFont="1" applyFill="1" applyBorder="1" applyAlignment="1" applyProtection="1">
      <alignment horizontal="center" vertical="center" wrapText="1"/>
      <protection locked="0"/>
    </xf>
    <xf numFmtId="0" fontId="25" fillId="0" borderId="0" xfId="0" applyFont="1"/>
    <xf numFmtId="0" fontId="28" fillId="0" borderId="0" xfId="0" applyFont="1" applyAlignment="1">
      <alignment vertical="center"/>
    </xf>
    <xf numFmtId="0" fontId="28" fillId="0" borderId="0" xfId="0" applyFont="1" applyAlignment="1">
      <alignment horizontal="left" vertical="center" indent="4"/>
    </xf>
    <xf numFmtId="0" fontId="28" fillId="0" borderId="0" xfId="0" applyFont="1" applyAlignment="1">
      <alignment horizontal="left" vertical="center" indent="11"/>
    </xf>
    <xf numFmtId="0" fontId="31" fillId="0" borderId="0" xfId="0" applyFont="1" applyAlignment="1">
      <alignment horizontal="left" vertical="center" indent="4"/>
    </xf>
    <xf numFmtId="0" fontId="31" fillId="0" borderId="0" xfId="0" applyFont="1" applyAlignment="1">
      <alignment horizontal="left" vertical="center" indent="2"/>
    </xf>
    <xf numFmtId="0" fontId="31" fillId="0" borderId="0" xfId="0" applyFont="1" applyAlignment="1">
      <alignment vertical="center"/>
    </xf>
    <xf numFmtId="0" fontId="32" fillId="0" borderId="0" xfId="0" applyFont="1" applyAlignment="1">
      <alignment vertical="center"/>
    </xf>
    <xf numFmtId="0" fontId="25" fillId="0" borderId="0" xfId="0" applyFont="1" applyAlignment="1">
      <alignment vertical="top"/>
    </xf>
    <xf numFmtId="164" fontId="24" fillId="8" borderId="24" xfId="0" applyNumberFormat="1" applyFont="1" applyFill="1" applyBorder="1" applyAlignment="1" applyProtection="1">
      <alignment horizontal="center" vertical="center" wrapText="1"/>
      <protection locked="0"/>
    </xf>
    <xf numFmtId="164" fontId="24" fillId="9" borderId="24" xfId="0" applyNumberFormat="1" applyFont="1" applyFill="1" applyBorder="1" applyAlignment="1" applyProtection="1">
      <alignment horizontal="center" vertical="center" wrapText="1"/>
      <protection locked="0"/>
    </xf>
    <xf numFmtId="164" fontId="24" fillId="7" borderId="24" xfId="0" applyNumberFormat="1" applyFont="1" applyFill="1" applyBorder="1" applyAlignment="1" applyProtection="1">
      <alignment horizontal="center" vertical="center" wrapText="1"/>
      <protection locked="0"/>
    </xf>
    <xf numFmtId="164" fontId="24" fillId="10" borderId="24" xfId="0" applyNumberFormat="1" applyFont="1" applyFill="1" applyBorder="1" applyAlignment="1" applyProtection="1">
      <alignment horizontal="center" vertical="center" wrapText="1"/>
      <protection locked="0"/>
    </xf>
    <xf numFmtId="164" fontId="24" fillId="11" borderId="24" xfId="0" applyNumberFormat="1" applyFont="1" applyFill="1" applyBorder="1" applyAlignment="1" applyProtection="1">
      <alignment horizontal="center" vertical="center" wrapText="1"/>
      <protection locked="0"/>
    </xf>
    <xf numFmtId="0" fontId="34" fillId="0" borderId="0" xfId="0" applyFont="1"/>
    <xf numFmtId="0" fontId="34" fillId="0" borderId="0" xfId="0" applyFont="1" applyAlignment="1">
      <alignment horizontal="center" vertical="center"/>
    </xf>
    <xf numFmtId="0" fontId="34" fillId="0" borderId="0" xfId="0" applyFont="1" applyBorder="1" applyAlignment="1" applyProtection="1">
      <alignment horizontal="center"/>
    </xf>
    <xf numFmtId="0" fontId="0" fillId="0" borderId="24" xfId="0" applyBorder="1" applyAlignment="1">
      <alignment horizontal="center" vertical="center"/>
    </xf>
    <xf numFmtId="0" fontId="10" fillId="0" borderId="24" xfId="0" applyFont="1" applyFill="1" applyBorder="1" applyAlignment="1">
      <alignment horizontal="center" textRotation="90"/>
    </xf>
    <xf numFmtId="164" fontId="0" fillId="4" borderId="24" xfId="0" applyNumberFormat="1" applyFill="1" applyBorder="1" applyAlignment="1">
      <alignment horizontal="center" vertical="center"/>
    </xf>
    <xf numFmtId="0" fontId="34" fillId="0" borderId="0" xfId="0" applyFont="1" applyFill="1" applyBorder="1"/>
    <xf numFmtId="0" fontId="0" fillId="0" borderId="0" xfId="0" applyAlignment="1">
      <alignment horizontal="center" vertical="center"/>
    </xf>
    <xf numFmtId="0" fontId="18" fillId="0" borderId="0" xfId="0" applyFont="1" applyFill="1" applyBorder="1" applyAlignment="1" applyProtection="1">
      <alignment horizontal="center"/>
      <protection locked="0"/>
    </xf>
    <xf numFmtId="0" fontId="35" fillId="0" borderId="0" xfId="1" applyFont="1"/>
    <xf numFmtId="0" fontId="15" fillId="0" borderId="0" xfId="1" applyFont="1"/>
    <xf numFmtId="0" fontId="15" fillId="0" borderId="0" xfId="1" applyFont="1" applyAlignment="1">
      <alignment horizontal="left"/>
    </xf>
    <xf numFmtId="0" fontId="36" fillId="0" borderId="0" xfId="1" applyFont="1"/>
    <xf numFmtId="0" fontId="36" fillId="0" borderId="0" xfId="1" applyFont="1" applyBorder="1" applyAlignment="1">
      <alignment horizontal="center"/>
    </xf>
    <xf numFmtId="0" fontId="36" fillId="0" borderId="0" xfId="1" applyFont="1" applyAlignment="1">
      <alignment horizontal="center"/>
    </xf>
    <xf numFmtId="9" fontId="36" fillId="0" borderId="0" xfId="1" applyNumberFormat="1" applyFont="1" applyAlignment="1">
      <alignment horizontal="center"/>
    </xf>
    <xf numFmtId="9" fontId="36" fillId="0" borderId="0" xfId="1" applyNumberFormat="1" applyFont="1"/>
    <xf numFmtId="0" fontId="15" fillId="0" borderId="0" xfId="1" applyFont="1" applyBorder="1"/>
    <xf numFmtId="0" fontId="15" fillId="0" borderId="0" xfId="1" applyFont="1" applyBorder="1" applyAlignment="1">
      <alignment horizontal="left"/>
    </xf>
    <xf numFmtId="0" fontId="15" fillId="0" borderId="0" xfId="1" applyFont="1" applyFill="1"/>
    <xf numFmtId="0" fontId="36" fillId="0" borderId="0" xfId="1" applyFont="1" applyFill="1" applyBorder="1" applyAlignment="1">
      <alignment horizontal="center"/>
    </xf>
    <xf numFmtId="0" fontId="7" fillId="0" borderId="0" xfId="0" applyFont="1" applyAlignment="1">
      <alignment vertical="center"/>
    </xf>
    <xf numFmtId="0" fontId="34" fillId="0" borderId="0" xfId="0" applyFont="1" applyFill="1" applyBorder="1" applyAlignment="1" applyProtection="1">
      <alignment vertical="top" wrapText="1"/>
      <protection locked="0"/>
    </xf>
    <xf numFmtId="9" fontId="34" fillId="0" borderId="0" xfId="0" applyNumberFormat="1" applyFont="1" applyFill="1" applyBorder="1" applyAlignment="1">
      <alignment vertical="center" textRotation="90"/>
    </xf>
    <xf numFmtId="0" fontId="34" fillId="6" borderId="9" xfId="0" applyNumberFormat="1" applyFont="1" applyFill="1" applyBorder="1" applyAlignment="1" applyProtection="1">
      <alignment vertical="top" wrapText="1"/>
      <protection locked="0"/>
    </xf>
    <xf numFmtId="0" fontId="34" fillId="6" borderId="22" xfId="0" applyNumberFormat="1" applyFont="1" applyFill="1" applyBorder="1" applyAlignment="1" applyProtection="1">
      <alignment vertical="top" wrapText="1"/>
      <protection locked="0"/>
    </xf>
    <xf numFmtId="0" fontId="34" fillId="6" borderId="23" xfId="0" applyNumberFormat="1" applyFont="1" applyFill="1" applyBorder="1" applyAlignment="1" applyProtection="1">
      <alignment vertical="top" wrapText="1"/>
      <protection locked="0"/>
    </xf>
    <xf numFmtId="0" fontId="34" fillId="0" borderId="0" xfId="0" applyNumberFormat="1" applyFont="1" applyFill="1" applyBorder="1" applyAlignment="1" applyProtection="1">
      <alignment vertical="top" wrapText="1"/>
      <protection locked="0"/>
    </xf>
    <xf numFmtId="0" fontId="34" fillId="0" borderId="0" xfId="0" applyFont="1" applyFill="1" applyBorder="1" applyAlignment="1">
      <alignment vertical="center"/>
    </xf>
    <xf numFmtId="0" fontId="16" fillId="0" borderId="0" xfId="1" applyFont="1" applyProtection="1"/>
    <xf numFmtId="0" fontId="18" fillId="0" borderId="18" xfId="1" applyFont="1" applyBorder="1" applyAlignment="1" applyProtection="1">
      <alignment horizontal="center"/>
    </xf>
    <xf numFmtId="0" fontId="18" fillId="0" borderId="0" xfId="1" applyFont="1" applyAlignment="1" applyProtection="1">
      <alignment horizontal="center"/>
    </xf>
    <xf numFmtId="0" fontId="7" fillId="0" borderId="0" xfId="1" applyProtection="1"/>
    <xf numFmtId="0" fontId="7" fillId="0" borderId="0" xfId="1" applyAlignment="1" applyProtection="1">
      <alignment horizontal="right"/>
    </xf>
    <xf numFmtId="0" fontId="7" fillId="0" borderId="0" xfId="1" applyBorder="1" applyAlignment="1" applyProtection="1">
      <alignment horizontal="center" vertical="center"/>
    </xf>
    <xf numFmtId="0" fontId="7" fillId="0" borderId="0" xfId="1" applyAlignment="1" applyProtection="1">
      <alignment horizontal="center" vertical="center"/>
    </xf>
    <xf numFmtId="0" fontId="7" fillId="0" borderId="0" xfId="1" applyFont="1" applyProtection="1"/>
    <xf numFmtId="0" fontId="7" fillId="0" borderId="0" xfId="1" applyAlignment="1" applyProtection="1">
      <alignment horizontal="center"/>
    </xf>
    <xf numFmtId="1" fontId="7" fillId="0" borderId="0" xfId="1" applyNumberFormat="1" applyFont="1" applyFill="1" applyBorder="1" applyAlignment="1" applyProtection="1">
      <alignment horizontal="center"/>
    </xf>
    <xf numFmtId="0" fontId="7" fillId="0" borderId="0" xfId="1" applyFill="1" applyAlignment="1" applyProtection="1">
      <alignment horizontal="center" vertical="center"/>
    </xf>
    <xf numFmtId="0" fontId="7" fillId="0" borderId="0" xfId="1" applyFill="1" applyBorder="1" applyAlignment="1" applyProtection="1">
      <alignment horizontal="left"/>
    </xf>
    <xf numFmtId="0" fontId="7" fillId="0" borderId="0" xfId="1" applyFill="1" applyAlignment="1" applyProtection="1">
      <alignment horizontal="center"/>
    </xf>
    <xf numFmtId="1" fontId="7" fillId="0" borderId="0" xfId="1" applyNumberFormat="1" applyFont="1" applyFill="1" applyBorder="1" applyAlignment="1" applyProtection="1">
      <alignment horizontal="left" textRotation="90"/>
    </xf>
    <xf numFmtId="0" fontId="7" fillId="0" borderId="1" xfId="1" applyFont="1" applyBorder="1" applyAlignment="1">
      <alignment horizontal="right" vertical="center"/>
    </xf>
    <xf numFmtId="0" fontId="7" fillId="0" borderId="2" xfId="1" applyFont="1" applyBorder="1" applyAlignment="1"/>
    <xf numFmtId="0" fontId="7" fillId="0" borderId="1" xfId="1" applyFont="1" applyBorder="1" applyAlignment="1">
      <alignment horizontal="center" textRotation="90"/>
    </xf>
    <xf numFmtId="0" fontId="7" fillId="0" borderId="8" xfId="1" applyFont="1" applyBorder="1" applyAlignment="1">
      <alignment horizontal="center" textRotation="90"/>
    </xf>
    <xf numFmtId="0" fontId="7" fillId="0" borderId="20" xfId="1" applyFont="1" applyBorder="1" applyAlignment="1">
      <alignment horizontal="center" textRotation="90"/>
    </xf>
    <xf numFmtId="0" fontId="7" fillId="0" borderId="28" xfId="1" applyFont="1" applyFill="1" applyBorder="1" applyAlignment="1">
      <alignment horizontal="center" textRotation="90"/>
    </xf>
    <xf numFmtId="0" fontId="7" fillId="3" borderId="21" xfId="1" applyFont="1" applyFill="1" applyBorder="1" applyAlignment="1" applyProtection="1">
      <alignment horizontal="center" textRotation="90"/>
      <protection locked="0"/>
    </xf>
    <xf numFmtId="0" fontId="7" fillId="0" borderId="29" xfId="1" applyFont="1" applyBorder="1" applyAlignment="1">
      <alignment horizontal="center" textRotation="90"/>
    </xf>
    <xf numFmtId="0" fontId="7" fillId="0" borderId="0" xfId="1" applyFont="1" applyFill="1" applyBorder="1" applyAlignment="1" applyProtection="1">
      <alignment horizontal="center"/>
    </xf>
    <xf numFmtId="0" fontId="7" fillId="0" borderId="0" xfId="1" applyFill="1" applyProtection="1"/>
    <xf numFmtId="0" fontId="11" fillId="18" borderId="30" xfId="1" applyFont="1" applyFill="1" applyBorder="1" applyAlignment="1" applyProtection="1">
      <alignment horizontal="center"/>
    </xf>
    <xf numFmtId="1" fontId="22" fillId="0" borderId="0" xfId="1" applyNumberFormat="1" applyFont="1" applyFill="1" applyBorder="1" applyAlignment="1" applyProtection="1">
      <alignment horizontal="center" vertical="center"/>
      <protection locked="0"/>
    </xf>
    <xf numFmtId="0" fontId="7" fillId="0" borderId="3" xfId="1" applyBorder="1" applyAlignment="1" applyProtection="1">
      <alignment horizontal="center" vertical="center"/>
    </xf>
    <xf numFmtId="0" fontId="7" fillId="0" borderId="10" xfId="1" applyFont="1" applyFill="1" applyBorder="1" applyAlignment="1" applyProtection="1">
      <alignment horizontal="left" vertical="center"/>
    </xf>
    <xf numFmtId="164" fontId="7" fillId="0" borderId="3" xfId="1" applyNumberFormat="1" applyFill="1" applyBorder="1" applyAlignment="1" applyProtection="1">
      <alignment horizontal="center" vertical="center"/>
    </xf>
    <xf numFmtId="164" fontId="7" fillId="4" borderId="24" xfId="1" applyNumberFormat="1" applyFill="1" applyBorder="1" applyAlignment="1" applyProtection="1">
      <alignment horizontal="center" vertical="center"/>
    </xf>
    <xf numFmtId="164" fontId="7" fillId="4" borderId="6" xfId="1" applyNumberFormat="1" applyFill="1" applyBorder="1" applyAlignment="1">
      <alignment horizontal="center" vertical="center"/>
    </xf>
    <xf numFmtId="164" fontId="7" fillId="4" borderId="24" xfId="1" applyNumberFormat="1" applyFont="1" applyFill="1" applyBorder="1" applyAlignment="1" applyProtection="1">
      <alignment horizontal="center" vertical="center"/>
      <protection locked="0"/>
    </xf>
    <xf numFmtId="0" fontId="7" fillId="4" borderId="32" xfId="1" applyFont="1" applyFill="1" applyBorder="1" applyAlignment="1" applyProtection="1">
      <alignment horizontal="center" vertical="center"/>
      <protection locked="0"/>
    </xf>
    <xf numFmtId="0" fontId="19" fillId="0" borderId="0" xfId="1" applyFont="1" applyFill="1" applyBorder="1" applyAlignment="1" applyProtection="1">
      <alignment horizontal="center" vertical="center"/>
      <protection locked="0"/>
    </xf>
    <xf numFmtId="0" fontId="7" fillId="0" borderId="0" xfId="1" applyFill="1" applyBorder="1" applyAlignment="1" applyProtection="1">
      <alignment horizontal="center"/>
      <protection locked="0"/>
    </xf>
    <xf numFmtId="0" fontId="11" fillId="18" borderId="33" xfId="1" applyFont="1" applyFill="1" applyBorder="1" applyAlignment="1" applyProtection="1">
      <alignment horizontal="center" vertical="justify"/>
    </xf>
    <xf numFmtId="0" fontId="7" fillId="0" borderId="0" xfId="1" applyAlignment="1" applyProtection="1">
      <alignment vertical="center"/>
    </xf>
    <xf numFmtId="0" fontId="7" fillId="0" borderId="0" xfId="1" applyFont="1" applyAlignment="1" applyProtection="1">
      <alignment horizontal="center" vertical="center"/>
      <protection locked="0"/>
    </xf>
    <xf numFmtId="0" fontId="7" fillId="2" borderId="24" xfId="1" applyFont="1" applyFill="1" applyBorder="1" applyAlignment="1" applyProtection="1">
      <alignment horizontal="left" vertical="center" wrapText="1"/>
      <protection locked="0"/>
    </xf>
    <xf numFmtId="1" fontId="37" fillId="0" borderId="0" xfId="1" applyNumberFormat="1" applyFont="1" applyFill="1" applyBorder="1" applyAlignment="1" applyProtection="1">
      <alignment horizontal="center" vertical="center"/>
    </xf>
    <xf numFmtId="164" fontId="7" fillId="5" borderId="24" xfId="1" applyNumberFormat="1" applyFill="1" applyBorder="1" applyAlignment="1" applyProtection="1">
      <alignment horizontal="center" vertical="center"/>
      <protection locked="0"/>
    </xf>
    <xf numFmtId="0" fontId="7" fillId="0" borderId="0" xfId="4" applyNumberFormat="1" applyFill="1" applyBorder="1" applyAlignment="1" applyProtection="1">
      <alignment horizontal="center"/>
    </xf>
    <xf numFmtId="0" fontId="22" fillId="0" borderId="0" xfId="1" applyNumberFormat="1" applyFont="1" applyFill="1" applyBorder="1" applyAlignment="1" applyProtection="1">
      <alignment horizontal="center" vertical="center"/>
    </xf>
    <xf numFmtId="0" fontId="7" fillId="5" borderId="25" xfId="1" applyFont="1" applyFill="1" applyBorder="1" applyAlignment="1" applyProtection="1">
      <alignment horizontal="center" vertical="center"/>
      <protection locked="0"/>
    </xf>
    <xf numFmtId="9" fontId="7" fillId="0" borderId="0" xfId="4" applyFill="1" applyBorder="1" applyAlignment="1" applyProtection="1">
      <alignment horizontal="center"/>
    </xf>
    <xf numFmtId="1" fontId="22" fillId="0" borderId="0" xfId="1" applyNumberFormat="1" applyFont="1" applyFill="1" applyBorder="1" applyAlignment="1" applyProtection="1">
      <alignment horizontal="center" vertical="center"/>
    </xf>
    <xf numFmtId="9" fontId="38" fillId="0" borderId="0" xfId="4" applyFont="1" applyFill="1" applyBorder="1" applyAlignment="1" applyProtection="1">
      <alignment horizontal="center"/>
    </xf>
    <xf numFmtId="0" fontId="7" fillId="0" borderId="0" xfId="1" applyFont="1" applyBorder="1" applyAlignment="1" applyProtection="1">
      <alignment horizontal="center"/>
    </xf>
    <xf numFmtId="0" fontId="7" fillId="0" borderId="0" xfId="1" applyFont="1" applyFill="1" applyProtection="1"/>
    <xf numFmtId="164" fontId="7" fillId="4" borderId="3" xfId="1" applyNumberFormat="1" applyFill="1" applyBorder="1" applyAlignment="1" applyProtection="1">
      <alignment horizontal="center" vertical="center"/>
      <protection locked="0"/>
    </xf>
    <xf numFmtId="0" fontId="7" fillId="0" borderId="0" xfId="1" applyFill="1" applyBorder="1" applyProtection="1"/>
    <xf numFmtId="0" fontId="7" fillId="0" borderId="0" xfId="1" applyFont="1" applyFill="1" applyBorder="1" applyAlignment="1" applyProtection="1"/>
    <xf numFmtId="0" fontId="10" fillId="0" borderId="0" xfId="1" applyFont="1" applyFill="1" applyBorder="1" applyAlignment="1" applyProtection="1">
      <alignment horizontal="right"/>
    </xf>
    <xf numFmtId="0" fontId="10" fillId="0" borderId="0" xfId="1" applyFont="1" applyAlignment="1" applyProtection="1">
      <alignment horizontal="right"/>
    </xf>
    <xf numFmtId="0" fontId="7" fillId="0" borderId="0" xfId="1" applyFont="1" applyFill="1" applyBorder="1" applyProtection="1"/>
    <xf numFmtId="164" fontId="7" fillId="4" borderId="24" xfId="1" applyNumberFormat="1" applyFill="1" applyBorder="1" applyAlignment="1" applyProtection="1">
      <alignment horizontal="center" vertical="center"/>
      <protection locked="0"/>
    </xf>
    <xf numFmtId="0" fontId="7" fillId="0" borderId="0" xfId="1" applyFill="1" applyBorder="1" applyAlignment="1" applyProtection="1">
      <alignment horizontal="center" vertical="center"/>
    </xf>
    <xf numFmtId="0" fontId="10" fillId="0" borderId="0" xfId="1" applyFont="1" applyFill="1" applyBorder="1" applyAlignment="1" applyProtection="1">
      <alignment horizontal="center" vertical="center"/>
    </xf>
    <xf numFmtId="164" fontId="7" fillId="0" borderId="3" xfId="1" applyNumberFormat="1" applyFill="1" applyBorder="1" applyAlignment="1" applyProtection="1">
      <alignment horizontal="center" vertical="center"/>
      <protection locked="0"/>
    </xf>
    <xf numFmtId="0" fontId="14" fillId="0" borderId="0" xfId="1" applyFont="1" applyFill="1" applyBorder="1" applyAlignment="1" applyProtection="1">
      <alignment horizontal="center"/>
    </xf>
    <xf numFmtId="0" fontId="14" fillId="0" borderId="0" xfId="1" applyFont="1" applyProtection="1"/>
    <xf numFmtId="0" fontId="12" fillId="0" borderId="0" xfId="1" applyFont="1" applyFill="1" applyBorder="1" applyAlignment="1" applyProtection="1">
      <alignment horizontal="center"/>
    </xf>
    <xf numFmtId="0" fontId="7" fillId="0" borderId="0" xfId="1" applyFill="1" applyBorder="1" applyAlignment="1" applyProtection="1"/>
    <xf numFmtId="0" fontId="7" fillId="4" borderId="6" xfId="1" applyFont="1" applyFill="1" applyBorder="1" applyAlignment="1" applyProtection="1">
      <alignment horizontal="center" vertical="center"/>
      <protection locked="0"/>
    </xf>
    <xf numFmtId="0" fontId="7" fillId="0" borderId="4" xfId="1" applyBorder="1" applyAlignment="1" applyProtection="1">
      <alignment horizontal="center" vertical="center"/>
    </xf>
    <xf numFmtId="0" fontId="7" fillId="0" borderId="11" xfId="1" applyFont="1" applyFill="1" applyBorder="1" applyAlignment="1" applyProtection="1">
      <alignment horizontal="left" vertical="center"/>
    </xf>
    <xf numFmtId="164" fontId="7" fillId="0" borderId="4" xfId="1" applyNumberFormat="1" applyFill="1" applyBorder="1" applyAlignment="1" applyProtection="1">
      <alignment horizontal="center" vertical="center"/>
    </xf>
    <xf numFmtId="164" fontId="7" fillId="4" borderId="19" xfId="1" applyNumberFormat="1" applyFill="1" applyBorder="1" applyAlignment="1" applyProtection="1">
      <alignment horizontal="center" vertical="center"/>
    </xf>
    <xf numFmtId="164" fontId="7" fillId="4" borderId="7" xfId="1" applyNumberFormat="1" applyFill="1" applyBorder="1" applyAlignment="1">
      <alignment horizontal="center" vertical="center"/>
    </xf>
    <xf numFmtId="164" fontId="7" fillId="4" borderId="19" xfId="1" applyNumberFormat="1" applyFill="1" applyBorder="1" applyAlignment="1" applyProtection="1">
      <alignment horizontal="center" vertical="center"/>
      <protection locked="0"/>
    </xf>
    <xf numFmtId="0" fontId="7" fillId="4" borderId="7" xfId="1" applyFont="1" applyFill="1" applyBorder="1" applyAlignment="1" applyProtection="1">
      <alignment horizontal="center" vertical="center"/>
      <protection locked="0"/>
    </xf>
    <xf numFmtId="0" fontId="7" fillId="0" borderId="0" xfId="1" applyAlignment="1" applyProtection="1"/>
    <xf numFmtId="0" fontId="10" fillId="0" borderId="0" xfId="1" applyFont="1" applyFill="1" applyAlignment="1" applyProtection="1">
      <alignment horizontal="center"/>
      <protection locked="0"/>
    </xf>
    <xf numFmtId="0" fontId="7" fillId="0" borderId="0" xfId="1" applyFont="1" applyFill="1" applyBorder="1" applyAlignment="1" applyProtection="1">
      <alignment vertical="top" readingOrder="1"/>
    </xf>
    <xf numFmtId="0" fontId="7" fillId="0" borderId="0" xfId="1" applyFill="1" applyAlignment="1" applyProtection="1">
      <alignment horizontal="right"/>
    </xf>
    <xf numFmtId="0" fontId="24" fillId="0" borderId="0" xfId="1" applyFont="1" applyFill="1" applyBorder="1" applyProtection="1"/>
    <xf numFmtId="0" fontId="24" fillId="0" borderId="0" xfId="1" applyFont="1" applyFill="1" applyAlignment="1" applyProtection="1">
      <alignment horizontal="center" vertical="center"/>
    </xf>
    <xf numFmtId="0" fontId="24" fillId="0" borderId="0" xfId="1" applyFont="1" applyAlignment="1" applyProtection="1">
      <alignment horizontal="center"/>
    </xf>
    <xf numFmtId="1" fontId="24" fillId="0" borderId="0" xfId="1" applyNumberFormat="1" applyFont="1" applyFill="1" applyBorder="1" applyAlignment="1" applyProtection="1">
      <alignment horizontal="center"/>
    </xf>
    <xf numFmtId="0" fontId="24" fillId="0" borderId="0" xfId="1" applyFont="1" applyFill="1" applyAlignment="1" applyProtection="1">
      <alignment horizontal="center"/>
    </xf>
    <xf numFmtId="0" fontId="7" fillId="0" borderId="0" xfId="1" applyFont="1" applyBorder="1" applyProtection="1"/>
    <xf numFmtId="0" fontId="10" fillId="0" borderId="0" xfId="1" applyFont="1" applyFill="1" applyBorder="1" applyAlignment="1" applyProtection="1">
      <alignment vertical="center"/>
    </xf>
    <xf numFmtId="0" fontId="26" fillId="0" borderId="0" xfId="1" applyFont="1" applyFill="1" applyBorder="1" applyAlignment="1" applyProtection="1">
      <alignment vertical="center"/>
    </xf>
    <xf numFmtId="0" fontId="27" fillId="0" borderId="0" xfId="1" applyFont="1" applyFill="1" applyBorder="1" applyAlignment="1" applyProtection="1">
      <alignment vertical="center"/>
    </xf>
    <xf numFmtId="1" fontId="24" fillId="0" borderId="0" xfId="1" applyNumberFormat="1" applyFont="1" applyFill="1" applyBorder="1" applyAlignment="1" applyProtection="1">
      <alignment horizontal="left"/>
      <protection locked="0"/>
    </xf>
    <xf numFmtId="0" fontId="24" fillId="0" borderId="0" xfId="1" applyFont="1" applyProtection="1"/>
    <xf numFmtId="1" fontId="24" fillId="0" borderId="0" xfId="1" applyNumberFormat="1" applyFont="1" applyFill="1" applyBorder="1" applyAlignment="1" applyProtection="1">
      <alignment horizontal="left"/>
    </xf>
    <xf numFmtId="49" fontId="24" fillId="0" borderId="0" xfId="1" applyNumberFormat="1" applyFont="1" applyFill="1" applyBorder="1" applyAlignment="1" applyProtection="1">
      <alignment vertical="top" wrapText="1"/>
      <protection locked="0"/>
    </xf>
    <xf numFmtId="0" fontId="24" fillId="0" borderId="0" xfId="1" applyFont="1" applyFill="1" applyBorder="1" applyAlignment="1" applyProtection="1">
      <alignment horizontal="center"/>
    </xf>
    <xf numFmtId="9" fontId="24" fillId="0" borderId="0" xfId="1" applyNumberFormat="1" applyFont="1" applyFill="1" applyBorder="1" applyProtection="1"/>
    <xf numFmtId="0" fontId="44" fillId="0" borderId="0" xfId="1" applyFont="1" applyFill="1" applyAlignment="1" applyProtection="1">
      <alignment horizontal="center" vertical="center"/>
    </xf>
    <xf numFmtId="0" fontId="43" fillId="0" borderId="0" xfId="1" applyFont="1" applyAlignment="1" applyProtection="1">
      <alignment horizontal="left"/>
    </xf>
    <xf numFmtId="0" fontId="43" fillId="0" borderId="0" xfId="1" applyFont="1" applyFill="1" applyAlignment="1" applyProtection="1">
      <alignment horizontal="center" vertical="center"/>
    </xf>
    <xf numFmtId="0" fontId="7" fillId="0" borderId="0" xfId="1" applyFill="1" applyBorder="1" applyAlignment="1"/>
    <xf numFmtId="0" fontId="7" fillId="0" borderId="0" xfId="1" applyFill="1" applyBorder="1" applyAlignment="1" applyProtection="1">
      <alignment horizontal="center" vertical="center"/>
      <protection locked="0"/>
    </xf>
    <xf numFmtId="0" fontId="22" fillId="0" borderId="0" xfId="1" applyFont="1" applyAlignment="1" applyProtection="1">
      <alignment horizontal="right"/>
    </xf>
    <xf numFmtId="0" fontId="39" fillId="0" borderId="0" xfId="1" applyFont="1" applyAlignment="1" applyProtection="1">
      <alignment horizontal="left"/>
    </xf>
    <xf numFmtId="0" fontId="18" fillId="3" borderId="0" xfId="0" applyNumberFormat="1" applyFont="1" applyFill="1" applyBorder="1" applyAlignment="1" applyProtection="1">
      <alignment horizontal="center"/>
      <protection locked="0"/>
    </xf>
    <xf numFmtId="0" fontId="18" fillId="0" borderId="0" xfId="0" applyFont="1" applyFill="1" applyBorder="1" applyAlignment="1">
      <alignment vertical="center" wrapText="1"/>
    </xf>
    <xf numFmtId="49" fontId="7" fillId="0" borderId="10" xfId="1" applyNumberFormat="1" applyFont="1" applyFill="1" applyBorder="1" applyAlignment="1" applyProtection="1">
      <alignment horizontal="left" vertical="center"/>
    </xf>
    <xf numFmtId="0" fontId="24" fillId="2" borderId="1" xfId="1" applyFont="1" applyFill="1" applyBorder="1" applyAlignment="1" applyProtection="1">
      <alignment horizontal="center" vertical="center"/>
      <protection locked="0"/>
    </xf>
    <xf numFmtId="0" fontId="24" fillId="2" borderId="3" xfId="1" applyFont="1" applyFill="1" applyBorder="1" applyAlignment="1" applyProtection="1">
      <alignment horizontal="center" vertical="center"/>
      <protection locked="0"/>
    </xf>
    <xf numFmtId="0" fontId="24" fillId="2" borderId="4" xfId="1" applyFont="1" applyFill="1" applyBorder="1" applyAlignment="1" applyProtection="1">
      <alignment horizontal="center" vertical="center"/>
      <protection locked="0"/>
    </xf>
    <xf numFmtId="0" fontId="43" fillId="0" borderId="0" xfId="1" applyFont="1" applyFill="1" applyAlignment="1" applyProtection="1">
      <alignment horizontal="left"/>
    </xf>
    <xf numFmtId="0" fontId="24" fillId="0" borderId="0" xfId="1" applyFont="1" applyFill="1" applyAlignment="1" applyProtection="1"/>
    <xf numFmtId="9" fontId="24" fillId="0" borderId="0" xfId="1" applyNumberFormat="1" applyFont="1" applyFill="1" applyAlignment="1" applyProtection="1">
      <alignment horizontal="center" vertical="center"/>
    </xf>
    <xf numFmtId="0" fontId="15" fillId="0" borderId="24" xfId="1" applyFont="1" applyBorder="1" applyAlignment="1">
      <alignment vertical="center"/>
    </xf>
    <xf numFmtId="0" fontId="15" fillId="0" borderId="24" xfId="1" applyFont="1" applyBorder="1" applyAlignment="1">
      <alignment horizontal="left" vertical="center"/>
    </xf>
    <xf numFmtId="0" fontId="24" fillId="0" borderId="0" xfId="0" applyFont="1" applyAlignment="1">
      <alignment horizontal="center"/>
    </xf>
    <xf numFmtId="0" fontId="7" fillId="0" borderId="0" xfId="1" applyFont="1"/>
    <xf numFmtId="0" fontId="18" fillId="0" borderId="0" xfId="1" applyFont="1" applyAlignment="1">
      <alignment horizontal="center" vertical="center"/>
    </xf>
    <xf numFmtId="0" fontId="47" fillId="0" borderId="0" xfId="1" applyFont="1" applyFill="1" applyAlignment="1">
      <alignment horizontal="center" vertical="center"/>
    </xf>
    <xf numFmtId="0" fontId="7" fillId="0" borderId="0" xfId="1" applyFont="1" applyFill="1" applyBorder="1" applyAlignment="1" applyProtection="1">
      <alignment vertical="top"/>
      <protection locked="0"/>
    </xf>
    <xf numFmtId="0" fontId="22" fillId="0" borderId="0" xfId="1" applyFont="1" applyAlignment="1">
      <alignment horizontal="center"/>
    </xf>
    <xf numFmtId="0" fontId="38" fillId="0" borderId="0" xfId="1" applyFont="1"/>
    <xf numFmtId="0" fontId="38" fillId="0" borderId="0" xfId="1" applyFont="1" applyAlignment="1">
      <alignment horizontal="center"/>
    </xf>
    <xf numFmtId="0" fontId="22" fillId="0" borderId="0" xfId="1" applyFont="1" applyAlignment="1">
      <alignment horizontal="right"/>
    </xf>
    <xf numFmtId="164" fontId="22" fillId="0" borderId="0" xfId="1" applyNumberFormat="1" applyFont="1" applyAlignment="1">
      <alignment horizontal="center"/>
    </xf>
    <xf numFmtId="1" fontId="24" fillId="0" borderId="0" xfId="1" applyNumberFormat="1" applyFont="1" applyAlignment="1">
      <alignment horizontal="center"/>
    </xf>
    <xf numFmtId="0" fontId="24" fillId="0" borderId="0" xfId="1" applyFont="1" applyAlignment="1">
      <alignment horizontal="center"/>
    </xf>
    <xf numFmtId="0" fontId="25" fillId="0" borderId="0" xfId="1" applyFont="1"/>
    <xf numFmtId="0" fontId="7" fillId="0" borderId="0" xfId="1"/>
    <xf numFmtId="14" fontId="7" fillId="0" borderId="24" xfId="0" applyNumberFormat="1" applyFont="1" applyBorder="1" applyAlignment="1" applyProtection="1">
      <alignment textRotation="60"/>
      <protection locked="0"/>
    </xf>
    <xf numFmtId="0" fontId="7" fillId="0" borderId="24" xfId="0" applyFont="1" applyBorder="1" applyAlignment="1">
      <alignment horizontal="center" textRotation="90"/>
    </xf>
    <xf numFmtId="0" fontId="52" fillId="0" borderId="0" xfId="1" applyFont="1"/>
    <xf numFmtId="0" fontId="52" fillId="0" borderId="0" xfId="1" applyFont="1" applyFill="1" applyBorder="1"/>
    <xf numFmtId="0" fontId="7" fillId="0" borderId="0" xfId="1" applyFill="1" applyBorder="1"/>
    <xf numFmtId="9" fontId="7" fillId="0" borderId="0" xfId="4" applyFont="1" applyFill="1" applyBorder="1" applyAlignment="1" applyProtection="1">
      <alignment horizontal="center" vertical="center" textRotation="90"/>
    </xf>
    <xf numFmtId="0" fontId="7" fillId="0" borderId="0" xfId="1" applyFill="1" applyBorder="1" applyAlignment="1" applyProtection="1">
      <protection locked="0"/>
    </xf>
    <xf numFmtId="0" fontId="7" fillId="0" borderId="0" xfId="1" applyNumberFormat="1" applyFont="1" applyFill="1" applyBorder="1" applyAlignment="1" applyProtection="1">
      <alignment vertical="top"/>
      <protection locked="0"/>
    </xf>
    <xf numFmtId="0" fontId="22" fillId="0" borderId="0" xfId="1" applyFont="1" applyFill="1" applyAlignment="1" applyProtection="1">
      <alignment horizontal="center"/>
    </xf>
    <xf numFmtId="0" fontId="22" fillId="0" borderId="0" xfId="1" applyFont="1" applyFill="1" applyAlignment="1" applyProtection="1">
      <alignment horizontal="center" vertical="center"/>
    </xf>
    <xf numFmtId="0" fontId="22" fillId="0" borderId="0" xfId="1" applyFont="1" applyFill="1" applyBorder="1" applyAlignment="1" applyProtection="1">
      <alignment vertical="center"/>
    </xf>
    <xf numFmtId="0" fontId="22" fillId="0" borderId="0" xfId="1" applyFont="1" applyFill="1" applyBorder="1" applyAlignment="1" applyProtection="1">
      <alignment horizontal="left"/>
    </xf>
    <xf numFmtId="0" fontId="22" fillId="0" borderId="0" xfId="1" applyFont="1" applyFill="1" applyBorder="1" applyAlignment="1" applyProtection="1">
      <alignment horizontal="left" vertical="center"/>
    </xf>
    <xf numFmtId="1" fontId="22" fillId="0" borderId="0" xfId="1" applyNumberFormat="1" applyFont="1" applyFill="1" applyBorder="1" applyAlignment="1" applyProtection="1">
      <alignment horizontal="left"/>
    </xf>
    <xf numFmtId="9" fontId="22" fillId="0" borderId="0" xfId="1" applyNumberFormat="1" applyFont="1" applyFill="1" applyBorder="1" applyAlignment="1" applyProtection="1">
      <alignment horizontal="left" vertical="center"/>
    </xf>
    <xf numFmtId="9" fontId="22" fillId="0" borderId="0" xfId="1" applyNumberFormat="1" applyFont="1" applyFill="1" applyBorder="1" applyAlignment="1" applyProtection="1">
      <alignment horizontal="left"/>
    </xf>
    <xf numFmtId="9" fontId="22" fillId="0" borderId="0" xfId="1" applyNumberFormat="1" applyFont="1" applyFill="1" applyBorder="1" applyAlignment="1" applyProtection="1">
      <alignment horizontal="center"/>
    </xf>
    <xf numFmtId="1" fontId="22" fillId="0" borderId="0" xfId="1" applyNumberFormat="1" applyFont="1" applyFill="1" applyBorder="1" applyAlignment="1" applyProtection="1">
      <alignment horizontal="center"/>
    </xf>
    <xf numFmtId="0" fontId="22" fillId="0" borderId="0" xfId="1" applyFont="1" applyFill="1" applyBorder="1" applyAlignment="1" applyProtection="1"/>
    <xf numFmtId="9" fontId="22" fillId="0" borderId="0" xfId="1" applyNumberFormat="1" applyFont="1" applyFill="1" applyBorder="1" applyAlignment="1" applyProtection="1">
      <alignment horizontal="center" vertical="center"/>
    </xf>
    <xf numFmtId="0" fontId="22" fillId="0" borderId="0" xfId="1" applyFont="1" applyFill="1" applyBorder="1" applyAlignment="1" applyProtection="1">
      <alignment horizontal="center" vertical="center"/>
    </xf>
    <xf numFmtId="164" fontId="15" fillId="0" borderId="0" xfId="1" applyNumberFormat="1" applyFont="1" applyFill="1"/>
    <xf numFmtId="164" fontId="15" fillId="0" borderId="0" xfId="1" applyNumberFormat="1" applyFont="1" applyFill="1" applyBorder="1" applyAlignment="1">
      <alignment horizontal="left"/>
    </xf>
    <xf numFmtId="164" fontId="36" fillId="0" borderId="0" xfId="1" applyNumberFormat="1" applyFont="1" applyFill="1" applyBorder="1" applyAlignment="1">
      <alignment horizontal="left"/>
    </xf>
    <xf numFmtId="0" fontId="15" fillId="0" borderId="0" xfId="1" applyFont="1" applyFill="1" applyAlignment="1">
      <alignment horizontal="left"/>
    </xf>
    <xf numFmtId="164" fontId="15" fillId="0" borderId="0" xfId="1" applyNumberFormat="1" applyFont="1" applyFill="1" applyAlignment="1">
      <alignment horizontal="left"/>
    </xf>
    <xf numFmtId="164" fontId="15" fillId="0" borderId="0" xfId="1" applyNumberFormat="1" applyFont="1" applyAlignment="1">
      <alignment horizontal="left"/>
    </xf>
    <xf numFmtId="0" fontId="36" fillId="15" borderId="0" xfId="1" applyFont="1" applyFill="1" applyBorder="1" applyAlignment="1">
      <alignment horizontal="left" vertical="center"/>
    </xf>
    <xf numFmtId="0" fontId="36" fillId="16" borderId="0" xfId="1" applyFont="1" applyFill="1" applyBorder="1" applyAlignment="1">
      <alignment horizontal="left" vertical="center"/>
    </xf>
    <xf numFmtId="0" fontId="36" fillId="0" borderId="0" xfId="1" applyFont="1" applyFill="1" applyBorder="1" applyAlignment="1">
      <alignment horizontal="left" vertical="center"/>
    </xf>
    <xf numFmtId="0" fontId="36" fillId="17" borderId="0" xfId="1" applyFont="1" applyFill="1" applyBorder="1" applyAlignment="1">
      <alignment horizontal="left" vertical="center"/>
    </xf>
    <xf numFmtId="164" fontId="15" fillId="0" borderId="0" xfId="1" applyNumberFormat="1" applyFont="1" applyFill="1" applyBorder="1" applyAlignment="1">
      <alignment horizontal="left" vertical="center"/>
    </xf>
    <xf numFmtId="164" fontId="36" fillId="0" borderId="0" xfId="1" applyNumberFormat="1" applyFont="1" applyFill="1" applyBorder="1" applyAlignment="1">
      <alignment horizontal="left" vertical="center"/>
    </xf>
    <xf numFmtId="0" fontId="53" fillId="0" borderId="0" xfId="1" applyFont="1" applyBorder="1" applyAlignment="1">
      <alignment horizontal="center" vertical="center" textRotation="90"/>
    </xf>
    <xf numFmtId="9" fontId="22" fillId="0" borderId="0" xfId="1" applyNumberFormat="1" applyFont="1" applyFill="1" applyBorder="1" applyAlignment="1" applyProtection="1">
      <alignment vertical="center"/>
    </xf>
    <xf numFmtId="0" fontId="22" fillId="0" borderId="0" xfId="1" applyFont="1" applyFill="1" applyBorder="1" applyProtection="1"/>
    <xf numFmtId="9" fontId="22" fillId="0" borderId="0" xfId="4" applyFont="1" applyFill="1" applyBorder="1" applyAlignment="1" applyProtection="1">
      <alignment vertical="center" textRotation="90"/>
    </xf>
    <xf numFmtId="1" fontId="22" fillId="0" borderId="0" xfId="1" applyNumberFormat="1" applyFont="1" applyFill="1" applyBorder="1" applyAlignment="1" applyProtection="1">
      <alignment vertical="center"/>
    </xf>
    <xf numFmtId="0" fontId="35" fillId="0" borderId="0" xfId="1" applyFont="1" applyBorder="1" applyAlignment="1">
      <alignment horizontal="center"/>
    </xf>
    <xf numFmtId="0" fontId="53" fillId="0" borderId="0" xfId="1" applyFont="1" applyBorder="1" applyAlignment="1">
      <alignment horizontal="left" vertical="top"/>
    </xf>
    <xf numFmtId="0" fontId="24" fillId="0" borderId="0" xfId="1" applyFont="1"/>
    <xf numFmtId="164" fontId="24" fillId="0" borderId="0" xfId="1" applyNumberFormat="1" applyFont="1" applyAlignment="1">
      <alignment horizontal="center" vertical="center"/>
    </xf>
    <xf numFmtId="0" fontId="54" fillId="13" borderId="47" xfId="1" applyFont="1" applyFill="1" applyBorder="1" applyAlignment="1" applyProtection="1">
      <alignment horizontal="center"/>
      <protection locked="0"/>
    </xf>
    <xf numFmtId="0" fontId="58" fillId="0" borderId="0" xfId="1" applyFont="1"/>
    <xf numFmtId="0" fontId="18" fillId="0" borderId="0" xfId="0" applyNumberFormat="1" applyFont="1" applyFill="1" applyBorder="1" applyAlignment="1" applyProtection="1">
      <alignment vertical="center"/>
      <protection locked="0"/>
    </xf>
    <xf numFmtId="0" fontId="0" fillId="0" borderId="0" xfId="0" applyFill="1"/>
    <xf numFmtId="0" fontId="24" fillId="0" borderId="0" xfId="0" applyFont="1" applyFill="1" applyAlignment="1">
      <alignment horizontal="center" vertical="center"/>
    </xf>
    <xf numFmtId="0" fontId="19" fillId="0" borderId="0" xfId="0" applyFont="1" applyFill="1" applyBorder="1" applyAlignment="1">
      <alignment horizontal="center" textRotation="90"/>
    </xf>
    <xf numFmtId="0" fontId="19" fillId="0" borderId="0" xfId="0" applyFont="1" applyFill="1" applyBorder="1" applyAlignment="1" applyProtection="1">
      <alignment horizontal="center" vertical="center"/>
      <protection locked="0"/>
    </xf>
    <xf numFmtId="164" fontId="22" fillId="0" borderId="0" xfId="1" applyNumberFormat="1" applyFont="1" applyAlignment="1">
      <alignment horizontal="center" vertical="center"/>
    </xf>
    <xf numFmtId="0" fontId="22" fillId="0" borderId="0" xfId="1" applyFont="1"/>
    <xf numFmtId="0" fontId="61" fillId="0" borderId="18" xfId="1" applyFont="1" applyBorder="1" applyAlignment="1" applyProtection="1">
      <alignment horizontal="center"/>
    </xf>
    <xf numFmtId="0" fontId="61" fillId="0" borderId="17" xfId="1" applyFont="1" applyFill="1" applyBorder="1" applyAlignment="1" applyProtection="1"/>
    <xf numFmtId="0" fontId="61" fillId="0" borderId="0" xfId="1" applyFont="1" applyBorder="1" applyAlignment="1" applyProtection="1">
      <alignment vertical="center"/>
    </xf>
    <xf numFmtId="0" fontId="18" fillId="0" borderId="0" xfId="0" applyFont="1" applyFill="1" applyBorder="1" applyAlignment="1" applyProtection="1">
      <alignment horizontal="center"/>
    </xf>
    <xf numFmtId="164" fontId="7" fillId="0" borderId="3" xfId="1" applyNumberFormat="1" applyFont="1" applyFill="1" applyBorder="1" applyAlignment="1" applyProtection="1">
      <alignment horizontal="center" vertical="center"/>
      <protection locked="0"/>
    </xf>
    <xf numFmtId="164" fontId="7" fillId="0" borderId="4" xfId="1" applyNumberFormat="1" applyFill="1" applyBorder="1" applyAlignment="1" applyProtection="1">
      <alignment horizontal="center" vertical="center"/>
      <protection locked="0"/>
    </xf>
    <xf numFmtId="0" fontId="7" fillId="22" borderId="24" xfId="0" applyFont="1" applyFill="1" applyBorder="1" applyAlignment="1">
      <alignment horizontal="center" vertical="center"/>
    </xf>
    <xf numFmtId="0" fontId="0" fillId="2" borderId="3" xfId="0" applyFill="1" applyBorder="1" applyAlignment="1" applyProtection="1">
      <alignment horizontal="center" vertical="center"/>
      <protection locked="0"/>
    </xf>
    <xf numFmtId="0" fontId="0" fillId="2" borderId="24" xfId="0" applyFill="1" applyBorder="1" applyAlignment="1" applyProtection="1">
      <alignment horizontal="center" vertical="center"/>
      <protection locked="0"/>
    </xf>
    <xf numFmtId="0" fontId="0" fillId="2" borderId="6" xfId="0" applyFill="1" applyBorder="1" applyAlignment="1" applyProtection="1">
      <alignment horizontal="center" vertical="center"/>
      <protection locked="0"/>
    </xf>
    <xf numFmtId="0" fontId="7" fillId="0" borderId="0" xfId="0" applyFont="1" applyFill="1" applyBorder="1" applyAlignment="1" applyProtection="1">
      <alignment horizontal="center"/>
    </xf>
    <xf numFmtId="0" fontId="0" fillId="2" borderId="4"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17" fillId="0" borderId="0" xfId="1" applyFont="1" applyAlignment="1">
      <alignment vertical="center"/>
    </xf>
    <xf numFmtId="0" fontId="49" fillId="0" borderId="0" xfId="1" applyFont="1" applyAlignment="1">
      <alignment vertical="center"/>
    </xf>
    <xf numFmtId="0" fontId="17" fillId="0" borderId="0" xfId="1" applyFont="1" applyAlignment="1">
      <alignment horizontal="center" vertical="center"/>
    </xf>
    <xf numFmtId="0" fontId="17" fillId="0" borderId="0" xfId="1" applyFont="1" applyAlignment="1">
      <alignment horizontal="left" vertical="center"/>
    </xf>
    <xf numFmtId="0" fontId="12" fillId="0" borderId="44" xfId="1" applyFont="1" applyBorder="1" applyAlignment="1">
      <alignment vertical="center"/>
    </xf>
    <xf numFmtId="0" fontId="12" fillId="0" borderId="14" xfId="1" applyFont="1" applyBorder="1" applyAlignment="1">
      <alignment horizontal="center" vertical="center"/>
    </xf>
    <xf numFmtId="0" fontId="12" fillId="0" borderId="44" xfId="1" applyFont="1" applyBorder="1" applyAlignment="1">
      <alignment horizontal="center" vertical="center"/>
    </xf>
    <xf numFmtId="0" fontId="12" fillId="0" borderId="14" xfId="1" applyFont="1" applyBorder="1" applyAlignment="1">
      <alignment vertical="center"/>
    </xf>
    <xf numFmtId="0" fontId="12" fillId="0" borderId="5" xfId="1" applyFont="1" applyBorder="1" applyAlignment="1">
      <alignment vertical="center"/>
    </xf>
    <xf numFmtId="0" fontId="12" fillId="0" borderId="0" xfId="1" applyFont="1" applyAlignment="1">
      <alignment vertical="center"/>
    </xf>
    <xf numFmtId="0" fontId="15" fillId="14" borderId="8" xfId="1" applyFont="1" applyFill="1" applyBorder="1" applyAlignment="1" applyProtection="1">
      <alignment horizontal="center" vertical="center"/>
      <protection locked="0"/>
    </xf>
    <xf numFmtId="0" fontId="17" fillId="0" borderId="14" xfId="1" applyFont="1" applyBorder="1" applyAlignment="1">
      <alignment horizontal="left" vertical="center"/>
    </xf>
    <xf numFmtId="0" fontId="65" fillId="0" borderId="0" xfId="1" applyFont="1" applyAlignment="1">
      <alignment vertical="center"/>
    </xf>
    <xf numFmtId="0" fontId="17" fillId="0" borderId="45" xfId="1" applyFont="1" applyBorder="1" applyAlignment="1">
      <alignment vertical="center"/>
    </xf>
    <xf numFmtId="0" fontId="17" fillId="0" borderId="45" xfId="1" applyFont="1" applyBorder="1" applyAlignment="1">
      <alignment horizontal="center" vertical="center"/>
    </xf>
    <xf numFmtId="0" fontId="17" fillId="0" borderId="12" xfId="1" applyFont="1" applyBorder="1" applyAlignment="1">
      <alignment vertical="center"/>
    </xf>
    <xf numFmtId="0" fontId="17" fillId="5" borderId="19" xfId="1" applyFont="1" applyFill="1" applyBorder="1" applyAlignment="1" applyProtection="1">
      <alignment horizontal="center" vertical="center"/>
      <protection locked="0"/>
    </xf>
    <xf numFmtId="0" fontId="66" fillId="0" borderId="15" xfId="1" applyFont="1" applyBorder="1" applyAlignment="1">
      <alignment horizontal="left" vertical="center"/>
    </xf>
    <xf numFmtId="0" fontId="17" fillId="0" borderId="13" xfId="1" applyFont="1" applyBorder="1" applyAlignment="1">
      <alignment vertical="center"/>
    </xf>
    <xf numFmtId="0" fontId="65" fillId="0" borderId="0" xfId="1" applyFont="1" applyAlignment="1">
      <alignment horizontal="center" vertical="center"/>
    </xf>
    <xf numFmtId="0" fontId="49" fillId="0" borderId="0" xfId="1" applyFont="1" applyAlignment="1">
      <alignment horizontal="center" vertical="center"/>
    </xf>
    <xf numFmtId="0" fontId="17" fillId="0" borderId="45" xfId="1" applyFont="1" applyBorder="1" applyAlignment="1">
      <alignment horizontal="left" vertical="center"/>
    </xf>
    <xf numFmtId="0" fontId="17" fillId="0" borderId="12" xfId="1" applyFont="1" applyBorder="1" applyAlignment="1">
      <alignment horizontal="center" vertical="center"/>
    </xf>
    <xf numFmtId="0" fontId="65" fillId="0" borderId="0" xfId="1" applyFont="1" applyAlignment="1" applyProtection="1">
      <alignment horizontal="center" vertical="center"/>
      <protection locked="0"/>
    </xf>
    <xf numFmtId="0" fontId="17" fillId="0" borderId="46" xfId="1" applyFont="1" applyBorder="1" applyAlignment="1">
      <alignment horizontal="left" vertical="center"/>
    </xf>
    <xf numFmtId="0" fontId="17" fillId="0" borderId="15" xfId="1" applyFont="1" applyBorder="1" applyAlignment="1">
      <alignment vertical="center"/>
    </xf>
    <xf numFmtId="0" fontId="17" fillId="0" borderId="15" xfId="1" applyFont="1" applyBorder="1" applyAlignment="1">
      <alignment horizontal="center" vertical="center"/>
    </xf>
    <xf numFmtId="0" fontId="17" fillId="0" borderId="15" xfId="1" applyFont="1" applyBorder="1" applyAlignment="1">
      <alignment horizontal="left" vertical="center"/>
    </xf>
    <xf numFmtId="0" fontId="17" fillId="0" borderId="13" xfId="1" applyFont="1" applyBorder="1" applyAlignment="1">
      <alignment horizontal="center" vertical="center"/>
    </xf>
    <xf numFmtId="0" fontId="17" fillId="0" borderId="52" xfId="1" applyFont="1" applyBorder="1" applyAlignment="1">
      <alignment vertical="center"/>
    </xf>
    <xf numFmtId="0" fontId="17" fillId="20" borderId="55" xfId="1" applyFont="1" applyFill="1" applyBorder="1" applyAlignment="1">
      <alignment horizontal="center" vertical="center"/>
    </xf>
    <xf numFmtId="0" fontId="17" fillId="20" borderId="56" xfId="1" applyFont="1" applyFill="1" applyBorder="1" applyAlignment="1">
      <alignment horizontal="center" vertical="center"/>
    </xf>
    <xf numFmtId="0" fontId="17" fillId="20" borderId="57" xfId="1" applyFont="1" applyFill="1" applyBorder="1" applyAlignment="1">
      <alignment horizontal="center" vertical="center"/>
    </xf>
    <xf numFmtId="0" fontId="17" fillId="0" borderId="3" xfId="1" applyFont="1" applyBorder="1" applyAlignment="1">
      <alignment horizontal="center" vertical="center"/>
    </xf>
    <xf numFmtId="164" fontId="67" fillId="6" borderId="6" xfId="1" applyNumberFormat="1" applyFont="1" applyFill="1" applyBorder="1" applyAlignment="1" applyProtection="1">
      <alignment horizontal="left" vertical="center" wrapText="1"/>
      <protection locked="0"/>
    </xf>
    <xf numFmtId="0" fontId="65" fillId="0" borderId="45" xfId="1" applyFont="1" applyBorder="1" applyAlignment="1">
      <alignment horizontal="center" vertical="center"/>
    </xf>
    <xf numFmtId="0" fontId="17" fillId="23" borderId="1" xfId="1" applyFont="1" applyFill="1" applyBorder="1" applyAlignment="1">
      <alignment vertical="center"/>
    </xf>
    <xf numFmtId="0" fontId="17" fillId="23" borderId="36" xfId="1" applyFont="1" applyFill="1" applyBorder="1" applyAlignment="1">
      <alignment horizontal="center" vertical="center"/>
    </xf>
    <xf numFmtId="0" fontId="17" fillId="23" borderId="20" xfId="1" applyFont="1" applyFill="1" applyBorder="1" applyAlignment="1">
      <alignment vertical="center"/>
    </xf>
    <xf numFmtId="0" fontId="17" fillId="20" borderId="44" xfId="1" applyFont="1" applyFill="1" applyBorder="1" applyAlignment="1">
      <alignment vertical="center"/>
    </xf>
    <xf numFmtId="0" fontId="17" fillId="20" borderId="14" xfId="1" applyFont="1" applyFill="1" applyBorder="1" applyAlignment="1">
      <alignment vertical="center"/>
    </xf>
    <xf numFmtId="0" fontId="17" fillId="20" borderId="60" xfId="1" applyFont="1" applyFill="1" applyBorder="1" applyAlignment="1">
      <alignment horizontal="center" vertical="center"/>
    </xf>
    <xf numFmtId="0" fontId="66" fillId="0" borderId="4" xfId="1" applyFont="1" applyBorder="1" applyAlignment="1">
      <alignment horizontal="left" vertical="center"/>
    </xf>
    <xf numFmtId="0" fontId="17" fillId="0" borderId="40" xfId="1" applyFont="1" applyBorder="1" applyAlignment="1">
      <alignment horizontal="left" vertical="center"/>
    </xf>
    <xf numFmtId="0" fontId="66" fillId="0" borderId="40" xfId="1" applyFont="1" applyBorder="1" applyAlignment="1">
      <alignment horizontal="left" vertical="center"/>
    </xf>
    <xf numFmtId="164" fontId="17" fillId="0" borderId="57" xfId="1" applyNumberFormat="1" applyFont="1" applyBorder="1" applyAlignment="1">
      <alignment horizontal="center" vertical="center"/>
    </xf>
    <xf numFmtId="0" fontId="17" fillId="23" borderId="36" xfId="1" applyFont="1" applyFill="1" applyBorder="1" applyAlignment="1">
      <alignment vertical="center"/>
    </xf>
    <xf numFmtId="0" fontId="17" fillId="5" borderId="24" xfId="1" applyFont="1" applyFill="1" applyBorder="1" applyAlignment="1" applyProtection="1">
      <alignment horizontal="left" vertical="center"/>
      <protection locked="0"/>
    </xf>
    <xf numFmtId="164" fontId="17" fillId="0" borderId="64" xfId="1" applyNumberFormat="1" applyFont="1" applyBorder="1" applyAlignment="1">
      <alignment horizontal="center" vertical="center"/>
    </xf>
    <xf numFmtId="0" fontId="17" fillId="5" borderId="3" xfId="1" applyFont="1" applyFill="1" applyBorder="1" applyAlignment="1" applyProtection="1">
      <alignment horizontal="left" vertical="center"/>
      <protection locked="0"/>
    </xf>
    <xf numFmtId="0" fontId="17" fillId="0" borderId="65" xfId="1" applyFont="1" applyBorder="1" applyAlignment="1">
      <alignment horizontal="center" vertical="center"/>
    </xf>
    <xf numFmtId="0" fontId="66" fillId="0" borderId="1" xfId="1" applyFont="1" applyBorder="1" applyAlignment="1">
      <alignment horizontal="left" vertical="center"/>
    </xf>
    <xf numFmtId="0" fontId="66" fillId="0" borderId="36" xfId="1" applyFont="1" applyBorder="1" applyAlignment="1">
      <alignment horizontal="left" vertical="center"/>
    </xf>
    <xf numFmtId="0" fontId="66" fillId="27" borderId="20" xfId="1" applyFont="1" applyFill="1" applyBorder="1" applyAlignment="1">
      <alignment horizontal="center" vertical="center"/>
    </xf>
    <xf numFmtId="0" fontId="48" fillId="0" borderId="12" xfId="1" applyFont="1" applyBorder="1" applyAlignment="1">
      <alignment horizontal="center" vertical="center"/>
    </xf>
    <xf numFmtId="0" fontId="17" fillId="0" borderId="4" xfId="1" applyFont="1" applyBorder="1" applyAlignment="1">
      <alignment horizontal="center" vertical="center"/>
    </xf>
    <xf numFmtId="0" fontId="17" fillId="0" borderId="15" xfId="1" applyFont="1" applyBorder="1" applyAlignment="1" applyProtection="1">
      <alignment horizontal="center" vertical="center"/>
      <protection locked="0"/>
    </xf>
    <xf numFmtId="2" fontId="66" fillId="14" borderId="7" xfId="1" applyNumberFormat="1" applyFont="1" applyFill="1" applyBorder="1" applyAlignment="1">
      <alignment horizontal="center" vertical="center"/>
    </xf>
    <xf numFmtId="165" fontId="0" fillId="6" borderId="24" xfId="0" applyNumberFormat="1" applyFill="1" applyBorder="1" applyAlignment="1">
      <alignment horizontal="center" vertical="center"/>
    </xf>
    <xf numFmtId="0" fontId="25" fillId="0" borderId="0" xfId="1" applyFont="1" applyAlignment="1">
      <alignment vertical="top"/>
    </xf>
    <xf numFmtId="0" fontId="7" fillId="0" borderId="0" xfId="1" applyAlignment="1">
      <alignment vertical="top" wrapText="1"/>
    </xf>
    <xf numFmtId="14" fontId="71" fillId="0" borderId="0" xfId="1" applyNumberFormat="1" applyFont="1" applyAlignment="1" applyProtection="1">
      <alignment horizontal="right" vertical="top" wrapText="1"/>
      <protection locked="0"/>
    </xf>
    <xf numFmtId="14" fontId="71" fillId="0" borderId="0" xfId="1" applyNumberFormat="1" applyFont="1" applyAlignment="1" applyProtection="1">
      <alignment horizontal="left" vertical="top" wrapText="1"/>
      <protection locked="0"/>
    </xf>
    <xf numFmtId="0" fontId="66" fillId="0" borderId="0" xfId="1" applyFont="1" applyAlignment="1">
      <alignment vertical="top" wrapText="1"/>
    </xf>
    <xf numFmtId="0" fontId="72" fillId="0" borderId="0" xfId="1" applyFont="1" applyAlignment="1">
      <alignment vertical="center" wrapText="1"/>
    </xf>
    <xf numFmtId="0" fontId="15" fillId="0" borderId="0" xfId="1" applyFont="1" applyAlignment="1">
      <alignment vertical="top" wrapText="1"/>
    </xf>
    <xf numFmtId="0" fontId="72" fillId="0" borderId="0" xfId="1" applyFont="1" applyAlignment="1">
      <alignment vertical="top" wrapText="1"/>
    </xf>
    <xf numFmtId="0" fontId="74" fillId="0" borderId="0" xfId="1" applyFont="1" applyAlignment="1">
      <alignment vertical="top" wrapText="1"/>
    </xf>
    <xf numFmtId="0" fontId="76" fillId="0" borderId="0" xfId="1" applyFont="1" applyAlignment="1">
      <alignment vertical="top" wrapText="1"/>
    </xf>
    <xf numFmtId="0" fontId="65" fillId="0" borderId="46" xfId="1" applyFont="1" applyBorder="1" applyAlignment="1">
      <alignment horizontal="center" vertical="center"/>
    </xf>
    <xf numFmtId="0" fontId="7" fillId="4" borderId="32" xfId="0" applyFont="1" applyFill="1" applyBorder="1" applyAlignment="1" applyProtection="1">
      <alignment horizontal="center" vertical="center"/>
      <protection locked="0"/>
    </xf>
    <xf numFmtId="0" fontId="7" fillId="5" borderId="25" xfId="0" applyFont="1" applyFill="1" applyBorder="1" applyAlignment="1" applyProtection="1">
      <alignment horizontal="center" vertical="center"/>
      <protection locked="0"/>
    </xf>
    <xf numFmtId="164" fontId="7" fillId="4" borderId="24" xfId="0" applyNumberFormat="1" applyFont="1" applyFill="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2" borderId="24" xfId="0" applyFont="1" applyFill="1" applyBorder="1" applyAlignment="1" applyProtection="1">
      <alignment horizontal="left" vertical="center" wrapText="1"/>
      <protection locked="0"/>
    </xf>
    <xf numFmtId="0" fontId="7" fillId="2" borderId="24" xfId="0" applyFont="1" applyFill="1" applyBorder="1" applyAlignment="1" applyProtection="1">
      <alignment horizontal="left" vertical="center"/>
      <protection locked="0"/>
    </xf>
    <xf numFmtId="164" fontId="7" fillId="5" borderId="25" xfId="1" applyNumberFormat="1" applyFont="1" applyFill="1" applyBorder="1" applyAlignment="1" applyProtection="1">
      <alignment horizontal="center" vertical="center"/>
      <protection locked="0"/>
    </xf>
    <xf numFmtId="0" fontId="7" fillId="2" borderId="24" xfId="0" applyFont="1" applyFill="1" applyBorder="1" applyAlignment="1" applyProtection="1">
      <alignment horizontal="center" vertical="center"/>
      <protection locked="0"/>
    </xf>
    <xf numFmtId="0" fontId="7" fillId="2" borderId="3"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164" fontId="67" fillId="6" borderId="7" xfId="1" applyNumberFormat="1" applyFont="1" applyFill="1" applyBorder="1" applyAlignment="1" applyProtection="1">
      <alignment horizontal="left" vertical="center" wrapText="1"/>
      <protection locked="0"/>
    </xf>
    <xf numFmtId="0" fontId="18" fillId="21" borderId="10" xfId="0" applyFont="1" applyFill="1" applyBorder="1" applyAlignment="1" applyProtection="1">
      <alignment horizontal="center" vertical="center"/>
      <protection locked="0"/>
    </xf>
    <xf numFmtId="0" fontId="18" fillId="22" borderId="26" xfId="0" applyFont="1" applyFill="1" applyBorder="1" applyAlignment="1" applyProtection="1">
      <alignment horizontal="center" vertical="center"/>
      <protection locked="0"/>
    </xf>
    <xf numFmtId="164" fontId="21" fillId="21" borderId="24" xfId="0" applyNumberFormat="1" applyFont="1" applyFill="1" applyBorder="1" applyAlignment="1" applyProtection="1">
      <alignment vertical="center" wrapText="1"/>
      <protection locked="0"/>
    </xf>
    <xf numFmtId="0" fontId="0" fillId="21" borderId="24" xfId="0" applyFill="1" applyBorder="1" applyAlignment="1" applyProtection="1">
      <alignment horizontal="center"/>
      <protection locked="0"/>
    </xf>
    <xf numFmtId="0" fontId="7" fillId="21" borderId="69" xfId="1" applyFill="1" applyBorder="1"/>
    <xf numFmtId="0" fontId="7" fillId="21" borderId="70" xfId="1" applyFill="1" applyBorder="1"/>
    <xf numFmtId="0" fontId="7" fillId="21" borderId="62" xfId="1" applyFill="1" applyBorder="1"/>
    <xf numFmtId="0" fontId="7" fillId="21" borderId="27" xfId="1" applyFill="1" applyBorder="1"/>
    <xf numFmtId="0" fontId="7" fillId="21" borderId="71" xfId="1" applyFill="1" applyBorder="1"/>
    <xf numFmtId="0" fontId="7" fillId="21" borderId="72" xfId="1" applyFill="1" applyBorder="1"/>
    <xf numFmtId="0" fontId="9" fillId="0" borderId="0" xfId="1" applyFont="1" applyBorder="1" applyAlignment="1" applyProtection="1">
      <alignment horizontal="center"/>
    </xf>
    <xf numFmtId="0" fontId="7" fillId="0" borderId="0" xfId="1" applyFill="1" applyBorder="1" applyAlignment="1" applyProtection="1">
      <alignment horizontal="center"/>
    </xf>
    <xf numFmtId="0" fontId="9" fillId="0" borderId="0" xfId="1" applyFont="1" applyBorder="1" applyAlignment="1" applyProtection="1">
      <alignment horizontal="center" textRotation="90"/>
    </xf>
    <xf numFmtId="0" fontId="78" fillId="0" borderId="0" xfId="1" applyNumberFormat="1" applyFont="1" applyBorder="1" applyAlignment="1" applyProtection="1">
      <alignment horizontal="center"/>
    </xf>
    <xf numFmtId="9" fontId="38" fillId="0" borderId="0" xfId="1" applyNumberFormat="1" applyFont="1" applyFill="1" applyBorder="1" applyProtection="1"/>
    <xf numFmtId="9" fontId="7" fillId="0" borderId="0" xfId="1" applyNumberFormat="1" applyFill="1" applyBorder="1" applyProtection="1"/>
    <xf numFmtId="0" fontId="79" fillId="0" borderId="0" xfId="1" applyFont="1" applyFill="1" applyBorder="1" applyAlignment="1" applyProtection="1">
      <alignment horizontal="center"/>
    </xf>
    <xf numFmtId="0" fontId="7" fillId="0" borderId="19" xfId="1" applyFont="1" applyFill="1" applyBorder="1" applyAlignment="1" applyProtection="1">
      <alignment horizontal="left" vertical="center"/>
    </xf>
    <xf numFmtId="0" fontId="7" fillId="0" borderId="0" xfId="1" applyFont="1" applyFill="1" applyBorder="1" applyAlignment="1" applyProtection="1">
      <alignment horizontal="left"/>
      <protection locked="0"/>
    </xf>
    <xf numFmtId="0" fontId="7" fillId="0" borderId="0" xfId="1" applyFill="1" applyBorder="1" applyAlignment="1" applyProtection="1">
      <alignment vertical="top" readingOrder="1"/>
    </xf>
    <xf numFmtId="0" fontId="7" fillId="19" borderId="0" xfId="1" applyFill="1" applyBorder="1" applyProtection="1"/>
    <xf numFmtId="0" fontId="7" fillId="19" borderId="0" xfId="1" applyFill="1" applyBorder="1" applyAlignment="1"/>
    <xf numFmtId="0" fontId="7" fillId="19" borderId="0" xfId="1" applyFill="1" applyBorder="1" applyAlignment="1" applyProtection="1">
      <alignment horizontal="center" vertical="center"/>
      <protection locked="0"/>
    </xf>
    <xf numFmtId="0" fontId="38" fillId="0" borderId="0" xfId="1" applyFont="1" applyFill="1" applyBorder="1" applyAlignment="1" applyProtection="1">
      <alignment vertical="center"/>
      <protection locked="0"/>
    </xf>
    <xf numFmtId="0" fontId="38" fillId="0" borderId="0" xfId="1" applyFont="1" applyFill="1" applyBorder="1" applyAlignment="1" applyProtection="1">
      <alignment horizontal="center" vertical="center"/>
      <protection locked="0"/>
    </xf>
    <xf numFmtId="9" fontId="38" fillId="0" borderId="0" xfId="1" applyNumberFormat="1" applyFont="1" applyFill="1" applyBorder="1" applyAlignment="1" applyProtection="1">
      <alignment horizontal="center" vertical="center"/>
      <protection locked="0"/>
    </xf>
    <xf numFmtId="0" fontId="38" fillId="0" borderId="0" xfId="1" applyFont="1" applyAlignment="1" applyProtection="1">
      <alignment horizontal="center"/>
    </xf>
    <xf numFmtId="9" fontId="38" fillId="0" borderId="0" xfId="1" applyNumberFormat="1" applyFont="1" applyAlignment="1" applyProtection="1">
      <alignment horizontal="center"/>
    </xf>
    <xf numFmtId="10" fontId="38" fillId="0" borderId="0" xfId="1" applyNumberFormat="1" applyFont="1" applyAlignment="1" applyProtection="1">
      <alignment horizontal="center"/>
    </xf>
    <xf numFmtId="0" fontId="7" fillId="0" borderId="0" xfId="1" applyFont="1" applyFill="1" applyBorder="1" applyAlignment="1" applyProtection="1">
      <alignment horizontal="center" vertical="center"/>
      <protection locked="0"/>
    </xf>
    <xf numFmtId="0" fontId="7" fillId="0" borderId="0" xfId="1" applyBorder="1" applyProtection="1"/>
    <xf numFmtId="0" fontId="80" fillId="0" borderId="0" xfId="1" applyFont="1" applyFill="1" applyBorder="1" applyAlignment="1" applyProtection="1">
      <alignment horizontal="left"/>
    </xf>
    <xf numFmtId="0" fontId="80" fillId="0" borderId="0" xfId="1" applyFont="1" applyFill="1" applyAlignment="1" applyProtection="1">
      <alignment horizontal="center" vertical="center"/>
    </xf>
    <xf numFmtId="0" fontId="17" fillId="0" borderId="0" xfId="1" applyFont="1"/>
    <xf numFmtId="0" fontId="7" fillId="0" borderId="0" xfId="1" applyBorder="1" applyAlignment="1">
      <alignment horizontal="center" vertical="center"/>
    </xf>
    <xf numFmtId="0" fontId="7" fillId="2" borderId="6" xfId="1" applyNumberFormat="1" applyFont="1" applyFill="1" applyBorder="1" applyAlignment="1" applyProtection="1">
      <alignment horizontal="center" vertical="center"/>
    </xf>
    <xf numFmtId="0" fontId="7" fillId="2" borderId="24" xfId="1" applyNumberFormat="1" applyFont="1" applyFill="1" applyBorder="1" applyAlignment="1" applyProtection="1">
      <alignment horizontal="center" vertical="center"/>
    </xf>
    <xf numFmtId="0" fontId="7" fillId="19" borderId="32" xfId="1" applyFont="1" applyFill="1" applyBorder="1" applyAlignment="1" applyProtection="1">
      <alignment horizontal="center" vertical="center"/>
      <protection locked="0"/>
    </xf>
    <xf numFmtId="0" fontId="7" fillId="2" borderId="3" xfId="1" applyNumberFormat="1" applyFont="1" applyFill="1" applyBorder="1" applyAlignment="1" applyProtection="1">
      <alignment horizontal="center" vertical="center"/>
      <protection locked="0"/>
    </xf>
    <xf numFmtId="0" fontId="7" fillId="2" borderId="6" xfId="1" applyNumberFormat="1" applyFont="1" applyFill="1" applyBorder="1" applyAlignment="1" applyProtection="1">
      <alignment horizontal="center" vertical="center"/>
      <protection locked="0"/>
    </xf>
    <xf numFmtId="0" fontId="7" fillId="2" borderId="25"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horizontal="center" vertical="center"/>
    </xf>
    <xf numFmtId="0" fontId="7" fillId="2" borderId="24" xfId="1" applyNumberFormat="1" applyFont="1" applyFill="1" applyBorder="1" applyAlignment="1" applyProtection="1">
      <alignment horizontal="center" vertical="center"/>
      <protection locked="0"/>
    </xf>
    <xf numFmtId="0" fontId="7" fillId="28" borderId="24" xfId="7" applyFont="1" applyFill="1" applyBorder="1" applyAlignment="1">
      <alignment vertical="center"/>
    </xf>
    <xf numFmtId="0" fontId="7" fillId="28" borderId="24" xfId="7" applyFont="1" applyFill="1" applyBorder="1" applyAlignment="1">
      <alignment horizontal="center"/>
    </xf>
    <xf numFmtId="0" fontId="7" fillId="28" borderId="24" xfId="7" applyFont="1" applyFill="1" applyBorder="1" applyAlignment="1">
      <alignment horizontal="center" vertical="center"/>
    </xf>
    <xf numFmtId="0" fontId="7" fillId="19" borderId="24" xfId="7" applyFont="1" applyFill="1" applyBorder="1" applyAlignment="1"/>
    <xf numFmtId="0" fontId="7" fillId="0" borderId="24" xfId="1" applyFont="1" applyBorder="1"/>
    <xf numFmtId="0" fontId="7" fillId="0" borderId="24" xfId="7" applyFont="1" applyBorder="1" applyAlignment="1"/>
    <xf numFmtId="0" fontId="7" fillId="20" borderId="24" xfId="7" applyFont="1" applyFill="1" applyBorder="1" applyAlignment="1"/>
    <xf numFmtId="0" fontId="7" fillId="2" borderId="3" xfId="1" applyNumberFormat="1" applyFill="1" applyBorder="1" applyAlignment="1" applyProtection="1">
      <alignment horizontal="center" vertical="center"/>
      <protection locked="0"/>
    </xf>
    <xf numFmtId="0" fontId="7" fillId="2" borderId="6" xfId="1" applyNumberFormat="1" applyFill="1" applyBorder="1" applyAlignment="1" applyProtection="1">
      <alignment horizontal="center" vertical="center"/>
      <protection locked="0"/>
    </xf>
    <xf numFmtId="0" fontId="7" fillId="2" borderId="7" xfId="1" applyNumberFormat="1" applyFont="1" applyFill="1" applyBorder="1" applyAlignment="1" applyProtection="1">
      <alignment horizontal="center" vertical="center"/>
    </xf>
    <xf numFmtId="0" fontId="7" fillId="2" borderId="19" xfId="1" applyNumberFormat="1" applyFont="1" applyFill="1" applyBorder="1" applyAlignment="1" applyProtection="1">
      <alignment horizontal="center" vertical="center"/>
    </xf>
    <xf numFmtId="0" fontId="7" fillId="19" borderId="41" xfId="1" applyFont="1" applyFill="1" applyBorder="1" applyAlignment="1" applyProtection="1">
      <alignment horizontal="center" vertical="center"/>
      <protection locked="0"/>
    </xf>
    <xf numFmtId="0" fontId="7" fillId="2" borderId="4" xfId="1" applyNumberFormat="1" applyFill="1" applyBorder="1" applyAlignment="1" applyProtection="1">
      <alignment horizontal="center" vertical="center"/>
      <protection locked="0"/>
    </xf>
    <xf numFmtId="0" fontId="7" fillId="2" borderId="7" xfId="1" applyNumberFormat="1" applyFill="1" applyBorder="1" applyAlignment="1" applyProtection="1">
      <alignment horizontal="center" vertical="center"/>
      <protection locked="0"/>
    </xf>
    <xf numFmtId="0" fontId="7" fillId="2" borderId="39" xfId="1" applyNumberFormat="1" applyFont="1" applyFill="1" applyBorder="1" applyAlignment="1" applyProtection="1">
      <alignment horizontal="center" vertical="center"/>
    </xf>
    <xf numFmtId="0" fontId="7" fillId="2" borderId="4" xfId="1" applyNumberFormat="1" applyFont="1" applyFill="1" applyBorder="1" applyAlignment="1" applyProtection="1">
      <alignment horizontal="center" vertical="center"/>
      <protection locked="0"/>
    </xf>
    <xf numFmtId="0" fontId="7" fillId="2" borderId="19" xfId="1" applyNumberFormat="1" applyFont="1" applyFill="1" applyBorder="1" applyAlignment="1" applyProtection="1">
      <alignment horizontal="center" vertical="center"/>
      <protection locked="0"/>
    </xf>
    <xf numFmtId="0" fontId="7" fillId="2" borderId="7" xfId="1" applyNumberFormat="1" applyFont="1" applyFill="1" applyBorder="1" applyAlignment="1" applyProtection="1">
      <alignment horizontal="center" vertical="center"/>
      <protection locked="0"/>
    </xf>
    <xf numFmtId="0" fontId="7" fillId="0" borderId="0" xfId="1" applyAlignment="1">
      <alignment horizontal="center" vertical="center"/>
    </xf>
    <xf numFmtId="0" fontId="22" fillId="0" borderId="0" xfId="1" applyFont="1" applyAlignment="1">
      <alignment horizontal="center" vertical="center"/>
    </xf>
    <xf numFmtId="0" fontId="7" fillId="0" borderId="0" xfId="1" applyNumberFormat="1" applyFont="1" applyFill="1" applyBorder="1" applyAlignment="1" applyProtection="1">
      <alignment horizontal="center" vertical="center"/>
      <protection locked="0"/>
    </xf>
    <xf numFmtId="0" fontId="0" fillId="0" borderId="10" xfId="0" applyBorder="1" applyAlignment="1">
      <alignment horizontal="right" vertical="center"/>
    </xf>
    <xf numFmtId="0" fontId="24" fillId="0" borderId="0" xfId="0" applyFont="1" applyBorder="1" applyAlignment="1">
      <alignment horizontal="right" vertical="center"/>
    </xf>
    <xf numFmtId="0" fontId="24" fillId="0" borderId="0" xfId="0" applyFont="1" applyAlignment="1">
      <alignment horizontal="right" vertical="center"/>
    </xf>
    <xf numFmtId="0" fontId="0" fillId="22" borderId="0" xfId="0" applyFill="1" applyAlignment="1" applyProtection="1">
      <alignment horizontal="center" vertical="center"/>
      <protection locked="0"/>
    </xf>
    <xf numFmtId="0" fontId="24" fillId="0" borderId="0" xfId="0" applyFont="1" applyFill="1" applyAlignment="1">
      <alignment horizontal="right" vertical="center"/>
    </xf>
    <xf numFmtId="0" fontId="22" fillId="0" borderId="0" xfId="0" applyFont="1" applyFill="1" applyAlignment="1">
      <alignment horizontal="center"/>
    </xf>
    <xf numFmtId="0" fontId="24" fillId="22" borderId="0" xfId="0" applyFont="1" applyFill="1" applyAlignment="1">
      <alignment horizontal="center"/>
    </xf>
    <xf numFmtId="0" fontId="60" fillId="22" borderId="0" xfId="0" applyFont="1" applyFill="1" applyAlignment="1">
      <alignment horizontal="center"/>
    </xf>
    <xf numFmtId="0" fontId="0" fillId="0" borderId="24" xfId="0" applyBorder="1" applyAlignment="1">
      <alignment horizontal="right" vertical="center"/>
    </xf>
    <xf numFmtId="0" fontId="24" fillId="5" borderId="0" xfId="1" applyFont="1" applyFill="1" applyAlignment="1" applyProtection="1">
      <alignment horizontal="center" vertical="center"/>
    </xf>
    <xf numFmtId="164" fontId="24" fillId="5" borderId="0" xfId="1" applyNumberFormat="1" applyFont="1" applyFill="1" applyBorder="1" applyAlignment="1">
      <alignment horizontal="center" vertical="center"/>
    </xf>
    <xf numFmtId="0" fontId="24" fillId="5" borderId="0" xfId="1" applyFont="1" applyFill="1" applyAlignment="1">
      <alignment horizontal="center" vertical="center"/>
    </xf>
    <xf numFmtId="0" fontId="24" fillId="5" borderId="0" xfId="1" applyFont="1" applyFill="1" applyAlignment="1">
      <alignment horizontal="left" vertical="center"/>
    </xf>
    <xf numFmtId="9" fontId="24" fillId="5" borderId="0" xfId="1" applyNumberFormat="1" applyFont="1" applyFill="1" applyBorder="1" applyAlignment="1" applyProtection="1">
      <alignment horizontal="center" vertical="center"/>
      <protection locked="0"/>
    </xf>
    <xf numFmtId="166" fontId="24" fillId="5" borderId="0" xfId="1" applyNumberFormat="1" applyFont="1" applyFill="1" applyBorder="1" applyAlignment="1">
      <alignment horizontal="center" vertical="center"/>
    </xf>
    <xf numFmtId="0" fontId="61" fillId="0" borderId="17" xfId="1" applyFont="1" applyBorder="1" applyAlignment="1" applyProtection="1">
      <alignment horizontal="center"/>
    </xf>
    <xf numFmtId="0" fontId="16" fillId="0" borderId="17" xfId="1" applyFont="1" applyBorder="1" applyProtection="1"/>
    <xf numFmtId="0" fontId="61" fillId="0" borderId="17" xfId="1" applyFont="1" applyBorder="1" applyAlignment="1" applyProtection="1">
      <alignment vertical="center"/>
    </xf>
    <xf numFmtId="0" fontId="61" fillId="0" borderId="18" xfId="1" applyFont="1" applyBorder="1" applyAlignment="1" applyProtection="1">
      <alignment vertical="center"/>
    </xf>
    <xf numFmtId="0" fontId="7" fillId="0" borderId="65" xfId="1" applyBorder="1" applyAlignment="1" applyProtection="1">
      <alignment horizontal="center" vertical="center"/>
    </xf>
    <xf numFmtId="0" fontId="7" fillId="0" borderId="33" xfId="1" applyFont="1" applyFill="1" applyBorder="1" applyAlignment="1" applyProtection="1">
      <alignment horizontal="left" vertical="center"/>
    </xf>
    <xf numFmtId="0" fontId="7" fillId="0" borderId="0" xfId="4" applyNumberFormat="1" applyFont="1" applyFill="1" applyBorder="1" applyAlignment="1" applyProtection="1">
      <alignment vertical="top" wrapText="1"/>
      <protection locked="0"/>
    </xf>
    <xf numFmtId="0" fontId="77" fillId="19" borderId="31" xfId="1" applyFont="1" applyFill="1" applyBorder="1" applyAlignment="1" applyProtection="1">
      <alignment horizontal="center" vertical="center"/>
      <protection locked="0"/>
    </xf>
    <xf numFmtId="0" fontId="7" fillId="19" borderId="31" xfId="1" applyFont="1" applyFill="1" applyBorder="1" applyAlignment="1" applyProtection="1">
      <alignment horizontal="center" vertical="center"/>
      <protection locked="0"/>
    </xf>
    <xf numFmtId="0" fontId="7" fillId="19" borderId="34" xfId="1" applyFont="1" applyFill="1" applyBorder="1" applyAlignment="1" applyProtection="1">
      <alignment horizontal="center" vertical="center"/>
      <protection locked="0"/>
    </xf>
    <xf numFmtId="0" fontId="7" fillId="2" borderId="1" xfId="1" applyFill="1" applyBorder="1" applyAlignment="1" applyProtection="1">
      <alignment vertical="center"/>
      <protection locked="0"/>
    </xf>
    <xf numFmtId="0" fontId="7" fillId="2" borderId="3" xfId="1" applyFill="1" applyBorder="1" applyAlignment="1" applyProtection="1">
      <alignment vertical="center"/>
      <protection locked="0"/>
    </xf>
    <xf numFmtId="0" fontId="7" fillId="2" borderId="4" xfId="1" applyFill="1" applyBorder="1" applyAlignment="1" applyProtection="1">
      <alignment vertical="center"/>
      <protection locked="0"/>
    </xf>
    <xf numFmtId="0" fontId="7" fillId="0" borderId="0" xfId="1" applyBorder="1" applyAlignment="1" applyProtection="1"/>
    <xf numFmtId="0" fontId="7" fillId="0" borderId="0" xfId="1" applyFill="1" applyBorder="1" applyAlignment="1" applyProtection="1">
      <alignment vertical="center"/>
      <protection locked="0"/>
    </xf>
    <xf numFmtId="0" fontId="7" fillId="0" borderId="0" xfId="0" applyFont="1"/>
    <xf numFmtId="164" fontId="83" fillId="29" borderId="24" xfId="0" applyNumberFormat="1" applyFont="1" applyFill="1" applyBorder="1" applyAlignment="1" applyProtection="1">
      <alignment horizontal="center" vertical="center" wrapText="1"/>
      <protection locked="0"/>
    </xf>
    <xf numFmtId="0" fontId="7" fillId="0" borderId="31" xfId="0" applyFont="1" applyBorder="1" applyAlignment="1" applyProtection="1">
      <alignment horizontal="center" vertical="center"/>
      <protection locked="0"/>
    </xf>
    <xf numFmtId="0" fontId="7" fillId="0" borderId="24" xfId="1" applyBorder="1" applyProtection="1">
      <protection locked="0"/>
    </xf>
    <xf numFmtId="0" fontId="7" fillId="0" borderId="24" xfId="1" applyFill="1" applyBorder="1" applyProtection="1">
      <protection locked="0"/>
    </xf>
    <xf numFmtId="0" fontId="7" fillId="0" borderId="24" xfId="1" applyFill="1" applyBorder="1" applyAlignment="1" applyProtection="1">
      <protection locked="0"/>
    </xf>
    <xf numFmtId="164" fontId="24" fillId="0" borderId="3" xfId="0" applyNumberFormat="1" applyFont="1" applyFill="1" applyBorder="1" applyAlignment="1" applyProtection="1">
      <alignment horizontal="center" vertical="center" wrapText="1"/>
      <protection locked="0"/>
    </xf>
    <xf numFmtId="0" fontId="18" fillId="0" borderId="0" xfId="0" applyFont="1" applyAlignment="1">
      <alignment horizontal="center" vertical="center" wrapText="1"/>
    </xf>
    <xf numFmtId="1" fontId="83" fillId="29" borderId="24" xfId="0" applyNumberFormat="1" applyFont="1" applyFill="1" applyBorder="1" applyAlignment="1" applyProtection="1">
      <alignment horizontal="center" vertical="center" wrapText="1"/>
      <protection locked="0"/>
    </xf>
    <xf numFmtId="1" fontId="83" fillId="5" borderId="24" xfId="0" applyNumberFormat="1" applyFont="1" applyFill="1" applyBorder="1" applyAlignment="1" applyProtection="1">
      <alignment horizontal="center" vertical="center" wrapText="1"/>
      <protection locked="0"/>
    </xf>
    <xf numFmtId="1" fontId="7" fillId="5" borderId="24" xfId="0" applyNumberFormat="1" applyFont="1" applyFill="1" applyBorder="1" applyAlignment="1" applyProtection="1">
      <alignment horizontal="center" vertical="center"/>
      <protection locked="0"/>
    </xf>
    <xf numFmtId="0" fontId="23" fillId="3" borderId="0" xfId="0" applyFont="1" applyFill="1" applyBorder="1" applyAlignment="1" applyProtection="1">
      <alignment horizontal="center" vertical="center"/>
    </xf>
    <xf numFmtId="0" fontId="17" fillId="0" borderId="0" xfId="0" applyFont="1" applyAlignment="1">
      <alignment horizontal="center" vertical="center" wrapText="1"/>
    </xf>
    <xf numFmtId="0" fontId="16" fillId="0" borderId="0" xfId="0" applyFont="1" applyAlignment="1">
      <alignment horizontal="center" vertical="center"/>
    </xf>
    <xf numFmtId="0" fontId="17" fillId="0" borderId="0" xfId="0" applyFont="1" applyAlignment="1">
      <alignment horizontal="center" vertical="center"/>
    </xf>
    <xf numFmtId="0" fontId="0" fillId="0" borderId="24" xfId="0" applyBorder="1" applyAlignment="1" applyProtection="1">
      <alignment horizontal="center" vertical="center"/>
    </xf>
    <xf numFmtId="0" fontId="17" fillId="0" borderId="0" xfId="0" applyFont="1" applyAlignment="1">
      <alignment horizontal="center"/>
    </xf>
    <xf numFmtId="9" fontId="0" fillId="24" borderId="24" xfId="0" applyNumberFormat="1" applyFill="1" applyBorder="1" applyAlignment="1">
      <alignment horizontal="center" vertical="center"/>
    </xf>
    <xf numFmtId="164" fontId="0" fillId="24" borderId="24" xfId="0" applyNumberFormat="1" applyFill="1" applyBorder="1" applyAlignment="1">
      <alignment horizontal="center" vertical="center"/>
    </xf>
    <xf numFmtId="0" fontId="17" fillId="3" borderId="24" xfId="0" applyFont="1" applyFill="1" applyBorder="1" applyAlignment="1" applyProtection="1">
      <alignment horizontal="center" vertical="center"/>
      <protection locked="0"/>
    </xf>
    <xf numFmtId="0" fontId="7" fillId="0" borderId="0" xfId="1" applyAlignment="1">
      <alignment vertical="center"/>
    </xf>
    <xf numFmtId="0" fontId="27" fillId="17" borderId="0" xfId="1" applyFont="1" applyFill="1" applyAlignment="1">
      <alignment vertical="center"/>
    </xf>
    <xf numFmtId="0" fontId="7" fillId="0" borderId="28" xfId="1" applyBorder="1" applyAlignment="1">
      <alignment horizontal="left" vertical="center"/>
    </xf>
    <xf numFmtId="0" fontId="7" fillId="0" borderId="31" xfId="1" applyBorder="1" applyAlignment="1">
      <alignment horizontal="left" vertical="center"/>
    </xf>
    <xf numFmtId="0" fontId="7" fillId="0" borderId="34" xfId="1" applyBorder="1" applyAlignment="1">
      <alignment horizontal="left" vertical="center"/>
    </xf>
    <xf numFmtId="0" fontId="24" fillId="0" borderId="0" xfId="1" applyFont="1" applyAlignment="1">
      <alignment vertical="center"/>
    </xf>
    <xf numFmtId="0" fontId="22" fillId="0" borderId="0" xfId="1" applyFont="1" applyAlignment="1">
      <alignment vertical="center"/>
    </xf>
    <xf numFmtId="0" fontId="7" fillId="0" borderId="0" xfId="1" applyBorder="1" applyAlignment="1">
      <alignment vertical="center"/>
    </xf>
    <xf numFmtId="0" fontId="7" fillId="0" borderId="0" xfId="1" applyFill="1" applyAlignment="1">
      <alignment vertical="center"/>
    </xf>
    <xf numFmtId="0" fontId="7" fillId="0" borderId="0" xfId="1" applyFill="1" applyBorder="1" applyAlignment="1">
      <alignment vertical="center"/>
    </xf>
    <xf numFmtId="0" fontId="48" fillId="0" borderId="0" xfId="1" applyFont="1" applyFill="1" applyAlignment="1">
      <alignment vertical="center"/>
    </xf>
    <xf numFmtId="0" fontId="47" fillId="0" borderId="0" xfId="1" applyFont="1" applyFill="1" applyBorder="1" applyAlignment="1">
      <alignment horizontal="center" vertical="center"/>
    </xf>
    <xf numFmtId="0" fontId="10" fillId="0" borderId="0" xfId="1" applyFont="1" applyAlignment="1">
      <alignment horizontal="left" vertical="center"/>
    </xf>
    <xf numFmtId="0" fontId="10" fillId="0" borderId="0" xfId="1" applyFont="1" applyFill="1" applyAlignment="1">
      <alignment horizontal="left" vertical="center"/>
    </xf>
    <xf numFmtId="0" fontId="10" fillId="0" borderId="0" xfId="1" applyFont="1" applyFill="1" applyBorder="1" applyAlignment="1">
      <alignment horizontal="left" vertical="center"/>
    </xf>
    <xf numFmtId="0" fontId="7" fillId="0" borderId="0" xfId="1" applyBorder="1" applyAlignment="1" applyProtection="1">
      <alignment horizontal="center" vertical="center" textRotation="90"/>
    </xf>
    <xf numFmtId="0" fontId="7" fillId="0" borderId="8" xfId="1" applyFont="1" applyBorder="1" applyAlignment="1" applyProtection="1">
      <alignment horizontal="center" vertical="center" textRotation="90"/>
    </xf>
    <xf numFmtId="0" fontId="7" fillId="0" borderId="20" xfId="1" applyFont="1" applyBorder="1" applyAlignment="1" applyProtection="1">
      <alignment horizontal="center" vertical="center" textRotation="90"/>
    </xf>
    <xf numFmtId="0" fontId="7" fillId="0" borderId="29" xfId="1" applyFont="1" applyFill="1" applyBorder="1" applyAlignment="1" applyProtection="1">
      <alignment horizontal="center" vertical="center" textRotation="90"/>
    </xf>
    <xf numFmtId="0" fontId="10" fillId="0" borderId="1" xfId="1" applyFont="1" applyFill="1" applyBorder="1" applyAlignment="1">
      <alignment horizontal="center" vertical="center" textRotation="90"/>
    </xf>
    <xf numFmtId="0" fontId="10" fillId="0" borderId="20" xfId="1" applyFont="1" applyFill="1" applyBorder="1" applyAlignment="1">
      <alignment horizontal="center" vertical="center" textRotation="90"/>
    </xf>
    <xf numFmtId="0" fontId="7" fillId="0" borderId="21" xfId="1" applyFont="1" applyFill="1" applyBorder="1" applyAlignment="1">
      <alignment horizontal="center" vertical="center" textRotation="90"/>
    </xf>
    <xf numFmtId="0" fontId="7" fillId="0" borderId="20" xfId="1" applyFont="1" applyFill="1" applyBorder="1" applyAlignment="1">
      <alignment horizontal="center" vertical="center" textRotation="90"/>
    </xf>
    <xf numFmtId="0" fontId="7" fillId="0" borderId="0" xfId="1" applyFont="1" applyFill="1" applyBorder="1" applyAlignment="1">
      <alignment horizontal="center" vertical="center" textRotation="90"/>
    </xf>
    <xf numFmtId="0" fontId="7" fillId="0" borderId="1" xfId="1" applyFont="1" applyFill="1" applyBorder="1" applyAlignment="1">
      <alignment horizontal="center" vertical="center" textRotation="90"/>
    </xf>
    <xf numFmtId="0" fontId="7" fillId="0" borderId="8" xfId="1" applyFont="1" applyFill="1" applyBorder="1" applyAlignment="1">
      <alignment horizontal="center" vertical="center" textRotation="90"/>
    </xf>
    <xf numFmtId="0" fontId="7" fillId="0" borderId="22" xfId="1" applyFont="1" applyFill="1" applyBorder="1" applyAlignment="1">
      <alignment horizontal="center" vertical="center" textRotation="90"/>
    </xf>
    <xf numFmtId="0" fontId="7" fillId="2" borderId="3" xfId="1" applyFont="1" applyFill="1" applyBorder="1" applyAlignment="1" applyProtection="1">
      <alignment horizontal="center" vertical="center"/>
      <protection locked="0"/>
    </xf>
    <xf numFmtId="0" fontId="81" fillId="0" borderId="0" xfId="1" applyFont="1" applyFill="1" applyBorder="1" applyAlignment="1" applyProtection="1">
      <alignment horizontal="center" vertical="center"/>
    </xf>
    <xf numFmtId="0" fontId="7" fillId="2" borderId="4" xfId="1" applyFont="1" applyFill="1" applyBorder="1" applyAlignment="1" applyProtection="1">
      <alignment horizontal="center" vertical="center"/>
      <protection locked="0"/>
    </xf>
    <xf numFmtId="0" fontId="24" fillId="5" borderId="0" xfId="1" applyFont="1" applyFill="1" applyBorder="1" applyAlignment="1" applyProtection="1">
      <alignment horizontal="center" vertical="center"/>
    </xf>
    <xf numFmtId="164" fontId="22" fillId="0" borderId="0" xfId="1" applyNumberFormat="1" applyFont="1" applyAlignment="1">
      <alignment vertical="center"/>
    </xf>
    <xf numFmtId="0" fontId="22" fillId="0" borderId="0" xfId="1" applyNumberFormat="1" applyFont="1" applyAlignment="1">
      <alignment vertical="center"/>
    </xf>
    <xf numFmtId="1" fontId="22" fillId="0" borderId="0" xfId="1" applyNumberFormat="1" applyFont="1" applyFill="1" applyBorder="1" applyAlignment="1">
      <alignment vertical="center"/>
    </xf>
    <xf numFmtId="0" fontId="22" fillId="0" borderId="0" xfId="1" applyFont="1" applyBorder="1" applyAlignment="1">
      <alignment vertical="center"/>
    </xf>
    <xf numFmtId="0" fontId="22" fillId="0" borderId="0" xfId="1" applyFont="1" applyFill="1" applyAlignment="1">
      <alignment vertical="center"/>
    </xf>
    <xf numFmtId="0" fontId="22" fillId="0" borderId="0" xfId="1" applyFont="1" applyFill="1" applyBorder="1" applyAlignment="1">
      <alignment vertical="center"/>
    </xf>
    <xf numFmtId="0" fontId="7" fillId="0" borderId="1" xfId="1" applyFont="1" applyBorder="1" applyAlignment="1" applyProtection="1">
      <alignment horizontal="center" vertical="center" textRotation="90" wrapText="1"/>
    </xf>
    <xf numFmtId="0" fontId="26" fillId="0" borderId="1" xfId="1" applyFont="1" applyBorder="1" applyAlignment="1" applyProtection="1">
      <alignment horizontal="center" vertical="center" textRotation="90" wrapText="1"/>
    </xf>
    <xf numFmtId="0" fontId="7" fillId="22" borderId="28" xfId="1" applyFont="1" applyFill="1" applyBorder="1" applyAlignment="1" applyProtection="1">
      <alignment horizontal="center" vertical="center" textRotation="90" wrapText="1"/>
    </xf>
    <xf numFmtId="0" fontId="26" fillId="3" borderId="9" xfId="1" applyFont="1" applyFill="1" applyBorder="1" applyAlignment="1">
      <alignment horizontal="center" vertical="center" textRotation="90"/>
    </xf>
    <xf numFmtId="0" fontId="7" fillId="2" borderId="37" xfId="1" applyNumberFormat="1" applyFont="1" applyFill="1" applyBorder="1" applyAlignment="1" applyProtection="1">
      <alignment horizontal="center" vertical="center"/>
      <protection locked="0"/>
    </xf>
    <xf numFmtId="0" fontId="85" fillId="13" borderId="24" xfId="1" applyFont="1" applyFill="1" applyBorder="1" applyAlignment="1" applyProtection="1">
      <alignment horizontal="center"/>
      <protection locked="0"/>
    </xf>
    <xf numFmtId="0" fontId="13" fillId="0" borderId="0" xfId="1" applyFont="1"/>
    <xf numFmtId="0" fontId="24" fillId="0" borderId="0" xfId="1" applyFont="1" applyFill="1" applyBorder="1" applyAlignment="1" applyProtection="1">
      <alignment horizontal="center" vertical="center"/>
    </xf>
    <xf numFmtId="0" fontId="24" fillId="0" borderId="0" xfId="1" applyFont="1" applyFill="1" applyProtection="1"/>
    <xf numFmtId="1" fontId="7" fillId="0" borderId="0" xfId="1" applyNumberFormat="1" applyFont="1" applyFill="1" applyBorder="1" applyAlignment="1" applyProtection="1">
      <alignment horizontal="left"/>
      <protection locked="0"/>
    </xf>
    <xf numFmtId="0" fontId="7" fillId="0" borderId="0" xfId="1" applyFont="1" applyAlignment="1" applyProtection="1">
      <alignment horizontal="center"/>
    </xf>
    <xf numFmtId="0" fontId="7" fillId="0" borderId="0" xfId="1" applyFont="1" applyFill="1" applyAlignment="1" applyProtection="1">
      <alignment horizontal="center" vertical="center"/>
    </xf>
    <xf numFmtId="0" fontId="7" fillId="0" borderId="0" xfId="1" applyFont="1" applyFill="1" applyAlignment="1" applyProtection="1">
      <alignment horizontal="center"/>
    </xf>
    <xf numFmtId="1" fontId="22" fillId="0" borderId="0" xfId="1" applyNumberFormat="1" applyFont="1" applyFill="1" applyBorder="1" applyAlignment="1" applyProtection="1">
      <alignment horizontal="left"/>
      <protection locked="0"/>
    </xf>
    <xf numFmtId="0" fontId="22" fillId="0" borderId="0" xfId="1" applyFont="1" applyAlignment="1" applyProtection="1">
      <alignment horizontal="center"/>
    </xf>
    <xf numFmtId="0" fontId="22" fillId="0" borderId="0" xfId="1" applyFont="1" applyFill="1" applyAlignment="1" applyProtection="1"/>
    <xf numFmtId="9" fontId="22" fillId="0" borderId="0" xfId="1" applyNumberFormat="1" applyFont="1" applyFill="1" applyAlignment="1" applyProtection="1">
      <alignment horizontal="center" vertical="center"/>
    </xf>
    <xf numFmtId="0" fontId="7" fillId="0" borderId="0" xfId="1" applyFont="1" applyAlignment="1">
      <alignment horizontal="center"/>
    </xf>
    <xf numFmtId="0" fontId="82" fillId="0" borderId="0" xfId="1" applyFont="1" applyAlignment="1">
      <alignment horizontal="center" vertical="center" textRotation="180"/>
    </xf>
    <xf numFmtId="0" fontId="7" fillId="0" borderId="26" xfId="1" applyFont="1" applyBorder="1"/>
    <xf numFmtId="0" fontId="82" fillId="14" borderId="24" xfId="1" applyFont="1" applyFill="1" applyBorder="1" applyAlignment="1" applyProtection="1">
      <alignment horizontal="center" vertical="center" wrapText="1"/>
      <protection locked="0"/>
    </xf>
    <xf numFmtId="0" fontId="7" fillId="24" borderId="0" xfId="1" applyFont="1" applyFill="1"/>
    <xf numFmtId="0" fontId="82" fillId="24" borderId="26" xfId="1" applyFont="1" applyFill="1" applyBorder="1" applyAlignment="1">
      <alignment horizontal="center" vertical="center" wrapText="1"/>
    </xf>
    <xf numFmtId="0" fontId="82" fillId="0" borderId="26" xfId="1" applyFont="1" applyBorder="1" applyAlignment="1">
      <alignment horizontal="center" vertical="center"/>
    </xf>
    <xf numFmtId="0" fontId="82" fillId="0" borderId="25" xfId="1" applyFont="1" applyBorder="1" applyAlignment="1">
      <alignment vertical="center"/>
    </xf>
    <xf numFmtId="0" fontId="82" fillId="2" borderId="24" xfId="1" applyFont="1" applyFill="1" applyBorder="1" applyAlignment="1" applyProtection="1">
      <alignment horizontal="center" vertical="center"/>
      <protection locked="0"/>
    </xf>
    <xf numFmtId="0" fontId="82" fillId="0" borderId="25" xfId="1" applyFont="1" applyBorder="1" applyAlignment="1">
      <alignment vertical="center" wrapText="1"/>
    </xf>
    <xf numFmtId="0" fontId="82" fillId="0" borderId="26" xfId="1" applyFont="1" applyBorder="1" applyAlignment="1">
      <alignment textRotation="180" wrapText="1"/>
    </xf>
    <xf numFmtId="0" fontId="7" fillId="0" borderId="0" xfId="1" applyFont="1" applyAlignment="1">
      <alignment wrapText="1"/>
    </xf>
    <xf numFmtId="0" fontId="82" fillId="0" borderId="0" xfId="1" applyFont="1"/>
    <xf numFmtId="0" fontId="88" fillId="0" borderId="24" xfId="1" applyFont="1" applyFill="1" applyBorder="1" applyAlignment="1">
      <alignment horizontal="center" vertical="center"/>
    </xf>
    <xf numFmtId="0" fontId="82" fillId="2" borderId="24" xfId="1" applyFont="1" applyFill="1" applyBorder="1" applyAlignment="1">
      <alignment horizontal="center" vertical="center"/>
    </xf>
    <xf numFmtId="0" fontId="82" fillId="0" borderId="0" xfId="1" applyFont="1" applyAlignment="1">
      <alignment horizontal="center" vertical="center"/>
    </xf>
    <xf numFmtId="0" fontId="82" fillId="0" borderId="0" xfId="1" applyFont="1" applyAlignment="1">
      <alignment vertical="center"/>
    </xf>
    <xf numFmtId="0" fontId="61" fillId="0" borderId="0" xfId="1" applyFont="1" applyAlignment="1" applyProtection="1">
      <alignment horizontal="center" vertical="center" textRotation="180"/>
    </xf>
    <xf numFmtId="0" fontId="61" fillId="0" borderId="24" xfId="1" applyFont="1" applyBorder="1" applyAlignment="1" applyProtection="1">
      <alignment horizontal="center" vertical="center"/>
    </xf>
    <xf numFmtId="0" fontId="61" fillId="0" borderId="24" xfId="1" applyFont="1" applyBorder="1" applyAlignment="1" applyProtection="1">
      <alignment vertical="center"/>
    </xf>
    <xf numFmtId="0" fontId="61" fillId="0" borderId="24" xfId="1" applyFont="1" applyBorder="1" applyAlignment="1" applyProtection="1">
      <alignment horizontal="left" vertical="center"/>
    </xf>
    <xf numFmtId="0" fontId="61" fillId="0" borderId="26" xfId="1" applyFont="1" applyBorder="1" applyAlignment="1" applyProtection="1">
      <alignment horizontal="center" vertical="center"/>
    </xf>
    <xf numFmtId="0" fontId="61" fillId="0" borderId="25" xfId="1" applyFont="1" applyBorder="1" applyAlignment="1" applyProtection="1">
      <alignment vertical="center"/>
    </xf>
    <xf numFmtId="0" fontId="61" fillId="0" borderId="25" xfId="1" applyFont="1" applyBorder="1" applyAlignment="1" applyProtection="1">
      <alignment vertical="center" wrapText="1"/>
    </xf>
    <xf numFmtId="0" fontId="90" fillId="0" borderId="25" xfId="1" applyFont="1" applyBorder="1" applyAlignment="1" applyProtection="1">
      <alignment vertical="center"/>
    </xf>
    <xf numFmtId="0" fontId="89" fillId="0" borderId="26" xfId="1" applyFont="1" applyBorder="1" applyAlignment="1" applyProtection="1">
      <alignment textRotation="180"/>
    </xf>
    <xf numFmtId="0" fontId="61" fillId="0" borderId="71" xfId="1" applyFont="1" applyBorder="1" applyAlignment="1" applyProtection="1">
      <alignment horizontal="center" vertical="center"/>
    </xf>
    <xf numFmtId="0" fontId="61" fillId="0" borderId="72" xfId="1" applyFont="1" applyBorder="1" applyAlignment="1">
      <alignment vertical="center" wrapText="1"/>
    </xf>
    <xf numFmtId="0" fontId="61" fillId="0" borderId="0" xfId="1" applyFont="1" applyProtection="1"/>
    <xf numFmtId="0" fontId="61" fillId="0" borderId="10" xfId="1" applyFont="1" applyBorder="1" applyAlignment="1" applyProtection="1">
      <alignment horizontal="center" vertical="center"/>
    </xf>
    <xf numFmtId="0" fontId="61" fillId="0" borderId="25" xfId="1" applyFont="1" applyBorder="1" applyAlignment="1">
      <alignment vertical="center" wrapText="1"/>
    </xf>
    <xf numFmtId="0" fontId="61" fillId="0" borderId="25" xfId="1" applyFont="1" applyBorder="1" applyAlignment="1">
      <alignment vertical="center"/>
    </xf>
    <xf numFmtId="0" fontId="7" fillId="0" borderId="26" xfId="1" applyBorder="1" applyProtection="1"/>
    <xf numFmtId="0" fontId="61" fillId="0" borderId="0" xfId="1" applyFont="1" applyAlignment="1" applyProtection="1">
      <alignment horizontal="center" vertical="center"/>
    </xf>
    <xf numFmtId="0" fontId="61" fillId="0" borderId="0" xfId="1" applyFont="1" applyAlignment="1" applyProtection="1">
      <alignment vertical="center"/>
    </xf>
    <xf numFmtId="0" fontId="82" fillId="24" borderId="24" xfId="1" applyFont="1" applyFill="1" applyBorder="1" applyAlignment="1" applyProtection="1">
      <alignment horizontal="center" vertical="center" textRotation="180" wrapText="1"/>
    </xf>
    <xf numFmtId="0" fontId="82" fillId="0" borderId="24" xfId="1" applyFont="1" applyBorder="1" applyAlignment="1">
      <alignment horizontal="center" vertical="center"/>
    </xf>
    <xf numFmtId="0" fontId="82" fillId="0" borderId="24" xfId="1" applyFont="1" applyBorder="1" applyAlignment="1">
      <alignment vertical="center"/>
    </xf>
    <xf numFmtId="0" fontId="82" fillId="0" borderId="24" xfId="1" applyFont="1" applyBorder="1" applyAlignment="1">
      <alignment vertical="center" wrapText="1"/>
    </xf>
    <xf numFmtId="0" fontId="88" fillId="0" borderId="24" xfId="1" applyFont="1" applyBorder="1" applyAlignment="1">
      <alignment vertical="center"/>
    </xf>
    <xf numFmtId="0" fontId="82" fillId="0" borderId="24" xfId="1" applyFont="1" applyBorder="1" applyAlignment="1">
      <alignment horizontal="center" vertical="top" textRotation="180" wrapText="1"/>
    </xf>
    <xf numFmtId="0" fontId="82" fillId="0" borderId="25" xfId="1" applyFont="1" applyBorder="1" applyAlignment="1">
      <alignment horizontal="center" vertical="top" textRotation="180" wrapText="1"/>
    </xf>
    <xf numFmtId="0" fontId="7" fillId="0" borderId="10" xfId="1" applyFont="1" applyBorder="1"/>
    <xf numFmtId="0" fontId="82" fillId="24" borderId="25" xfId="1" applyFont="1" applyFill="1" applyBorder="1" applyAlignment="1" applyProtection="1">
      <alignment horizontal="center" vertical="center" textRotation="180" wrapText="1"/>
    </xf>
    <xf numFmtId="0" fontId="82" fillId="24" borderId="10" xfId="1" applyFont="1" applyFill="1" applyBorder="1" applyAlignment="1">
      <alignment horizontal="center" vertical="center" wrapText="1"/>
    </xf>
    <xf numFmtId="0" fontId="82" fillId="24" borderId="25" xfId="1" applyFont="1" applyFill="1" applyBorder="1" applyAlignment="1">
      <alignment horizontal="center" vertical="center" wrapText="1"/>
    </xf>
    <xf numFmtId="0" fontId="82" fillId="0" borderId="25" xfId="1" applyFont="1" applyFill="1" applyBorder="1" applyAlignment="1" applyProtection="1">
      <alignment horizontal="center" vertical="center" textRotation="180" wrapText="1"/>
      <protection locked="0"/>
    </xf>
    <xf numFmtId="0" fontId="82" fillId="0" borderId="30" xfId="1" applyFont="1" applyBorder="1" applyAlignment="1">
      <alignment horizontal="center" vertical="center" textRotation="180"/>
    </xf>
    <xf numFmtId="0" fontId="88" fillId="0" borderId="30" xfId="1" applyFont="1" applyBorder="1" applyAlignment="1">
      <alignment vertical="center"/>
    </xf>
    <xf numFmtId="0" fontId="7" fillId="0" borderId="10" xfId="1" applyFont="1" applyBorder="1" applyAlignment="1">
      <alignment wrapText="1"/>
    </xf>
    <xf numFmtId="0" fontId="82" fillId="0" borderId="26" xfId="1" applyFont="1" applyBorder="1" applyAlignment="1">
      <alignment horizontal="center" vertical="center" wrapText="1"/>
    </xf>
    <xf numFmtId="0" fontId="82" fillId="0" borderId="25" xfId="1" applyFont="1" applyBorder="1" applyAlignment="1" applyProtection="1">
      <alignment horizontal="center" vertical="center" textRotation="180"/>
    </xf>
    <xf numFmtId="0" fontId="7" fillId="0" borderId="30" xfId="1" applyFont="1" applyBorder="1" applyAlignment="1">
      <alignment horizontal="center" vertical="center" textRotation="180"/>
    </xf>
    <xf numFmtId="0" fontId="82" fillId="0" borderId="30" xfId="1" applyFont="1" applyBorder="1" applyAlignment="1">
      <alignment vertical="center"/>
    </xf>
    <xf numFmtId="0" fontId="7" fillId="0" borderId="10" xfId="1" applyBorder="1" applyProtection="1"/>
    <xf numFmtId="0" fontId="7" fillId="0" borderId="74" xfId="1" applyBorder="1" applyAlignment="1" applyProtection="1">
      <alignment horizontal="center"/>
    </xf>
    <xf numFmtId="0" fontId="7" fillId="0" borderId="74" xfId="1" applyBorder="1" applyProtection="1"/>
    <xf numFmtId="0" fontId="61" fillId="24" borderId="25" xfId="1" applyFont="1" applyFill="1" applyBorder="1" applyAlignment="1" applyProtection="1">
      <alignment horizontal="center" vertical="center"/>
    </xf>
    <xf numFmtId="0" fontId="61" fillId="2" borderId="33" xfId="1" applyFont="1" applyFill="1" applyBorder="1" applyAlignment="1" applyProtection="1">
      <alignment horizontal="center" vertical="center"/>
    </xf>
    <xf numFmtId="0" fontId="91" fillId="0" borderId="33" xfId="1" applyFont="1" applyFill="1" applyBorder="1" applyAlignment="1" applyProtection="1">
      <alignment horizontal="center" vertical="center"/>
    </xf>
    <xf numFmtId="0" fontId="7" fillId="0" borderId="69" xfId="1" applyBorder="1" applyProtection="1"/>
    <xf numFmtId="0" fontId="92" fillId="0" borderId="75" xfId="1" applyFont="1" applyFill="1" applyBorder="1" applyAlignment="1" applyProtection="1">
      <alignment horizontal="center" vertical="center" textRotation="180"/>
    </xf>
    <xf numFmtId="0" fontId="92" fillId="0" borderId="33" xfId="1" applyFont="1" applyFill="1" applyBorder="1" applyAlignment="1" applyProtection="1">
      <alignment horizontal="center" vertical="center" textRotation="180"/>
    </xf>
    <xf numFmtId="0" fontId="7" fillId="0" borderId="0" xfId="0" applyFont="1" applyBorder="1" applyAlignment="1">
      <alignment horizontal="center" vertical="center"/>
    </xf>
    <xf numFmtId="0" fontId="24" fillId="0" borderId="0" xfId="0" applyFont="1" applyBorder="1" applyAlignment="1">
      <alignment horizontal="center"/>
    </xf>
    <xf numFmtId="0" fontId="0" fillId="0" borderId="0" xfId="0" applyBorder="1"/>
    <xf numFmtId="0" fontId="0" fillId="0" borderId="0" xfId="0" applyBorder="1" applyAlignment="1">
      <alignment horizontal="right" vertical="center"/>
    </xf>
    <xf numFmtId="164" fontId="24" fillId="22" borderId="0" xfId="0" applyNumberFormat="1" applyFont="1" applyFill="1" applyBorder="1" applyAlignment="1" applyProtection="1">
      <alignment horizontal="left" vertical="center" wrapText="1"/>
      <protection locked="0"/>
    </xf>
    <xf numFmtId="0" fontId="0" fillId="22" borderId="0" xfId="0" applyFill="1" applyBorder="1" applyAlignment="1" applyProtection="1">
      <alignment horizontal="center" vertical="center"/>
      <protection locked="0"/>
    </xf>
    <xf numFmtId="0" fontId="24" fillId="22" borderId="0" xfId="0" applyFont="1" applyFill="1" applyBorder="1" applyAlignment="1">
      <alignment horizontal="center" vertical="center"/>
    </xf>
    <xf numFmtId="164" fontId="24" fillId="0" borderId="0" xfId="0" applyNumberFormat="1" applyFont="1" applyFill="1" applyBorder="1" applyAlignment="1" applyProtection="1">
      <alignment horizontal="left" vertical="center" wrapText="1"/>
      <protection locked="0"/>
    </xf>
    <xf numFmtId="0" fontId="0" fillId="0" borderId="0" xfId="0" applyFill="1" applyBorder="1" applyAlignment="1" applyProtection="1">
      <alignment horizontal="center" vertical="center"/>
      <protection locked="0"/>
    </xf>
    <xf numFmtId="0" fontId="0" fillId="0" borderId="0" xfId="0" applyFill="1" applyBorder="1" applyAlignment="1">
      <alignment horizontal="right" vertical="center"/>
    </xf>
    <xf numFmtId="0" fontId="0" fillId="0" borderId="0" xfId="0" applyBorder="1" applyAlignment="1">
      <alignment horizontal="center" vertical="center"/>
    </xf>
    <xf numFmtId="0" fontId="7" fillId="12" borderId="69" xfId="0" applyFont="1" applyFill="1" applyBorder="1" applyAlignment="1">
      <alignment horizontal="center"/>
    </xf>
    <xf numFmtId="0" fontId="24" fillId="0" borderId="74" xfId="0" applyFont="1" applyBorder="1" applyAlignment="1">
      <alignment horizontal="center"/>
    </xf>
    <xf numFmtId="0" fontId="0" fillId="0" borderId="70" xfId="0" applyBorder="1"/>
    <xf numFmtId="0" fontId="7" fillId="21" borderId="62" xfId="0" applyFont="1" applyFill="1" applyBorder="1" applyAlignment="1">
      <alignment horizontal="center" vertical="center" wrapText="1"/>
    </xf>
    <xf numFmtId="0" fontId="18" fillId="0" borderId="27" xfId="0" applyNumberFormat="1" applyFont="1" applyFill="1" applyBorder="1" applyAlignment="1" applyProtection="1">
      <alignment vertical="center"/>
      <protection locked="0"/>
    </xf>
    <xf numFmtId="0" fontId="7" fillId="22" borderId="62" xfId="0" applyFont="1" applyFill="1" applyBorder="1" applyAlignment="1" applyProtection="1">
      <alignment horizontal="center" vertical="center"/>
      <protection locked="0"/>
    </xf>
    <xf numFmtId="0" fontId="0" fillId="22" borderId="27" xfId="0" applyFill="1" applyBorder="1" applyAlignment="1" applyProtection="1">
      <alignment horizontal="center" vertical="center"/>
      <protection locked="0"/>
    </xf>
    <xf numFmtId="0" fontId="7" fillId="0" borderId="62" xfId="0" applyFont="1" applyFill="1" applyBorder="1" applyAlignment="1" applyProtection="1">
      <alignment horizontal="center" vertical="center"/>
      <protection locked="0"/>
    </xf>
    <xf numFmtId="0" fontId="0" fillId="0" borderId="27" xfId="0" applyFill="1" applyBorder="1" applyAlignment="1" applyProtection="1">
      <alignment horizontal="center" vertical="center"/>
      <protection locked="0"/>
    </xf>
    <xf numFmtId="0" fontId="7" fillId="0" borderId="71" xfId="0" applyFont="1" applyFill="1" applyBorder="1" applyAlignment="1" applyProtection="1">
      <alignment horizontal="center" vertical="center"/>
      <protection locked="0"/>
    </xf>
    <xf numFmtId="0" fontId="24" fillId="0" borderId="53" xfId="0" applyFont="1" applyFill="1" applyBorder="1" applyAlignment="1">
      <alignment horizontal="center" vertical="center"/>
    </xf>
    <xf numFmtId="0" fontId="0" fillId="0" borderId="72" xfId="0" applyFill="1" applyBorder="1" applyAlignment="1" applyProtection="1">
      <alignment horizontal="center" vertical="center"/>
      <protection locked="0"/>
    </xf>
    <xf numFmtId="0" fontId="7" fillId="14" borderId="62" xfId="0" applyFont="1" applyFill="1" applyBorder="1" applyAlignment="1">
      <alignment horizontal="center" vertical="center" wrapText="1"/>
    </xf>
    <xf numFmtId="0" fontId="7" fillId="14" borderId="62" xfId="0" applyFont="1" applyFill="1" applyBorder="1" applyAlignment="1" applyProtection="1">
      <alignment horizontal="center" vertical="center" wrapText="1"/>
      <protection locked="0"/>
    </xf>
    <xf numFmtId="0" fontId="0" fillId="0" borderId="27" xfId="0" applyBorder="1"/>
    <xf numFmtId="0" fontId="7" fillId="30" borderId="30" xfId="0" applyFont="1" applyFill="1" applyBorder="1" applyAlignment="1" applyProtection="1">
      <alignment horizontal="center" vertical="center" wrapText="1"/>
      <protection locked="0"/>
    </xf>
    <xf numFmtId="0" fontId="7" fillId="22" borderId="56" xfId="0"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protection locked="0"/>
    </xf>
    <xf numFmtId="0" fontId="7" fillId="22" borderId="56" xfId="0" applyFont="1" applyFill="1" applyBorder="1" applyAlignment="1" applyProtection="1">
      <alignment horizontal="center" vertical="center"/>
      <protection locked="0"/>
    </xf>
    <xf numFmtId="0" fontId="7" fillId="0" borderId="33" xfId="0" applyFont="1" applyFill="1" applyBorder="1" applyAlignment="1" applyProtection="1">
      <alignment horizontal="center" vertical="center"/>
      <protection locked="0"/>
    </xf>
    <xf numFmtId="165" fontId="0" fillId="6" borderId="25" xfId="0" applyNumberFormat="1" applyFill="1" applyBorder="1" applyAlignment="1" applyProtection="1">
      <alignment horizontal="center" vertical="center"/>
      <protection locked="0"/>
    </xf>
    <xf numFmtId="0" fontId="7" fillId="0" borderId="30" xfId="0" applyFont="1" applyBorder="1" applyAlignment="1">
      <alignment horizontal="center" vertical="center"/>
    </xf>
    <xf numFmtId="0" fontId="0" fillId="0" borderId="25" xfId="0" applyBorder="1" applyAlignment="1" applyProtection="1">
      <alignment horizontal="center" vertical="center"/>
    </xf>
    <xf numFmtId="164" fontId="38" fillId="0" borderId="0" xfId="1" applyNumberFormat="1" applyFont="1" applyAlignment="1">
      <alignment horizontal="center" vertical="center"/>
    </xf>
    <xf numFmtId="164" fontId="7" fillId="24" borderId="3" xfId="0" applyNumberFormat="1" applyFont="1" applyFill="1" applyBorder="1" applyAlignment="1" applyProtection="1">
      <alignment horizontal="center" vertical="center"/>
      <protection locked="0"/>
    </xf>
    <xf numFmtId="164" fontId="0" fillId="0" borderId="3" xfId="0" applyNumberFormat="1" applyBorder="1" applyAlignment="1" applyProtection="1">
      <alignment horizontal="center" vertical="center"/>
      <protection locked="0"/>
    </xf>
    <xf numFmtId="164" fontId="0" fillId="4" borderId="24" xfId="0" applyNumberFormat="1" applyFill="1" applyBorder="1" applyAlignment="1" applyProtection="1">
      <alignment horizontal="center" vertical="center"/>
      <protection locked="0"/>
    </xf>
    <xf numFmtId="164" fontId="0" fillId="24" borderId="3" xfId="0" applyNumberFormat="1" applyFill="1" applyBorder="1" applyAlignment="1" applyProtection="1">
      <alignment horizontal="center" vertical="center"/>
      <protection locked="0"/>
    </xf>
    <xf numFmtId="0" fontId="0" fillId="24" borderId="3" xfId="0"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7" fillId="4" borderId="6" xfId="0" applyFont="1" applyFill="1" applyBorder="1" applyAlignment="1" applyProtection="1">
      <alignment horizontal="center" vertical="center"/>
      <protection locked="0"/>
    </xf>
    <xf numFmtId="0" fontId="7" fillId="0" borderId="34" xfId="0" applyFont="1" applyBorder="1" applyAlignment="1" applyProtection="1">
      <alignment horizontal="center" vertical="center"/>
      <protection locked="0"/>
    </xf>
    <xf numFmtId="0" fontId="0" fillId="0" borderId="4" xfId="0" applyBorder="1" applyAlignment="1" applyProtection="1">
      <alignment horizontal="center" vertical="center"/>
      <protection locked="0"/>
    </xf>
    <xf numFmtId="164" fontId="0" fillId="4" borderId="19" xfId="0" applyNumberFormat="1" applyFill="1" applyBorder="1" applyAlignment="1" applyProtection="1">
      <alignment horizontal="center" vertical="center"/>
      <protection locked="0"/>
    </xf>
    <xf numFmtId="0" fontId="7" fillId="4" borderId="7" xfId="0" applyFont="1" applyFill="1" applyBorder="1" applyAlignment="1" applyProtection="1">
      <alignment horizontal="center" vertical="center"/>
      <protection locked="0"/>
    </xf>
    <xf numFmtId="164" fontId="0" fillId="0" borderId="3" xfId="0" applyNumberFormat="1" applyFill="1" applyBorder="1" applyAlignment="1" applyProtection="1">
      <alignment horizontal="center" vertical="center"/>
      <protection locked="0"/>
    </xf>
    <xf numFmtId="0" fontId="7" fillId="0" borderId="3" xfId="0" applyFont="1" applyFill="1" applyBorder="1" applyAlignment="1" applyProtection="1">
      <alignment horizontal="center" vertical="center"/>
      <protection locked="0"/>
    </xf>
    <xf numFmtId="164" fontId="7" fillId="0" borderId="3" xfId="0" applyNumberFormat="1" applyFont="1" applyFill="1" applyBorder="1" applyAlignment="1" applyProtection="1">
      <alignment horizontal="center" vertical="center"/>
      <protection locked="0"/>
    </xf>
    <xf numFmtId="0" fontId="18" fillId="0" borderId="0" xfId="1" applyFont="1" applyAlignment="1" applyProtection="1">
      <alignment horizontal="center" vertical="center"/>
    </xf>
    <xf numFmtId="0" fontId="7" fillId="2" borderId="10"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7" fillId="31" borderId="1" xfId="0" applyFont="1" applyFill="1" applyBorder="1" applyAlignment="1" applyProtection="1">
      <alignment horizontal="center" textRotation="90"/>
      <protection locked="0"/>
    </xf>
    <xf numFmtId="0" fontId="7" fillId="31" borderId="8" xfId="0" applyFont="1" applyFill="1" applyBorder="1" applyAlignment="1" applyProtection="1">
      <alignment horizontal="center" textRotation="90"/>
      <protection locked="0"/>
    </xf>
    <xf numFmtId="0" fontId="7" fillId="30" borderId="8" xfId="0" applyFont="1" applyFill="1" applyBorder="1" applyAlignment="1" applyProtection="1">
      <alignment horizontal="center" textRotation="90"/>
      <protection locked="0"/>
    </xf>
    <xf numFmtId="0" fontId="7" fillId="5" borderId="8" xfId="0" applyFont="1" applyFill="1" applyBorder="1" applyAlignment="1" applyProtection="1">
      <alignment horizontal="center" textRotation="90"/>
      <protection locked="0"/>
    </xf>
    <xf numFmtId="0" fontId="7" fillId="20" borderId="20" xfId="0" applyFont="1" applyFill="1" applyBorder="1" applyAlignment="1" applyProtection="1">
      <alignment horizontal="center" textRotation="90"/>
      <protection locked="0"/>
    </xf>
    <xf numFmtId="0" fontId="77" fillId="19" borderId="42" xfId="1" applyFont="1" applyFill="1" applyBorder="1" applyAlignment="1" applyProtection="1">
      <alignment horizontal="center" vertical="center"/>
      <protection locked="0"/>
    </xf>
    <xf numFmtId="0" fontId="38" fillId="32" borderId="1" xfId="1" applyFont="1" applyFill="1" applyBorder="1" applyAlignment="1">
      <alignment horizontal="center" textRotation="90"/>
    </xf>
    <xf numFmtId="0" fontId="7" fillId="18" borderId="8" xfId="1" applyFont="1" applyFill="1" applyBorder="1" applyAlignment="1">
      <alignment horizontal="center" textRotation="90"/>
    </xf>
    <xf numFmtId="0" fontId="38" fillId="13" borderId="8" xfId="1" applyFont="1" applyFill="1" applyBorder="1" applyAlignment="1" applyProtection="1">
      <alignment horizontal="center" textRotation="90"/>
      <protection locked="0"/>
    </xf>
    <xf numFmtId="0" fontId="7" fillId="0" borderId="20" xfId="1" applyFont="1" applyFill="1" applyBorder="1" applyAlignment="1">
      <alignment horizontal="center" textRotation="90"/>
    </xf>
    <xf numFmtId="0" fontId="7" fillId="0" borderId="1" xfId="1" applyBorder="1" applyAlignment="1" applyProtection="1">
      <alignment horizontal="center" textRotation="90"/>
    </xf>
    <xf numFmtId="0" fontId="7" fillId="0" borderId="20" xfId="1" applyBorder="1" applyAlignment="1" applyProtection="1">
      <alignment horizontal="center" textRotation="90"/>
    </xf>
    <xf numFmtId="0" fontId="7" fillId="6" borderId="3" xfId="1" applyFill="1" applyBorder="1" applyAlignment="1" applyProtection="1">
      <alignment horizontal="center" vertical="center"/>
      <protection locked="0"/>
    </xf>
    <xf numFmtId="0" fontId="7" fillId="6" borderId="6" xfId="1" applyFill="1" applyBorder="1" applyAlignment="1" applyProtection="1">
      <alignment horizontal="center" vertical="center"/>
      <protection locked="0"/>
    </xf>
    <xf numFmtId="0" fontId="7" fillId="6" borderId="4" xfId="1" applyFill="1" applyBorder="1" applyAlignment="1" applyProtection="1">
      <alignment horizontal="center" vertical="center"/>
      <protection locked="0"/>
    </xf>
    <xf numFmtId="0" fontId="7" fillId="6" borderId="7" xfId="1" applyFill="1" applyBorder="1" applyAlignment="1" applyProtection="1">
      <alignment horizontal="center" vertical="center"/>
      <protection locked="0"/>
    </xf>
    <xf numFmtId="0" fontId="7" fillId="0" borderId="35" xfId="1" applyBorder="1" applyProtection="1"/>
    <xf numFmtId="0" fontId="7" fillId="0" borderId="36" xfId="1" applyBorder="1" applyProtection="1"/>
    <xf numFmtId="0" fontId="7" fillId="6" borderId="20" xfId="1" applyFill="1" applyBorder="1" applyProtection="1">
      <protection locked="0"/>
    </xf>
    <xf numFmtId="0" fontId="7" fillId="0" borderId="65" xfId="1" applyBorder="1" applyAlignment="1" applyProtection="1">
      <alignment horizontal="center" textRotation="90"/>
    </xf>
    <xf numFmtId="0" fontId="7" fillId="0" borderId="73" xfId="1" applyBorder="1" applyAlignment="1" applyProtection="1">
      <alignment horizontal="center" textRotation="90"/>
    </xf>
    <xf numFmtId="0" fontId="61" fillId="0" borderId="0" xfId="1" applyFont="1" applyBorder="1" applyAlignment="1" applyProtection="1">
      <alignment horizontal="left" vertical="center"/>
    </xf>
    <xf numFmtId="0" fontId="16" fillId="0" borderId="0" xfId="1" applyFont="1" applyBorder="1" applyProtection="1"/>
    <xf numFmtId="0" fontId="61" fillId="0" borderId="0" xfId="1" applyFont="1" applyBorder="1" applyAlignment="1" applyProtection="1">
      <alignment horizontal="center"/>
    </xf>
    <xf numFmtId="0" fontId="53" fillId="22" borderId="18" xfId="1" applyFont="1" applyFill="1" applyBorder="1" applyAlignment="1">
      <alignment horizontal="center"/>
    </xf>
    <xf numFmtId="0" fontId="58" fillId="22" borderId="25" xfId="1" applyFont="1" applyFill="1" applyBorder="1" applyAlignment="1">
      <alignment horizontal="center"/>
    </xf>
    <xf numFmtId="165" fontId="0" fillId="6" borderId="24" xfId="0" applyNumberFormat="1" applyFill="1" applyBorder="1" applyAlignment="1" applyProtection="1">
      <alignment horizontal="center" vertical="center"/>
      <protection locked="0"/>
    </xf>
    <xf numFmtId="0" fontId="7" fillId="2" borderId="10" xfId="1" applyFont="1" applyFill="1" applyBorder="1" applyAlignment="1" applyProtection="1">
      <alignment horizontal="center" vertical="center"/>
      <protection locked="0"/>
    </xf>
    <xf numFmtId="0" fontId="7" fillId="2" borderId="6" xfId="1" applyFont="1" applyFill="1" applyBorder="1" applyAlignment="1" applyProtection="1">
      <alignment horizontal="center" vertical="center"/>
      <protection locked="0"/>
    </xf>
    <xf numFmtId="0" fontId="7" fillId="0" borderId="0" xfId="1" applyAlignment="1">
      <alignment horizontal="right" vertical="center"/>
    </xf>
    <xf numFmtId="0" fontId="7" fillId="0" borderId="79" xfId="1" applyBorder="1" applyAlignment="1">
      <alignment horizontal="right" vertical="center"/>
    </xf>
    <xf numFmtId="0" fontId="7" fillId="0" borderId="27" xfId="1" applyBorder="1" applyAlignment="1">
      <alignment vertical="center"/>
    </xf>
    <xf numFmtId="0" fontId="24" fillId="33" borderId="27" xfId="1" applyFont="1" applyFill="1" applyBorder="1" applyAlignment="1">
      <alignment vertical="center"/>
    </xf>
    <xf numFmtId="0" fontId="7" fillId="34" borderId="27" xfId="1" applyFill="1" applyBorder="1" applyAlignment="1">
      <alignment vertical="center"/>
    </xf>
    <xf numFmtId="0" fontId="7" fillId="5" borderId="27" xfId="1" applyFill="1" applyBorder="1" applyAlignment="1">
      <alignment vertical="center"/>
    </xf>
    <xf numFmtId="0" fontId="24" fillId="25" borderId="27" xfId="1" applyFont="1" applyFill="1" applyBorder="1" applyAlignment="1">
      <alignment vertical="center"/>
    </xf>
    <xf numFmtId="0" fontId="7" fillId="0" borderId="83" xfId="1" applyBorder="1" applyAlignment="1">
      <alignment horizontal="right"/>
    </xf>
    <xf numFmtId="0" fontId="7" fillId="0" borderId="26" xfId="1" applyBorder="1" applyAlignment="1">
      <alignment horizontal="left" vertical="center"/>
    </xf>
    <xf numFmtId="0" fontId="7" fillId="0" borderId="26" xfId="1" applyBorder="1"/>
    <xf numFmtId="0" fontId="7" fillId="0" borderId="84" xfId="1" applyBorder="1"/>
    <xf numFmtId="0" fontId="7" fillId="0" borderId="85" xfId="1" applyBorder="1" applyAlignment="1">
      <alignment horizontal="right" vertical="center"/>
    </xf>
    <xf numFmtId="0" fontId="21" fillId="21" borderId="24" xfId="1" applyFont="1" applyFill="1" applyBorder="1" applyAlignment="1" applyProtection="1">
      <alignment horizontal="left" vertical="center" wrapText="1"/>
      <protection locked="0"/>
    </xf>
    <xf numFmtId="0" fontId="7" fillId="0" borderId="24" xfId="1" applyBorder="1" applyAlignment="1" applyProtection="1">
      <alignment horizontal="center" vertical="center"/>
      <protection locked="0"/>
    </xf>
    <xf numFmtId="0" fontId="7" fillId="0" borderId="81" xfId="1" applyBorder="1" applyAlignment="1" applyProtection="1">
      <alignment horizontal="center" vertical="center"/>
      <protection locked="0"/>
    </xf>
    <xf numFmtId="0" fontId="7" fillId="0" borderId="86" xfId="1" applyBorder="1" applyAlignment="1">
      <alignment horizontal="right" vertical="center"/>
    </xf>
    <xf numFmtId="0" fontId="21" fillId="21" borderId="87" xfId="1" applyFont="1" applyFill="1" applyBorder="1" applyAlignment="1" applyProtection="1">
      <alignment horizontal="left" vertical="center" wrapText="1"/>
      <protection locked="0"/>
    </xf>
    <xf numFmtId="0" fontId="7" fillId="0" borderId="87" xfId="1" applyBorder="1" applyAlignment="1" applyProtection="1">
      <alignment horizontal="center" vertical="center"/>
      <protection locked="0"/>
    </xf>
    <xf numFmtId="0" fontId="7" fillId="0" borderId="88" xfId="1" applyBorder="1" applyAlignment="1" applyProtection="1">
      <alignment horizontal="center" vertical="center"/>
      <protection locked="0"/>
    </xf>
    <xf numFmtId="0" fontId="7" fillId="0" borderId="89" xfId="1" applyBorder="1" applyAlignment="1">
      <alignment horizontal="right" vertical="center"/>
    </xf>
    <xf numFmtId="0" fontId="24" fillId="33" borderId="90" xfId="1" applyFont="1" applyFill="1" applyBorder="1" applyAlignment="1">
      <alignment vertical="center"/>
    </xf>
    <xf numFmtId="0" fontId="7" fillId="0" borderId="89" xfId="1" applyBorder="1" applyAlignment="1">
      <alignment horizontal="center" vertical="center"/>
    </xf>
    <xf numFmtId="0" fontId="7" fillId="0" borderId="90" xfId="1" applyBorder="1" applyAlignment="1">
      <alignment horizontal="center" vertical="center"/>
    </xf>
    <xf numFmtId="9" fontId="7" fillId="0" borderId="91" xfId="1" applyNumberFormat="1" applyBorder="1" applyAlignment="1">
      <alignment horizontal="center" vertical="center"/>
    </xf>
    <xf numFmtId="0" fontId="7" fillId="0" borderId="92" xfId="1" applyBorder="1" applyAlignment="1">
      <alignment horizontal="right" vertical="center"/>
    </xf>
    <xf numFmtId="0" fontId="7" fillId="34" borderId="0" xfId="1" applyFill="1" applyAlignment="1">
      <alignment vertical="center"/>
    </xf>
    <xf numFmtId="0" fontId="7" fillId="0" borderId="92" xfId="1" applyBorder="1" applyAlignment="1">
      <alignment horizontal="center" vertical="center"/>
    </xf>
    <xf numFmtId="0" fontId="7" fillId="0" borderId="93" xfId="1" applyBorder="1" applyAlignment="1">
      <alignment horizontal="center" vertical="center"/>
    </xf>
    <xf numFmtId="9" fontId="7" fillId="0" borderId="0" xfId="1" applyNumberFormat="1" applyAlignment="1">
      <alignment horizontal="center" vertical="center"/>
    </xf>
    <xf numFmtId="0" fontId="7" fillId="5" borderId="0" xfId="1" applyFill="1" applyAlignment="1">
      <alignment vertical="center"/>
    </xf>
    <xf numFmtId="9" fontId="7" fillId="0" borderId="94" xfId="1" applyNumberFormat="1" applyBorder="1" applyAlignment="1">
      <alignment horizontal="center" vertical="center"/>
    </xf>
    <xf numFmtId="0" fontId="7" fillId="0" borderId="95" xfId="1" applyBorder="1" applyAlignment="1">
      <alignment horizontal="right" vertical="center"/>
    </xf>
    <xf numFmtId="0" fontId="24" fillId="25" borderId="96" xfId="1" applyFont="1" applyFill="1" applyBorder="1" applyAlignment="1">
      <alignment vertical="center"/>
    </xf>
    <xf numFmtId="0" fontId="7" fillId="0" borderId="95" xfId="1" applyBorder="1" applyAlignment="1">
      <alignment horizontal="center" vertical="center"/>
    </xf>
    <xf numFmtId="0" fontId="7" fillId="0" borderId="96" xfId="1" applyBorder="1" applyAlignment="1">
      <alignment horizontal="center" vertical="center"/>
    </xf>
    <xf numFmtId="0" fontId="7" fillId="0" borderId="97" xfId="1" applyBorder="1" applyAlignment="1">
      <alignment horizontal="center" vertical="center"/>
    </xf>
    <xf numFmtId="9" fontId="7" fillId="0" borderId="96" xfId="1" applyNumberFormat="1" applyBorder="1" applyAlignment="1">
      <alignment horizontal="center" vertical="center"/>
    </xf>
    <xf numFmtId="0" fontId="13" fillId="0" borderId="0" xfId="1" applyFont="1" applyBorder="1" applyAlignment="1">
      <alignment horizontal="center"/>
    </xf>
    <xf numFmtId="0" fontId="7" fillId="0" borderId="0" xfId="1" applyFont="1" applyAlignment="1">
      <alignment horizontal="center"/>
    </xf>
    <xf numFmtId="0" fontId="0" fillId="0" borderId="0" xfId="0" applyAlignment="1">
      <alignment horizontal="center"/>
    </xf>
    <xf numFmtId="0" fontId="7" fillId="21" borderId="69" xfId="0" applyFont="1" applyFill="1" applyBorder="1" applyAlignment="1">
      <alignment horizontal="center"/>
    </xf>
    <xf numFmtId="0" fontId="7" fillId="2" borderId="24" xfId="1" applyFont="1" applyFill="1" applyBorder="1" applyAlignment="1" applyProtection="1">
      <alignment horizontal="left" vertical="center"/>
      <protection locked="0"/>
    </xf>
    <xf numFmtId="0" fontId="61" fillId="0" borderId="0" xfId="1" applyFont="1" applyBorder="1" applyAlignment="1" applyProtection="1">
      <alignment horizontal="center" vertical="center"/>
    </xf>
    <xf numFmtId="0" fontId="61" fillId="0" borderId="0" xfId="1" applyFont="1" applyFill="1" applyBorder="1" applyAlignment="1" applyProtection="1">
      <alignment horizontal="center" vertical="center"/>
    </xf>
    <xf numFmtId="0" fontId="80" fillId="0" borderId="0" xfId="1" applyFont="1" applyAlignment="1" applyProtection="1">
      <alignment horizontal="left"/>
    </xf>
    <xf numFmtId="0" fontId="22" fillId="0" borderId="0" xfId="1" applyFont="1" applyFill="1" applyBorder="1" applyAlignment="1" applyProtection="1">
      <alignment horizontal="center"/>
    </xf>
    <xf numFmtId="0" fontId="82" fillId="0" borderId="30" xfId="1" applyFont="1" applyBorder="1" applyAlignment="1">
      <alignment horizontal="center" vertical="center"/>
    </xf>
    <xf numFmtId="0" fontId="82" fillId="0" borderId="24" xfId="1" applyFont="1" applyBorder="1" applyAlignment="1">
      <alignment horizontal="center" vertical="center" textRotation="180"/>
    </xf>
    <xf numFmtId="0" fontId="7" fillId="0" borderId="24" xfId="1" applyFont="1" applyBorder="1" applyAlignment="1">
      <alignment horizontal="center" vertical="center" textRotation="180"/>
    </xf>
    <xf numFmtId="0" fontId="7" fillId="0" borderId="0" xfId="0" applyFont="1" applyAlignment="1">
      <alignment horizontal="right" vertical="center"/>
    </xf>
    <xf numFmtId="0" fontId="7" fillId="0" borderId="0" xfId="0" applyFont="1" applyAlignment="1">
      <alignment horizontal="center"/>
    </xf>
    <xf numFmtId="0" fontId="7" fillId="0" borderId="24" xfId="0" applyFont="1" applyBorder="1" applyAlignment="1">
      <alignment horizontal="right" vertical="center"/>
    </xf>
    <xf numFmtId="0" fontId="7" fillId="0" borderId="24" xfId="0" applyFont="1" applyBorder="1" applyAlignment="1"/>
    <xf numFmtId="0" fontId="7" fillId="0" borderId="0" xfId="0" applyFont="1" applyBorder="1" applyAlignment="1">
      <alignment horizontal="center" textRotation="90"/>
    </xf>
    <xf numFmtId="0" fontId="7" fillId="0" borderId="24" xfId="0" applyFont="1" applyFill="1" applyBorder="1" applyAlignment="1" applyProtection="1">
      <alignment horizontal="left" vertical="center"/>
    </xf>
    <xf numFmtId="164" fontId="7" fillId="4" borderId="0" xfId="0" applyNumberFormat="1" applyFont="1" applyFill="1" applyAlignment="1">
      <alignment horizontal="center" vertical="center"/>
    </xf>
    <xf numFmtId="164" fontId="7" fillId="0" borderId="0" xfId="0" applyNumberFormat="1" applyFont="1" applyFill="1" applyAlignment="1">
      <alignment horizontal="center" vertical="center"/>
    </xf>
    <xf numFmtId="14" fontId="7" fillId="0" borderId="0" xfId="0" applyNumberFormat="1" applyFont="1" applyAlignment="1">
      <alignment horizontal="left" textRotation="90"/>
    </xf>
    <xf numFmtId="0" fontId="7" fillId="0" borderId="0" xfId="0" applyFont="1" applyAlignment="1">
      <alignment horizontal="left" textRotation="90"/>
    </xf>
    <xf numFmtId="0" fontId="7" fillId="0" borderId="0" xfId="0" applyFont="1" applyAlignment="1">
      <alignment horizontal="center" textRotation="90"/>
    </xf>
    <xf numFmtId="0" fontId="7" fillId="0" borderId="0" xfId="0" applyFont="1" applyFill="1" applyBorder="1"/>
    <xf numFmtId="0" fontId="7" fillId="0" borderId="0" xfId="0" applyFont="1" applyFill="1" applyBorder="1" applyAlignment="1">
      <alignment horizontal="center"/>
    </xf>
    <xf numFmtId="0" fontId="7" fillId="0" borderId="24" xfId="0" applyFont="1" applyBorder="1" applyAlignment="1">
      <alignment horizontal="right"/>
    </xf>
    <xf numFmtId="0" fontId="7" fillId="22" borderId="24" xfId="0" applyFont="1" applyFill="1" applyBorder="1" applyAlignment="1">
      <alignment horizontal="left" vertical="center"/>
    </xf>
    <xf numFmtId="0" fontId="7" fillId="0" borderId="30" xfId="0" applyFont="1" applyBorder="1" applyAlignment="1">
      <alignment horizontal="left" vertical="center"/>
    </xf>
    <xf numFmtId="0" fontId="7" fillId="0" borderId="0" xfId="0" applyFont="1" applyAlignment="1">
      <alignment horizontal="center" vertical="center"/>
    </xf>
    <xf numFmtId="0" fontId="7" fillId="0" borderId="0" xfId="0" applyFont="1" applyBorder="1" applyAlignment="1">
      <alignment vertical="center"/>
    </xf>
    <xf numFmtId="0" fontId="7" fillId="0" borderId="0" xfId="0" applyFont="1" applyBorder="1" applyAlignment="1"/>
    <xf numFmtId="0" fontId="7" fillId="0" borderId="0" xfId="0" applyFont="1" applyBorder="1" applyAlignment="1">
      <alignment horizontal="left" vertical="center"/>
    </xf>
    <xf numFmtId="0" fontId="7" fillId="0" borderId="10" xfId="0" applyFont="1" applyBorder="1" applyAlignment="1">
      <alignment horizontal="right" vertical="center"/>
    </xf>
    <xf numFmtId="0" fontId="7" fillId="2" borderId="3" xfId="1" applyFill="1" applyBorder="1" applyAlignment="1" applyProtection="1">
      <alignment horizontal="center" vertical="center"/>
      <protection locked="0"/>
    </xf>
    <xf numFmtId="0" fontId="7" fillId="2" borderId="31" xfId="1" applyFill="1" applyBorder="1" applyAlignment="1" applyProtection="1">
      <alignment horizontal="center" vertical="center"/>
      <protection locked="0"/>
    </xf>
    <xf numFmtId="0" fontId="7" fillId="2" borderId="34" xfId="1" applyFill="1" applyBorder="1" applyAlignment="1" applyProtection="1">
      <alignment horizontal="center" vertical="center"/>
      <protection locked="0"/>
    </xf>
    <xf numFmtId="9" fontId="7" fillId="0" borderId="24" xfId="4" applyFont="1" applyBorder="1" applyAlignment="1">
      <alignment horizontal="center" vertical="center"/>
    </xf>
    <xf numFmtId="0" fontId="7" fillId="0" borderId="24" xfId="1" applyFont="1" applyBorder="1" applyAlignment="1">
      <alignment horizontal="center" vertical="center"/>
    </xf>
    <xf numFmtId="0" fontId="7" fillId="20" borderId="24" xfId="1" applyFont="1" applyFill="1" applyBorder="1" applyAlignment="1">
      <alignment horizontal="center" vertical="center"/>
    </xf>
    <xf numFmtId="9" fontId="7" fillId="20" borderId="24" xfId="4" applyFont="1" applyFill="1" applyBorder="1" applyAlignment="1">
      <alignment horizontal="center" vertical="center"/>
    </xf>
    <xf numFmtId="0" fontId="7" fillId="20" borderId="24" xfId="7" applyFont="1" applyFill="1" applyBorder="1" applyAlignment="1">
      <alignment horizontal="center" vertical="center"/>
    </xf>
    <xf numFmtId="0" fontId="7" fillId="0" borderId="0" xfId="0" applyFont="1" applyFill="1" applyAlignment="1">
      <alignment horizontal="center"/>
    </xf>
    <xf numFmtId="0" fontId="24" fillId="0" borderId="0" xfId="0" applyFont="1" applyFill="1" applyAlignment="1">
      <alignment horizontal="center"/>
    </xf>
    <xf numFmtId="0" fontId="8" fillId="0" borderId="0" xfId="0" applyFont="1" applyFill="1" applyAlignment="1">
      <alignment horizontal="center"/>
    </xf>
    <xf numFmtId="164" fontId="7" fillId="0" borderId="24" xfId="0" applyNumberFormat="1" applyFont="1" applyFill="1" applyBorder="1" applyAlignment="1" applyProtection="1">
      <alignment horizontal="center" vertical="center"/>
      <protection locked="0"/>
    </xf>
    <xf numFmtId="0" fontId="9" fillId="0" borderId="0" xfId="0" applyFont="1" applyFill="1" applyAlignment="1">
      <alignment horizontal="center" vertical="center"/>
    </xf>
    <xf numFmtId="168" fontId="0" fillId="0" borderId="0" xfId="8" applyNumberFormat="1" applyFont="1" applyBorder="1" applyProtection="1"/>
    <xf numFmtId="0" fontId="97" fillId="0" borderId="0" xfId="9"/>
    <xf numFmtId="169" fontId="0" fillId="0" borderId="0" xfId="8" applyNumberFormat="1" applyFont="1" applyBorder="1" applyProtection="1"/>
    <xf numFmtId="166" fontId="97" fillId="0" borderId="0" xfId="9" applyNumberFormat="1"/>
    <xf numFmtId="166" fontId="97" fillId="0" borderId="0" xfId="10" applyNumberFormat="1"/>
    <xf numFmtId="9" fontId="103" fillId="0" borderId="110" xfId="10" applyFont="1" applyBorder="1" applyAlignment="1" applyProtection="1">
      <alignment horizontal="center" vertical="center"/>
    </xf>
    <xf numFmtId="166" fontId="104" fillId="0" borderId="0" xfId="10" applyNumberFormat="1" applyFont="1" applyBorder="1" applyAlignment="1" applyProtection="1">
      <alignment horizontal="center" vertical="center"/>
    </xf>
    <xf numFmtId="9" fontId="106" fillId="0" borderId="113" xfId="10" applyFont="1" applyBorder="1" applyAlignment="1" applyProtection="1">
      <alignment horizontal="center" vertical="center"/>
    </xf>
    <xf numFmtId="9" fontId="109" fillId="0" borderId="115" xfId="10" applyFont="1" applyBorder="1" applyAlignment="1" applyProtection="1">
      <alignment horizontal="center" vertical="center"/>
    </xf>
    <xf numFmtId="0" fontId="98" fillId="6" borderId="105" xfId="11" applyFont="1" applyFill="1" applyBorder="1" applyAlignment="1" applyProtection="1">
      <alignment horizontal="center" vertical="center"/>
      <protection locked="0"/>
    </xf>
    <xf numFmtId="0" fontId="7" fillId="0" borderId="0" xfId="1" applyAlignment="1">
      <alignment horizontal="center"/>
    </xf>
    <xf numFmtId="0" fontId="24" fillId="0" borderId="0" xfId="0" applyFont="1" applyAlignment="1">
      <alignment vertical="center"/>
    </xf>
    <xf numFmtId="0" fontId="23" fillId="0" borderId="0" xfId="1" applyFont="1" applyAlignment="1">
      <alignment vertical="center"/>
    </xf>
    <xf numFmtId="0" fontId="27" fillId="0" borderId="0" xfId="1" applyFont="1" applyAlignment="1">
      <alignment vertical="center"/>
    </xf>
    <xf numFmtId="0" fontId="47" fillId="0" borderId="0" xfId="1" applyFont="1" applyAlignment="1">
      <alignment horizontal="center" vertical="center"/>
    </xf>
    <xf numFmtId="0" fontId="23" fillId="0" borderId="0" xfId="1" applyFont="1" applyAlignment="1">
      <alignment horizontal="center" vertical="center"/>
    </xf>
    <xf numFmtId="0" fontId="48" fillId="0" borderId="0" xfId="1" applyFont="1" applyAlignment="1">
      <alignment horizontal="center" vertical="center"/>
    </xf>
    <xf numFmtId="0" fontId="7" fillId="0" borderId="24" xfId="1" applyBorder="1" applyAlignment="1">
      <alignment horizontal="center" textRotation="90"/>
    </xf>
    <xf numFmtId="0" fontId="7" fillId="0" borderId="0" xfId="1" applyAlignment="1">
      <alignment horizontal="center" textRotation="90"/>
    </xf>
    <xf numFmtId="0" fontId="7" fillId="0" borderId="24" xfId="1" applyBorder="1" applyAlignment="1">
      <alignment horizontal="right" vertical="center"/>
    </xf>
    <xf numFmtId="0" fontId="7" fillId="0" borderId="24" xfId="1" applyBorder="1" applyAlignment="1">
      <alignment horizontal="left" vertical="center"/>
    </xf>
    <xf numFmtId="0" fontId="7" fillId="0" borderId="24" xfId="1" applyBorder="1" applyAlignment="1">
      <alignment horizontal="center"/>
    </xf>
    <xf numFmtId="0" fontId="24" fillId="0" borderId="0" xfId="1" applyFont="1" applyAlignment="1">
      <alignment horizontal="center" textRotation="90"/>
    </xf>
    <xf numFmtId="0" fontId="55" fillId="0" borderId="0" xfId="1" applyFont="1" applyAlignment="1">
      <alignment horizontal="center" textRotation="90"/>
    </xf>
    <xf numFmtId="0" fontId="49" fillId="0" borderId="0" xfId="1" applyFont="1" applyAlignment="1">
      <alignment horizontal="left" vertical="center" textRotation="90"/>
    </xf>
    <xf numFmtId="164" fontId="113" fillId="0" borderId="24" xfId="1" applyNumberFormat="1" applyFont="1" applyBorder="1" applyAlignment="1">
      <alignment horizontal="center" vertical="center" wrapText="1"/>
    </xf>
    <xf numFmtId="164" fontId="7" fillId="0" borderId="0" xfId="1" applyNumberFormat="1" applyAlignment="1">
      <alignment horizontal="center"/>
    </xf>
    <xf numFmtId="164" fontId="7" fillId="0" borderId="0" xfId="1" applyNumberFormat="1" applyAlignment="1">
      <alignment horizontal="center" vertical="center" wrapText="1"/>
    </xf>
    <xf numFmtId="164" fontId="22" fillId="0" borderId="24" xfId="1" applyNumberFormat="1" applyFont="1" applyBorder="1" applyAlignment="1">
      <alignment horizontal="center" vertical="center" wrapText="1"/>
    </xf>
    <xf numFmtId="164" fontId="7" fillId="0" borderId="0" xfId="1" applyNumberFormat="1" applyAlignment="1">
      <alignment horizontal="center" vertical="center"/>
    </xf>
    <xf numFmtId="164" fontId="24" fillId="0" borderId="0" xfId="1" applyNumberFormat="1" applyFont="1" applyAlignment="1">
      <alignment horizontal="center" vertical="center" wrapText="1"/>
    </xf>
    <xf numFmtId="1" fontId="7" fillId="0" borderId="0" xfId="1" applyNumberFormat="1" applyAlignment="1">
      <alignment horizontal="center" vertical="center"/>
    </xf>
    <xf numFmtId="164" fontId="83" fillId="0" borderId="0" xfId="1" applyNumberFormat="1" applyFont="1" applyAlignment="1">
      <alignment horizontal="center" vertical="center" wrapText="1"/>
    </xf>
    <xf numFmtId="1" fontId="7" fillId="0" borderId="0" xfId="1" applyNumberFormat="1" applyAlignment="1">
      <alignment vertical="center"/>
    </xf>
    <xf numFmtId="164" fontId="22" fillId="0" borderId="0" xfId="0" applyNumberFormat="1" applyFont="1" applyAlignment="1">
      <alignment vertical="center"/>
    </xf>
    <xf numFmtId="164" fontId="22" fillId="0" borderId="0" xfId="0" applyNumberFormat="1" applyFont="1" applyAlignment="1">
      <alignment horizontal="center"/>
    </xf>
    <xf numFmtId="9" fontId="22" fillId="0" borderId="0" xfId="0" applyNumberFormat="1" applyFont="1" applyAlignment="1">
      <alignment horizontal="left" vertical="center"/>
    </xf>
    <xf numFmtId="0" fontId="55" fillId="0" borderId="0" xfId="0" applyFont="1" applyFill="1" applyBorder="1" applyAlignment="1">
      <alignment horizontal="center" textRotation="90"/>
    </xf>
    <xf numFmtId="0" fontId="24" fillId="0" borderId="0" xfId="0" applyFont="1" applyFill="1" applyBorder="1" applyAlignment="1">
      <alignment horizontal="center"/>
    </xf>
    <xf numFmtId="0" fontId="7" fillId="0" borderId="0" xfId="0" applyFont="1" applyFill="1" applyBorder="1" applyAlignment="1">
      <alignment horizontal="center" textRotation="90"/>
    </xf>
    <xf numFmtId="0" fontId="114" fillId="0" borderId="0" xfId="0" applyFont="1" applyAlignment="1">
      <alignment horizontal="center"/>
    </xf>
    <xf numFmtId="0" fontId="22" fillId="0" borderId="0" xfId="0" applyFont="1" applyAlignment="1">
      <alignment horizontal="right" vertical="center"/>
    </xf>
    <xf numFmtId="164" fontId="0" fillId="7" borderId="24" xfId="0" applyNumberFormat="1" applyFill="1" applyBorder="1" applyAlignment="1" applyProtection="1">
      <alignment horizontal="center" vertical="center" wrapText="1"/>
      <protection locked="0"/>
    </xf>
    <xf numFmtId="164" fontId="0" fillId="8" borderId="24" xfId="0" applyNumberFormat="1" applyFill="1" applyBorder="1" applyAlignment="1" applyProtection="1">
      <alignment horizontal="center" vertical="center" wrapText="1"/>
      <protection locked="0"/>
    </xf>
    <xf numFmtId="164" fontId="0" fillId="9" borderId="24" xfId="0" applyNumberFormat="1" applyFill="1" applyBorder="1" applyAlignment="1" applyProtection="1">
      <alignment horizontal="center" vertical="center" wrapText="1"/>
      <protection locked="0"/>
    </xf>
    <xf numFmtId="164" fontId="0" fillId="10" borderId="24" xfId="0" applyNumberFormat="1" applyFill="1" applyBorder="1" applyAlignment="1" applyProtection="1">
      <alignment horizontal="center" vertical="center" wrapText="1"/>
      <protection locked="0"/>
    </xf>
    <xf numFmtId="0" fontId="17" fillId="0" borderId="44" xfId="1" applyFont="1" applyBorder="1" applyAlignment="1">
      <alignment vertical="center"/>
    </xf>
    <xf numFmtId="0" fontId="17" fillId="0" borderId="14" xfId="1" applyFont="1" applyBorder="1" applyAlignment="1">
      <alignment vertical="center"/>
    </xf>
    <xf numFmtId="0" fontId="17" fillId="0" borderId="5" xfId="1" applyFont="1" applyBorder="1" applyAlignment="1">
      <alignment vertical="center"/>
    </xf>
    <xf numFmtId="0" fontId="17" fillId="0" borderId="46" xfId="1" applyFont="1" applyBorder="1" applyAlignment="1">
      <alignment vertical="center"/>
    </xf>
    <xf numFmtId="0" fontId="17" fillId="12" borderId="4" xfId="1" applyFont="1" applyFill="1" applyBorder="1" applyAlignment="1">
      <alignment horizontal="center" vertical="center"/>
    </xf>
    <xf numFmtId="0" fontId="17" fillId="26" borderId="19" xfId="1" applyFont="1" applyFill="1" applyBorder="1" applyAlignment="1">
      <alignment horizontal="center" vertical="center"/>
    </xf>
    <xf numFmtId="1" fontId="17" fillId="19" borderId="19" xfId="1" applyNumberFormat="1" applyFont="1" applyFill="1" applyBorder="1" applyAlignment="1">
      <alignment horizontal="center" vertical="center"/>
    </xf>
    <xf numFmtId="2" fontId="17" fillId="14" borderId="7" xfId="1" applyNumberFormat="1" applyFont="1" applyFill="1" applyBorder="1" applyAlignment="1">
      <alignment horizontal="center" vertical="center"/>
    </xf>
    <xf numFmtId="1" fontId="17" fillId="0" borderId="0" xfId="1" applyNumberFormat="1" applyFont="1" applyAlignment="1">
      <alignment horizontal="center" vertical="center"/>
    </xf>
    <xf numFmtId="2" fontId="17" fillId="0" borderId="0" xfId="1" applyNumberFormat="1" applyFont="1" applyAlignment="1">
      <alignment horizontal="center" vertical="center"/>
    </xf>
    <xf numFmtId="0" fontId="17" fillId="0" borderId="0" xfId="1" applyFont="1" applyAlignment="1" applyProtection="1">
      <alignment horizontal="center" vertical="center"/>
      <protection locked="0"/>
    </xf>
    <xf numFmtId="0" fontId="17" fillId="20" borderId="14" xfId="1" applyFont="1" applyFill="1" applyBorder="1" applyAlignment="1">
      <alignment horizontal="center" vertical="center"/>
    </xf>
    <xf numFmtId="0" fontId="66" fillId="24" borderId="7" xfId="1" applyFont="1" applyFill="1" applyBorder="1" applyAlignment="1">
      <alignment horizontal="center" vertical="center"/>
    </xf>
    <xf numFmtId="0" fontId="17" fillId="0" borderId="3" xfId="1" applyFont="1" applyBorder="1" applyAlignment="1">
      <alignment horizontal="left" vertical="center"/>
    </xf>
    <xf numFmtId="0" fontId="17" fillId="0" borderId="6" xfId="1" applyFont="1" applyBorder="1" applyAlignment="1">
      <alignment horizontal="center" vertical="center"/>
    </xf>
    <xf numFmtId="0" fontId="66" fillId="0" borderId="7" xfId="1" applyFont="1" applyBorder="1" applyAlignment="1">
      <alignment horizontal="center" vertical="center"/>
    </xf>
    <xf numFmtId="0" fontId="66" fillId="0" borderId="0" xfId="1" applyFont="1" applyAlignment="1">
      <alignment horizontal="left" vertical="center"/>
    </xf>
    <xf numFmtId="2" fontId="17" fillId="0" borderId="0" xfId="1" applyNumberFormat="1" applyFont="1" applyAlignment="1">
      <alignment horizontal="left" vertical="center"/>
    </xf>
    <xf numFmtId="0" fontId="7" fillId="0" borderId="0" xfId="1" applyAlignment="1">
      <alignment horizontal="center"/>
    </xf>
    <xf numFmtId="0" fontId="24" fillId="0" borderId="0" xfId="1" applyFont="1" applyAlignment="1">
      <alignment horizontal="left" vertical="center"/>
    </xf>
    <xf numFmtId="0" fontId="116" fillId="0" borderId="0" xfId="1" applyFont="1" applyAlignment="1">
      <alignment horizontal="center" vertical="center"/>
    </xf>
    <xf numFmtId="164" fontId="24" fillId="0" borderId="0" xfId="1" applyNumberFormat="1" applyFont="1" applyAlignment="1">
      <alignment horizontal="center"/>
    </xf>
    <xf numFmtId="2" fontId="24" fillId="0" borderId="74" xfId="1" applyNumberFormat="1" applyFont="1" applyBorder="1" applyAlignment="1">
      <alignment horizontal="center" vertical="center"/>
    </xf>
    <xf numFmtId="2" fontId="24" fillId="0" borderId="0" xfId="1" applyNumberFormat="1" applyFont="1" applyAlignment="1">
      <alignment horizontal="center"/>
    </xf>
    <xf numFmtId="0" fontId="23" fillId="0" borderId="0" xfId="1" applyFont="1" applyFill="1" applyAlignment="1">
      <alignment horizontal="center" vertical="center"/>
    </xf>
    <xf numFmtId="0" fontId="7" fillId="0" borderId="0" xfId="1" applyFill="1"/>
    <xf numFmtId="0" fontId="7" fillId="0" borderId="74" xfId="1" applyFill="1" applyBorder="1" applyAlignment="1">
      <alignment horizontal="center" vertical="center"/>
    </xf>
    <xf numFmtId="164" fontId="113" fillId="0" borderId="74" xfId="1" applyNumberFormat="1" applyFont="1" applyFill="1" applyBorder="1" applyAlignment="1">
      <alignment horizontal="center" vertical="center" wrapText="1"/>
    </xf>
    <xf numFmtId="164" fontId="113" fillId="0" borderId="0" xfId="1" applyNumberFormat="1" applyFont="1" applyFill="1" applyBorder="1" applyAlignment="1">
      <alignment horizontal="center" vertical="center" wrapText="1"/>
    </xf>
    <xf numFmtId="164" fontId="7" fillId="0" borderId="0" xfId="1" applyNumberFormat="1" applyFill="1" applyAlignment="1">
      <alignment horizontal="center"/>
    </xf>
    <xf numFmtId="164" fontId="7" fillId="0" borderId="0" xfId="1" applyNumberFormat="1" applyFill="1" applyAlignment="1">
      <alignment horizontal="center" vertical="center" wrapText="1"/>
    </xf>
    <xf numFmtId="164" fontId="22" fillId="0" borderId="0" xfId="1" applyNumberFormat="1" applyFont="1" applyFill="1" applyBorder="1" applyAlignment="1">
      <alignment horizontal="center" vertical="center" wrapText="1"/>
    </xf>
    <xf numFmtId="164" fontId="24" fillId="0" borderId="0" xfId="1" applyNumberFormat="1" applyFont="1" applyFill="1" applyAlignment="1">
      <alignment horizontal="center" vertical="center" wrapText="1"/>
    </xf>
    <xf numFmtId="0" fontId="24" fillId="0" borderId="0" xfId="1" applyFont="1" applyFill="1" applyAlignment="1">
      <alignment horizontal="center"/>
    </xf>
    <xf numFmtId="164" fontId="24" fillId="0" borderId="0" xfId="1" applyNumberFormat="1" applyFont="1" applyFill="1" applyAlignment="1">
      <alignment horizontal="center" vertical="center"/>
    </xf>
    <xf numFmtId="0" fontId="24" fillId="0" borderId="0" xfId="1" applyFont="1" applyFill="1"/>
    <xf numFmtId="164" fontId="7" fillId="0" borderId="0" xfId="1" applyNumberFormat="1" applyFill="1" applyAlignment="1">
      <alignment horizontal="center" vertical="center"/>
    </xf>
    <xf numFmtId="164" fontId="38" fillId="0" borderId="74" xfId="1" applyNumberFormat="1" applyFont="1" applyBorder="1" applyAlignment="1">
      <alignment horizontal="center" vertical="center"/>
    </xf>
    <xf numFmtId="0" fontId="38" fillId="0" borderId="74" xfId="1" applyFont="1" applyBorder="1" applyAlignment="1">
      <alignment horizontal="center"/>
    </xf>
    <xf numFmtId="164" fontId="38" fillId="0" borderId="70" xfId="1" applyNumberFormat="1" applyFont="1" applyBorder="1" applyAlignment="1">
      <alignment horizontal="center" vertical="center"/>
    </xf>
    <xf numFmtId="2" fontId="24" fillId="0" borderId="0" xfId="1" applyNumberFormat="1" applyFont="1" applyBorder="1" applyAlignment="1">
      <alignment horizontal="center" vertical="center"/>
    </xf>
    <xf numFmtId="164" fontId="38" fillId="0" borderId="0" xfId="1" applyNumberFormat="1" applyFont="1" applyBorder="1" applyAlignment="1">
      <alignment horizontal="center" vertical="center"/>
    </xf>
    <xf numFmtId="0" fontId="38" fillId="0" borderId="0" xfId="1" applyFont="1" applyBorder="1" applyAlignment="1">
      <alignment horizontal="center"/>
    </xf>
    <xf numFmtId="164" fontId="38" fillId="0" borderId="27" xfId="1" applyNumberFormat="1" applyFont="1" applyBorder="1" applyAlignment="1">
      <alignment horizontal="center" vertical="center"/>
    </xf>
    <xf numFmtId="2" fontId="24" fillId="0" borderId="53" xfId="1" applyNumberFormat="1" applyFont="1" applyBorder="1" applyAlignment="1">
      <alignment horizontal="center" vertical="center"/>
    </xf>
    <xf numFmtId="164" fontId="38" fillId="0" borderId="53" xfId="1" applyNumberFormat="1" applyFont="1" applyBorder="1" applyAlignment="1">
      <alignment horizontal="center" vertical="center"/>
    </xf>
    <xf numFmtId="0" fontId="38" fillId="0" borderId="53" xfId="1" applyFont="1" applyBorder="1" applyAlignment="1">
      <alignment horizontal="center"/>
    </xf>
    <xf numFmtId="164" fontId="38" fillId="0" borderId="72" xfId="1" applyNumberFormat="1" applyFont="1" applyBorder="1" applyAlignment="1">
      <alignment horizontal="center" vertical="center"/>
    </xf>
    <xf numFmtId="0" fontId="23" fillId="0" borderId="74" xfId="1" applyFont="1" applyBorder="1" applyAlignment="1">
      <alignment vertical="center"/>
    </xf>
    <xf numFmtId="0" fontId="7" fillId="0" borderId="74" xfId="1" applyBorder="1" applyAlignment="1">
      <alignment horizontal="center"/>
    </xf>
    <xf numFmtId="0" fontId="27" fillId="0" borderId="74" xfId="1" applyFont="1" applyBorder="1" applyAlignment="1">
      <alignment vertical="center"/>
    </xf>
    <xf numFmtId="0" fontId="47" fillId="0" borderId="74" xfId="1" applyFont="1" applyBorder="1" applyAlignment="1">
      <alignment horizontal="center" vertical="center"/>
    </xf>
    <xf numFmtId="0" fontId="47" fillId="0" borderId="70" xfId="1" applyFont="1" applyBorder="1" applyAlignment="1">
      <alignment horizontal="center" vertical="center"/>
    </xf>
    <xf numFmtId="0" fontId="23" fillId="0" borderId="53" xfId="1" applyFont="1" applyBorder="1" applyAlignment="1">
      <alignment horizontal="center" vertical="center"/>
    </xf>
    <xf numFmtId="0" fontId="7" fillId="0" borderId="53" xfId="1" applyBorder="1" applyAlignment="1">
      <alignment horizontal="center"/>
    </xf>
    <xf numFmtId="0" fontId="47" fillId="0" borderId="53" xfId="1" applyFont="1" applyBorder="1" applyAlignment="1">
      <alignment horizontal="center" vertical="center"/>
    </xf>
    <xf numFmtId="0" fontId="47" fillId="0" borderId="72" xfId="1" applyFont="1" applyBorder="1" applyAlignment="1">
      <alignment horizontal="center" vertical="center"/>
    </xf>
    <xf numFmtId="164" fontId="24" fillId="0" borderId="0" xfId="0" applyNumberFormat="1" applyFont="1" applyAlignment="1">
      <alignment vertical="center"/>
    </xf>
    <xf numFmtId="164" fontId="24" fillId="0" borderId="0" xfId="0" applyNumberFormat="1" applyFont="1" applyAlignment="1">
      <alignment horizontal="center"/>
    </xf>
    <xf numFmtId="164" fontId="22" fillId="0" borderId="0" xfId="1" applyNumberFormat="1" applyFont="1" applyFill="1" applyBorder="1" applyAlignment="1" applyProtection="1">
      <alignment horizontal="center" vertical="center"/>
      <protection locked="0"/>
    </xf>
    <xf numFmtId="0" fontId="24" fillId="0" borderId="0" xfId="1" applyFont="1" applyAlignment="1">
      <alignment horizontal="center" vertical="center"/>
    </xf>
    <xf numFmtId="0" fontId="24" fillId="0" borderId="0" xfId="1" applyFont="1" applyFill="1" applyAlignment="1">
      <alignment vertical="center"/>
    </xf>
    <xf numFmtId="9" fontId="7" fillId="5" borderId="0" xfId="1" applyNumberFormat="1" applyFill="1" applyAlignment="1">
      <alignment horizontal="center" vertical="center"/>
    </xf>
    <xf numFmtId="9" fontId="24" fillId="5" borderId="0" xfId="1" applyNumberFormat="1" applyFont="1" applyFill="1" applyAlignment="1" applyProtection="1">
      <alignment horizontal="center" vertical="center"/>
      <protection locked="0"/>
    </xf>
    <xf numFmtId="9" fontId="24" fillId="5" borderId="0" xfId="1" applyNumberFormat="1" applyFont="1" applyFill="1" applyAlignment="1">
      <alignment horizontal="center" vertical="center"/>
    </xf>
    <xf numFmtId="9" fontId="24" fillId="0" borderId="0" xfId="1" applyNumberFormat="1" applyFont="1" applyAlignment="1">
      <alignment vertical="center"/>
    </xf>
    <xf numFmtId="1" fontId="123" fillId="6" borderId="0" xfId="1" applyNumberFormat="1" applyFont="1" applyFill="1" applyAlignment="1" applyProtection="1">
      <alignment horizontal="center" vertical="center"/>
    </xf>
    <xf numFmtId="1" fontId="24" fillId="0" borderId="0" xfId="1" applyNumberFormat="1" applyFont="1" applyAlignment="1" applyProtection="1">
      <alignment horizontal="center" vertical="center"/>
    </xf>
    <xf numFmtId="0" fontId="7" fillId="21" borderId="24" xfId="0" applyFont="1" applyFill="1" applyBorder="1" applyAlignment="1" applyProtection="1">
      <alignment horizontal="center" vertical="center"/>
      <protection locked="0"/>
    </xf>
    <xf numFmtId="165" fontId="7" fillId="6" borderId="24" xfId="0" applyNumberFormat="1" applyFont="1" applyFill="1" applyBorder="1" applyAlignment="1" applyProtection="1">
      <alignment horizontal="center" vertical="center"/>
      <protection locked="0"/>
    </xf>
    <xf numFmtId="0" fontId="114" fillId="0" borderId="0" xfId="0" applyFont="1" applyFill="1" applyAlignment="1">
      <alignment horizontal="center"/>
    </xf>
    <xf numFmtId="9" fontId="9" fillId="0" borderId="0" xfId="0" applyNumberFormat="1" applyFont="1" applyFill="1" applyAlignment="1">
      <alignment horizontal="center" vertical="center"/>
    </xf>
    <xf numFmtId="0" fontId="124" fillId="0" borderId="0" xfId="0" applyFont="1" applyFill="1" applyAlignment="1">
      <alignment horizontal="center" vertical="center"/>
    </xf>
    <xf numFmtId="0" fontId="10" fillId="0" borderId="0" xfId="0" applyFont="1" applyFill="1" applyAlignment="1">
      <alignment horizontal="right" vertical="center"/>
    </xf>
    <xf numFmtId="0" fontId="7" fillId="0" borderId="0" xfId="0" applyFont="1" applyFill="1" applyAlignment="1">
      <alignment vertical="center"/>
    </xf>
    <xf numFmtId="164" fontId="24" fillId="8" borderId="24" xfId="0" applyNumberFormat="1" applyFont="1" applyFill="1" applyBorder="1" applyAlignment="1" applyProtection="1">
      <alignment horizontal="left" vertical="center" wrapText="1" indent="1"/>
      <protection locked="0"/>
    </xf>
    <xf numFmtId="164" fontId="24" fillId="7" borderId="24" xfId="0" applyNumberFormat="1" applyFont="1" applyFill="1" applyBorder="1" applyAlignment="1" applyProtection="1">
      <alignment horizontal="left" vertical="center" wrapText="1" indent="1"/>
      <protection locked="0"/>
    </xf>
    <xf numFmtId="164" fontId="24" fillId="11" borderId="24" xfId="0" applyNumberFormat="1" applyFont="1" applyFill="1" applyBorder="1" applyAlignment="1" applyProtection="1">
      <alignment horizontal="left" vertical="center" wrapText="1" indent="1"/>
      <protection locked="0"/>
    </xf>
    <xf numFmtId="164" fontId="24" fillId="9" borderId="24" xfId="0" applyNumberFormat="1" applyFont="1" applyFill="1" applyBorder="1" applyAlignment="1" applyProtection="1">
      <alignment horizontal="left" vertical="center" wrapText="1" indent="1"/>
      <protection locked="0"/>
    </xf>
    <xf numFmtId="164" fontId="24" fillId="10" borderId="24" xfId="0" applyNumberFormat="1" applyFont="1" applyFill="1" applyBorder="1" applyAlignment="1" applyProtection="1">
      <alignment horizontal="left" vertical="center" wrapText="1" indent="1"/>
      <protection locked="0"/>
    </xf>
    <xf numFmtId="0" fontId="3" fillId="0" borderId="99" xfId="11" applyBorder="1" applyProtection="1"/>
    <xf numFmtId="9" fontId="96" fillId="0" borderId="0" xfId="11" applyNumberFormat="1" applyFont="1" applyBorder="1" applyAlignment="1" applyProtection="1">
      <alignment horizontal="center" vertical="center"/>
    </xf>
    <xf numFmtId="0" fontId="3" fillId="0" borderId="0" xfId="11" applyProtection="1"/>
    <xf numFmtId="0" fontId="96" fillId="0" borderId="0" xfId="11" applyFont="1" applyProtection="1"/>
    <xf numFmtId="9" fontId="99" fillId="0" borderId="0" xfId="11" applyNumberFormat="1" applyFont="1" applyBorder="1" applyAlignment="1" applyProtection="1">
      <alignment horizontal="center" vertical="center"/>
    </xf>
    <xf numFmtId="0" fontId="2" fillId="0" borderId="0" xfId="11" applyFont="1" applyProtection="1"/>
    <xf numFmtId="0" fontId="3" fillId="0" borderId="0" xfId="11" applyAlignment="1" applyProtection="1">
      <alignment vertical="center"/>
    </xf>
    <xf numFmtId="0" fontId="2" fillId="0" borderId="0" xfId="11" applyFont="1" applyAlignment="1" applyProtection="1">
      <alignment vertical="center"/>
    </xf>
    <xf numFmtId="0" fontId="1" fillId="0" borderId="0" xfId="11" applyFont="1" applyAlignment="1" applyProtection="1">
      <alignment vertical="center"/>
    </xf>
    <xf numFmtId="0" fontId="96" fillId="0" borderId="0" xfId="11" applyFont="1" applyAlignment="1" applyProtection="1">
      <alignment vertical="center"/>
    </xf>
    <xf numFmtId="9" fontId="3" fillId="0" borderId="0" xfId="11" applyNumberFormat="1" applyAlignment="1" applyProtection="1">
      <alignment vertical="center"/>
    </xf>
    <xf numFmtId="0" fontId="98" fillId="24" borderId="105" xfId="11" applyFont="1" applyFill="1" applyBorder="1" applyAlignment="1" applyProtection="1">
      <alignment horizontal="left" vertical="center"/>
    </xf>
    <xf numFmtId="9" fontId="96" fillId="0" borderId="0" xfId="11" applyNumberFormat="1" applyFont="1" applyBorder="1" applyAlignment="1" applyProtection="1">
      <alignment vertical="center"/>
    </xf>
    <xf numFmtId="0" fontId="100" fillId="0" borderId="0" xfId="11" applyFont="1" applyAlignment="1" applyProtection="1">
      <alignment horizontal="left" vertical="center"/>
    </xf>
    <xf numFmtId="0" fontId="98" fillId="0" borderId="0" xfId="11" applyFont="1" applyAlignment="1" applyProtection="1">
      <alignment horizontal="center" vertical="center"/>
    </xf>
    <xf numFmtId="9" fontId="99" fillId="0" borderId="0" xfId="11" applyNumberFormat="1" applyFont="1" applyFill="1" applyBorder="1" applyAlignment="1" applyProtection="1">
      <alignment horizontal="center"/>
    </xf>
    <xf numFmtId="0" fontId="3" fillId="0" borderId="0" xfId="11" applyBorder="1" applyAlignment="1" applyProtection="1">
      <alignment vertical="center"/>
    </xf>
    <xf numFmtId="0" fontId="98" fillId="0" borderId="106" xfId="11" applyFont="1" applyBorder="1" applyAlignment="1" applyProtection="1">
      <alignment horizontal="center" vertical="center"/>
    </xf>
    <xf numFmtId="0" fontId="101" fillId="0" borderId="107" xfId="11" applyFont="1" applyBorder="1" applyAlignment="1" applyProtection="1">
      <alignment horizontal="left" vertical="center"/>
    </xf>
    <xf numFmtId="9" fontId="101" fillId="0" borderId="108" xfId="11" applyNumberFormat="1" applyFont="1" applyBorder="1" applyAlignment="1" applyProtection="1">
      <alignment horizontal="center" vertical="center"/>
    </xf>
    <xf numFmtId="0" fontId="99" fillId="0" borderId="0" xfId="11" applyFont="1" applyAlignment="1" applyProtection="1">
      <alignment horizontal="left" vertical="center"/>
    </xf>
    <xf numFmtId="9" fontId="100" fillId="0" borderId="0" xfId="11" applyNumberFormat="1" applyFont="1" applyAlignment="1" applyProtection="1">
      <alignment horizontal="center" vertical="center"/>
    </xf>
    <xf numFmtId="0" fontId="102" fillId="0" borderId="109" xfId="11" applyFont="1" applyBorder="1" applyAlignment="1" applyProtection="1">
      <alignment horizontal="left" vertical="center"/>
    </xf>
    <xf numFmtId="0" fontId="98" fillId="0" borderId="111" xfId="11" applyFont="1" applyBorder="1" applyAlignment="1" applyProtection="1">
      <alignment horizontal="center" vertical="center"/>
    </xf>
    <xf numFmtId="0" fontId="3" fillId="0" borderId="0" xfId="11" applyBorder="1" applyProtection="1"/>
    <xf numFmtId="0" fontId="105" fillId="0" borderId="112" xfId="11" applyFont="1" applyBorder="1" applyAlignment="1" applyProtection="1">
      <alignment horizontal="left" vertical="center"/>
    </xf>
    <xf numFmtId="0" fontId="107" fillId="0" borderId="0" xfId="11" applyFont="1" applyAlignment="1" applyProtection="1">
      <alignment horizontal="left"/>
    </xf>
    <xf numFmtId="0" fontId="108" fillId="0" borderId="114" xfId="11" applyFont="1" applyBorder="1" applyAlignment="1" applyProtection="1">
      <alignment horizontal="center" vertical="center"/>
    </xf>
    <xf numFmtId="9" fontId="105" fillId="0" borderId="0" xfId="11" applyNumberFormat="1" applyFont="1" applyBorder="1" applyAlignment="1" applyProtection="1">
      <alignment vertical="center"/>
    </xf>
    <xf numFmtId="9" fontId="98" fillId="0" borderId="0" xfId="11" applyNumberFormat="1" applyFont="1" applyBorder="1" applyAlignment="1" applyProtection="1">
      <alignment vertical="center"/>
    </xf>
    <xf numFmtId="0" fontId="105" fillId="0" borderId="0" xfId="11" applyFont="1" applyBorder="1" applyAlignment="1" applyProtection="1">
      <alignment vertical="center"/>
    </xf>
    <xf numFmtId="0" fontId="98" fillId="0" borderId="0" xfId="11" applyFont="1" applyBorder="1" applyAlignment="1" applyProtection="1">
      <alignment vertical="center"/>
    </xf>
    <xf numFmtId="0" fontId="105" fillId="0" borderId="0" xfId="11" applyFont="1" applyBorder="1" applyAlignment="1" applyProtection="1">
      <alignment horizontal="center" vertical="center"/>
    </xf>
    <xf numFmtId="0" fontId="3" fillId="0" borderId="0" xfId="11" applyAlignment="1" applyProtection="1">
      <alignment horizontal="center" vertical="center"/>
    </xf>
    <xf numFmtId="0" fontId="98" fillId="0" borderId="0" xfId="11" applyFont="1" applyAlignment="1" applyProtection="1">
      <alignment vertical="center"/>
    </xf>
    <xf numFmtId="9" fontId="99" fillId="0" borderId="12" xfId="11" applyNumberFormat="1" applyFont="1" applyFill="1" applyBorder="1" applyAlignment="1" applyProtection="1">
      <alignment horizontal="center"/>
    </xf>
    <xf numFmtId="0" fontId="115" fillId="0" borderId="0" xfId="11" applyFont="1" applyProtection="1"/>
    <xf numFmtId="0" fontId="98" fillId="0" borderId="45" xfId="11" applyFont="1" applyBorder="1" applyAlignment="1" applyProtection="1">
      <alignment horizontal="center" vertical="center"/>
    </xf>
    <xf numFmtId="0" fontId="98" fillId="0" borderId="12" xfId="11" applyFont="1" applyBorder="1" applyAlignment="1" applyProtection="1">
      <alignment horizontal="center" vertical="center"/>
    </xf>
    <xf numFmtId="0" fontId="98" fillId="0" borderId="46" xfId="11" applyFont="1" applyBorder="1" applyAlignment="1" applyProtection="1">
      <alignment horizontal="center" vertical="center"/>
    </xf>
    <xf numFmtId="0" fontId="98" fillId="0" borderId="13" xfId="11" applyFont="1" applyBorder="1" applyAlignment="1" applyProtection="1">
      <alignment horizontal="center" vertical="center"/>
    </xf>
    <xf numFmtId="0" fontId="110" fillId="12" borderId="44" xfId="11" applyFont="1" applyFill="1" applyBorder="1" applyAlignment="1" applyProtection="1">
      <alignment horizontal="center" vertical="center"/>
    </xf>
    <xf numFmtId="0" fontId="110" fillId="12" borderId="45" xfId="11" applyFont="1" applyFill="1" applyBorder="1" applyAlignment="1" applyProtection="1">
      <alignment horizontal="center" vertical="center"/>
    </xf>
    <xf numFmtId="0" fontId="112" fillId="37" borderId="46" xfId="11" applyFont="1" applyFill="1" applyBorder="1" applyAlignment="1" applyProtection="1">
      <alignment horizontal="center" vertical="center"/>
    </xf>
    <xf numFmtId="0" fontId="110" fillId="0" borderId="45" xfId="11" applyFont="1" applyFill="1" applyBorder="1" applyAlignment="1" applyProtection="1">
      <alignment horizontal="center" vertical="center"/>
    </xf>
    <xf numFmtId="0" fontId="110" fillId="0" borderId="12" xfId="11" applyFont="1" applyFill="1" applyBorder="1" applyAlignment="1" applyProtection="1">
      <alignment horizontal="center"/>
    </xf>
    <xf numFmtId="0" fontId="3" fillId="0" borderId="0" xfId="11" applyFill="1" applyProtection="1"/>
    <xf numFmtId="0" fontId="110" fillId="0" borderId="18" xfId="11" applyFont="1" applyFill="1" applyBorder="1" applyAlignment="1" applyProtection="1">
      <alignment horizontal="center" vertical="center"/>
    </xf>
    <xf numFmtId="0" fontId="3" fillId="0" borderId="0" xfId="11" applyFill="1" applyBorder="1" applyProtection="1"/>
    <xf numFmtId="0" fontId="110" fillId="26" borderId="44" xfId="11" applyFont="1" applyFill="1" applyBorder="1" applyAlignment="1" applyProtection="1">
      <alignment horizontal="center" vertical="center"/>
    </xf>
    <xf numFmtId="9" fontId="99" fillId="0" borderId="12" xfId="11" applyNumberFormat="1" applyFont="1" applyBorder="1" applyAlignment="1" applyProtection="1">
      <alignment horizontal="center" vertical="center"/>
    </xf>
    <xf numFmtId="0" fontId="112" fillId="36" borderId="46" xfId="11" applyFont="1" applyFill="1" applyBorder="1" applyAlignment="1" applyProtection="1">
      <alignment horizontal="center" vertical="center"/>
    </xf>
    <xf numFmtId="0" fontId="3" fillId="0" borderId="45" xfId="11" applyBorder="1" applyProtection="1"/>
    <xf numFmtId="0" fontId="3" fillId="0" borderId="12" xfId="11" applyBorder="1" applyProtection="1"/>
    <xf numFmtId="0" fontId="3" fillId="0" borderId="12" xfId="11" applyFill="1" applyBorder="1" applyAlignment="1" applyProtection="1">
      <alignment horizontal="center" vertical="center"/>
    </xf>
    <xf numFmtId="0" fontId="110" fillId="35" borderId="44" xfId="11" applyFont="1" applyFill="1" applyBorder="1" applyAlignment="1" applyProtection="1">
      <alignment horizontal="center" vertical="center"/>
    </xf>
    <xf numFmtId="0" fontId="112" fillId="38" borderId="46" xfId="11" applyFont="1" applyFill="1" applyBorder="1" applyAlignment="1" applyProtection="1">
      <alignment horizontal="center" vertical="center"/>
    </xf>
    <xf numFmtId="0" fontId="3" fillId="0" borderId="14" xfId="11" applyBorder="1" applyProtection="1"/>
    <xf numFmtId="0" fontId="100" fillId="0" borderId="0" xfId="11" applyFont="1" applyAlignment="1" applyProtection="1">
      <alignment horizontal="center"/>
    </xf>
    <xf numFmtId="0" fontId="100" fillId="0" borderId="0" xfId="11" applyFont="1" applyProtection="1"/>
    <xf numFmtId="0" fontId="125" fillId="0" borderId="0" xfId="0" applyFont="1" applyFill="1" applyAlignment="1">
      <alignment horizontal="center" vertical="center"/>
    </xf>
    <xf numFmtId="9" fontId="110" fillId="0" borderId="5" xfId="11" applyNumberFormat="1" applyFont="1" applyFill="1" applyBorder="1" applyAlignment="1" applyProtection="1">
      <alignment horizontal="center"/>
    </xf>
    <xf numFmtId="9" fontId="110" fillId="0" borderId="13" xfId="11" applyNumberFormat="1" applyFont="1" applyFill="1" applyBorder="1" applyAlignment="1" applyProtection="1">
      <alignment horizontal="center"/>
    </xf>
    <xf numFmtId="9" fontId="110" fillId="0" borderId="5" xfId="11" applyNumberFormat="1" applyFont="1" applyBorder="1" applyAlignment="1" applyProtection="1">
      <alignment horizontal="center" vertical="center"/>
    </xf>
    <xf numFmtId="9" fontId="110" fillId="0" borderId="13" xfId="11" applyNumberFormat="1" applyFont="1" applyBorder="1" applyAlignment="1" applyProtection="1">
      <alignment horizontal="center" vertical="center"/>
    </xf>
    <xf numFmtId="9" fontId="110" fillId="0" borderId="12" xfId="11" applyNumberFormat="1" applyFont="1" applyFill="1" applyBorder="1" applyAlignment="1" applyProtection="1">
      <alignment horizontal="center"/>
    </xf>
    <xf numFmtId="9" fontId="110" fillId="0" borderId="5" xfId="11" applyNumberFormat="1" applyFont="1" applyFill="1" applyBorder="1" applyAlignment="1" applyProtection="1">
      <alignment horizontal="center" vertical="center"/>
    </xf>
    <xf numFmtId="9" fontId="110" fillId="0" borderId="13" xfId="11" applyNumberFormat="1" applyFont="1" applyFill="1" applyBorder="1" applyAlignment="1" applyProtection="1">
      <alignment horizontal="center" vertical="center"/>
    </xf>
    <xf numFmtId="0" fontId="13" fillId="0" borderId="0" xfId="1" applyFont="1" applyAlignment="1">
      <alignment horizontal="center"/>
    </xf>
    <xf numFmtId="0" fontId="7" fillId="19" borderId="31" xfId="1" applyFill="1" applyBorder="1" applyAlignment="1" applyProtection="1">
      <alignment horizontal="center" vertical="center"/>
      <protection locked="0"/>
    </xf>
    <xf numFmtId="0" fontId="7" fillId="19" borderId="34" xfId="1" applyFill="1" applyBorder="1" applyAlignment="1" applyProtection="1">
      <alignment horizontal="center" vertical="center"/>
      <protection locked="0"/>
    </xf>
    <xf numFmtId="0" fontId="36" fillId="15" borderId="0" xfId="1" applyFont="1" applyFill="1" applyAlignment="1">
      <alignment horizontal="left" vertical="center"/>
    </xf>
    <xf numFmtId="0" fontId="36" fillId="16" borderId="0" xfId="1" applyFont="1" applyFill="1" applyAlignment="1">
      <alignment horizontal="left" vertical="center"/>
    </xf>
    <xf numFmtId="0" fontId="36" fillId="0" borderId="0" xfId="1" applyFont="1" applyAlignment="1">
      <alignment horizontal="left" vertical="center"/>
    </xf>
    <xf numFmtId="0" fontId="36" fillId="17" borderId="0" xfId="1" applyFont="1" applyFill="1" applyAlignment="1">
      <alignment horizontal="left" vertical="center"/>
    </xf>
    <xf numFmtId="164" fontId="15" fillId="0" borderId="0" xfId="1" applyNumberFormat="1" applyFont="1" applyAlignment="1">
      <alignment horizontal="left" vertical="center"/>
    </xf>
    <xf numFmtId="164" fontId="36" fillId="0" borderId="0" xfId="1" applyNumberFormat="1" applyFont="1" applyAlignment="1">
      <alignment horizontal="left" vertical="center"/>
    </xf>
    <xf numFmtId="0" fontId="10" fillId="0" borderId="0" xfId="1" applyFont="1"/>
    <xf numFmtId="0" fontId="117" fillId="0" borderId="0" xfId="1" applyFont="1"/>
    <xf numFmtId="0" fontId="77" fillId="0" borderId="0" xfId="1" applyFont="1"/>
    <xf numFmtId="0" fontId="129" fillId="0" borderId="0" xfId="1" applyFont="1"/>
    <xf numFmtId="0" fontId="84" fillId="3" borderId="16" xfId="0" applyFont="1" applyFill="1" applyBorder="1" applyAlignment="1" applyProtection="1">
      <alignment horizontal="center" vertical="center"/>
    </xf>
    <xf numFmtId="0" fontId="84" fillId="3" borderId="17" xfId="0" applyFont="1" applyFill="1" applyBorder="1" applyAlignment="1" applyProtection="1">
      <alignment horizontal="center" vertical="center"/>
    </xf>
    <xf numFmtId="0" fontId="84" fillId="3" borderId="18" xfId="0" applyFont="1" applyFill="1" applyBorder="1" applyAlignment="1" applyProtection="1">
      <alignment horizontal="center" vertical="center"/>
    </xf>
    <xf numFmtId="0" fontId="10" fillId="22" borderId="44" xfId="0" applyFont="1" applyFill="1" applyBorder="1" applyAlignment="1">
      <alignment horizontal="center" vertical="center" wrapText="1"/>
    </xf>
    <xf numFmtId="0" fontId="10" fillId="22" borderId="14" xfId="0" applyFont="1" applyFill="1" applyBorder="1" applyAlignment="1">
      <alignment horizontal="center" vertical="center" wrapText="1"/>
    </xf>
    <xf numFmtId="0" fontId="10" fillId="22" borderId="5" xfId="0" applyFont="1" applyFill="1" applyBorder="1" applyAlignment="1">
      <alignment horizontal="center" vertical="center" wrapText="1"/>
    </xf>
    <xf numFmtId="0" fontId="10" fillId="22" borderId="45" xfId="0" applyFont="1" applyFill="1" applyBorder="1" applyAlignment="1">
      <alignment horizontal="center" vertical="center" wrapText="1"/>
    </xf>
    <xf numFmtId="0" fontId="10" fillId="22" borderId="0" xfId="0" applyFont="1" applyFill="1" applyBorder="1" applyAlignment="1">
      <alignment horizontal="center" vertical="center" wrapText="1"/>
    </xf>
    <xf numFmtId="0" fontId="10" fillId="22" borderId="12" xfId="0" applyFont="1" applyFill="1" applyBorder="1" applyAlignment="1">
      <alignment horizontal="center" vertical="center" wrapText="1"/>
    </xf>
    <xf numFmtId="0" fontId="10" fillId="22" borderId="46" xfId="0" applyFont="1" applyFill="1" applyBorder="1" applyAlignment="1">
      <alignment horizontal="center" vertical="center" wrapText="1"/>
    </xf>
    <xf numFmtId="0" fontId="10" fillId="22" borderId="15" xfId="0" applyFont="1" applyFill="1" applyBorder="1" applyAlignment="1">
      <alignment horizontal="center" vertical="center" wrapText="1"/>
    </xf>
    <xf numFmtId="0" fontId="10" fillId="22" borderId="13" xfId="0" applyFont="1" applyFill="1" applyBorder="1" applyAlignment="1">
      <alignment horizontal="center" vertical="center" wrapText="1"/>
    </xf>
    <xf numFmtId="0" fontId="96" fillId="0" borderId="0" xfId="11" applyFont="1" applyAlignment="1" applyProtection="1">
      <alignment horizontal="center" vertical="center"/>
    </xf>
    <xf numFmtId="0" fontId="98" fillId="0" borderId="44" xfId="11" applyFont="1" applyBorder="1" applyAlignment="1" applyProtection="1">
      <alignment horizontal="center"/>
    </xf>
    <xf numFmtId="0" fontId="98" fillId="0" borderId="5" xfId="11" applyFont="1" applyBorder="1" applyAlignment="1" applyProtection="1">
      <alignment horizontal="center"/>
    </xf>
    <xf numFmtId="0" fontId="111" fillId="0" borderId="0" xfId="11" applyFont="1" applyAlignment="1" applyProtection="1">
      <alignment horizontal="center"/>
    </xf>
    <xf numFmtId="0" fontId="98" fillId="6" borderId="100" xfId="11" applyFont="1" applyFill="1" applyBorder="1" applyAlignment="1" applyProtection="1">
      <alignment horizontal="center" vertical="center"/>
      <protection locked="0"/>
    </xf>
    <xf numFmtId="0" fontId="98" fillId="6" borderId="101" xfId="11" applyFont="1" applyFill="1" applyBorder="1" applyAlignment="1" applyProtection="1">
      <alignment horizontal="center" vertical="center"/>
      <protection locked="0"/>
    </xf>
    <xf numFmtId="0" fontId="98" fillId="6" borderId="102" xfId="11" applyFont="1" applyFill="1" applyBorder="1" applyAlignment="1" applyProtection="1">
      <alignment horizontal="center" vertical="center"/>
      <protection locked="0"/>
    </xf>
    <xf numFmtId="0" fontId="98" fillId="6" borderId="103" xfId="11" applyFont="1" applyFill="1" applyBorder="1" applyAlignment="1" applyProtection="1">
      <alignment horizontal="center" vertical="center"/>
      <protection locked="0"/>
    </xf>
    <xf numFmtId="0" fontId="98" fillId="0" borderId="104" xfId="11" applyFont="1" applyBorder="1" applyAlignment="1" applyProtection="1">
      <alignment horizontal="center"/>
    </xf>
    <xf numFmtId="0" fontId="112" fillId="36" borderId="3" xfId="11" applyFont="1" applyFill="1" applyBorder="1" applyAlignment="1" applyProtection="1">
      <alignment horizontal="center" vertical="center"/>
    </xf>
    <xf numFmtId="0" fontId="112" fillId="36" borderId="24" xfId="11" applyFont="1" applyFill="1" applyBorder="1" applyAlignment="1" applyProtection="1">
      <alignment horizontal="center" vertical="center"/>
    </xf>
    <xf numFmtId="0" fontId="112" fillId="36" borderId="6" xfId="11" applyFont="1" applyFill="1" applyBorder="1" applyAlignment="1" applyProtection="1">
      <alignment horizontal="center" vertical="center"/>
    </xf>
    <xf numFmtId="0" fontId="3" fillId="0" borderId="37" xfId="11" applyBorder="1" applyAlignment="1" applyProtection="1">
      <alignment horizontal="center"/>
    </xf>
    <xf numFmtId="0" fontId="3" fillId="0" borderId="26" xfId="11" applyBorder="1" applyAlignment="1" applyProtection="1">
      <alignment horizontal="center"/>
    </xf>
    <xf numFmtId="0" fontId="3" fillId="0" borderId="32" xfId="11" applyBorder="1" applyAlignment="1" applyProtection="1">
      <alignment horizontal="center"/>
    </xf>
    <xf numFmtId="0" fontId="110" fillId="35" borderId="3" xfId="11" applyFont="1" applyFill="1" applyBorder="1" applyAlignment="1" applyProtection="1">
      <alignment horizontal="center" vertical="center"/>
    </xf>
    <xf numFmtId="0" fontId="110" fillId="35" borderId="24" xfId="11" applyFont="1" applyFill="1" applyBorder="1" applyAlignment="1" applyProtection="1">
      <alignment horizontal="center" vertical="center"/>
    </xf>
    <xf numFmtId="0" fontId="110" fillId="35" borderId="6" xfId="11" applyFont="1" applyFill="1" applyBorder="1" applyAlignment="1" applyProtection="1">
      <alignment horizontal="center" vertical="center"/>
    </xf>
    <xf numFmtId="0" fontId="112" fillId="38" borderId="4" xfId="11" applyFont="1" applyFill="1" applyBorder="1" applyAlignment="1" applyProtection="1">
      <alignment horizontal="center" vertical="center"/>
    </xf>
    <xf numFmtId="0" fontId="112" fillId="38" borderId="19" xfId="11" applyFont="1" applyFill="1" applyBorder="1" applyAlignment="1" applyProtection="1">
      <alignment horizontal="center" vertical="center"/>
    </xf>
    <xf numFmtId="0" fontId="112" fillId="38" borderId="7" xfId="11" applyFont="1" applyFill="1" applyBorder="1" applyAlignment="1" applyProtection="1">
      <alignment horizontal="center" vertical="center"/>
    </xf>
    <xf numFmtId="0" fontId="98" fillId="0" borderId="1" xfId="11" applyFont="1" applyBorder="1" applyAlignment="1" applyProtection="1">
      <alignment horizontal="center" vertical="center"/>
    </xf>
    <xf numFmtId="0" fontId="98" fillId="0" borderId="8" xfId="11" applyFont="1" applyBorder="1" applyAlignment="1" applyProtection="1">
      <alignment horizontal="center" vertical="center"/>
    </xf>
    <xf numFmtId="0" fontId="98" fillId="0" borderId="20" xfId="11" applyFont="1" applyBorder="1" applyAlignment="1" applyProtection="1">
      <alignment horizontal="center" vertical="center"/>
    </xf>
    <xf numFmtId="0" fontId="110" fillId="12" borderId="3" xfId="11" applyFont="1" applyFill="1" applyBorder="1" applyAlignment="1" applyProtection="1">
      <alignment horizontal="center" vertical="center"/>
    </xf>
    <xf numFmtId="0" fontId="110" fillId="12" borderId="24" xfId="11" applyFont="1" applyFill="1" applyBorder="1" applyAlignment="1" applyProtection="1">
      <alignment horizontal="center" vertical="center"/>
    </xf>
    <xf numFmtId="0" fontId="110" fillId="12" borderId="6" xfId="11" applyFont="1" applyFill="1" applyBorder="1" applyAlignment="1" applyProtection="1">
      <alignment horizontal="center" vertical="center"/>
    </xf>
    <xf numFmtId="0" fontId="112" fillId="37" borderId="3" xfId="11" applyFont="1" applyFill="1" applyBorder="1" applyAlignment="1" applyProtection="1">
      <alignment horizontal="center" vertical="center"/>
    </xf>
    <xf numFmtId="0" fontId="112" fillId="37" borderId="24" xfId="11" applyFont="1" applyFill="1" applyBorder="1" applyAlignment="1" applyProtection="1">
      <alignment horizontal="center" vertical="center"/>
    </xf>
    <xf numFmtId="0" fontId="112" fillId="37" borderId="6" xfId="11" applyFont="1" applyFill="1" applyBorder="1" applyAlignment="1" applyProtection="1">
      <alignment horizontal="center" vertical="center"/>
    </xf>
    <xf numFmtId="0" fontId="110" fillId="0" borderId="37" xfId="11" applyFont="1" applyBorder="1" applyAlignment="1" applyProtection="1">
      <alignment horizontal="center" vertical="center"/>
    </xf>
    <xf numFmtId="0" fontId="110" fillId="0" borderId="26" xfId="11" applyFont="1" applyBorder="1" applyAlignment="1" applyProtection="1">
      <alignment horizontal="center" vertical="center"/>
    </xf>
    <xf numFmtId="0" fontId="110" fillId="0" borderId="32" xfId="11" applyFont="1" applyBorder="1" applyAlignment="1" applyProtection="1">
      <alignment horizontal="center" vertical="center"/>
    </xf>
    <xf numFmtId="0" fontId="110" fillId="26" borderId="3" xfId="11" applyFont="1" applyFill="1" applyBorder="1" applyAlignment="1" applyProtection="1">
      <alignment horizontal="center" vertical="center"/>
    </xf>
    <xf numFmtId="0" fontId="110" fillId="26" borderId="24" xfId="11" applyFont="1" applyFill="1" applyBorder="1" applyAlignment="1" applyProtection="1">
      <alignment horizontal="center" vertical="center"/>
    </xf>
    <xf numFmtId="0" fontId="110" fillId="26" borderId="6" xfId="11" applyFont="1" applyFill="1" applyBorder="1" applyAlignment="1" applyProtection="1">
      <alignment horizontal="center" vertical="center"/>
    </xf>
    <xf numFmtId="0" fontId="35" fillId="4" borderId="10" xfId="1" applyFont="1" applyFill="1" applyBorder="1" applyAlignment="1">
      <alignment horizontal="center"/>
    </xf>
    <xf numFmtId="0" fontId="35" fillId="4" borderId="25" xfId="1" applyFont="1" applyFill="1" applyBorder="1" applyAlignment="1">
      <alignment horizontal="center"/>
    </xf>
    <xf numFmtId="0" fontId="53" fillId="0" borderId="44" xfId="1" applyFont="1" applyBorder="1" applyAlignment="1">
      <alignment horizontal="center" vertical="center" textRotation="90"/>
    </xf>
    <xf numFmtId="0" fontId="53" fillId="0" borderId="5" xfId="1" applyFont="1" applyBorder="1" applyAlignment="1">
      <alignment horizontal="center" vertical="center" textRotation="90"/>
    </xf>
    <xf numFmtId="0" fontId="53" fillId="0" borderId="45" xfId="1" applyFont="1" applyBorder="1" applyAlignment="1">
      <alignment horizontal="center" vertical="center" textRotation="90"/>
    </xf>
    <xf numFmtId="0" fontId="53" fillId="0" borderId="12" xfId="1" applyFont="1" applyBorder="1" applyAlignment="1">
      <alignment horizontal="center" vertical="center" textRotation="90"/>
    </xf>
    <xf numFmtId="0" fontId="53" fillId="0" borderId="46" xfId="1" applyFont="1" applyBorder="1" applyAlignment="1">
      <alignment horizontal="center" vertical="center" textRotation="90"/>
    </xf>
    <xf numFmtId="0" fontId="53" fillId="0" borderId="13" xfId="1" applyFont="1" applyBorder="1" applyAlignment="1">
      <alignment horizontal="center" vertical="center" textRotation="90"/>
    </xf>
    <xf numFmtId="0" fontId="53" fillId="0" borderId="48" xfId="1" applyFont="1" applyBorder="1" applyAlignment="1">
      <alignment horizontal="center"/>
    </xf>
    <xf numFmtId="0" fontId="53" fillId="0" borderId="17" xfId="1" applyFont="1" applyBorder="1" applyAlignment="1">
      <alignment horizontal="center"/>
    </xf>
    <xf numFmtId="0" fontId="53" fillId="0" borderId="49" xfId="1" applyFont="1" applyBorder="1" applyAlignment="1">
      <alignment horizontal="center"/>
    </xf>
    <xf numFmtId="0" fontId="57" fillId="0" borderId="44" xfId="1" applyFont="1" applyBorder="1" applyAlignment="1">
      <alignment horizontal="left" vertical="top"/>
    </xf>
    <xf numFmtId="0" fontId="57" fillId="0" borderId="14" xfId="1" applyFont="1" applyBorder="1" applyAlignment="1">
      <alignment horizontal="left" vertical="top"/>
    </xf>
    <xf numFmtId="0" fontId="57" fillId="0" borderId="5" xfId="1" applyFont="1" applyBorder="1" applyAlignment="1">
      <alignment horizontal="left" vertical="top"/>
    </xf>
    <xf numFmtId="0" fontId="57" fillId="0" borderId="45" xfId="1" applyFont="1" applyBorder="1" applyAlignment="1">
      <alignment horizontal="left" vertical="top"/>
    </xf>
    <xf numFmtId="0" fontId="57" fillId="0" borderId="0" xfId="1" applyFont="1" applyBorder="1" applyAlignment="1">
      <alignment horizontal="left" vertical="top"/>
    </xf>
    <xf numFmtId="0" fontId="57" fillId="0" borderId="12" xfId="1" applyFont="1" applyBorder="1" applyAlignment="1">
      <alignment horizontal="left" vertical="top"/>
    </xf>
    <xf numFmtId="0" fontId="57" fillId="0" borderId="46" xfId="1" applyFont="1" applyBorder="1" applyAlignment="1">
      <alignment horizontal="left" vertical="top"/>
    </xf>
    <xf numFmtId="0" fontId="57" fillId="0" borderId="15" xfId="1" applyFont="1" applyBorder="1" applyAlignment="1">
      <alignment horizontal="left" vertical="top"/>
    </xf>
    <xf numFmtId="0" fontId="57" fillId="0" borderId="13" xfId="1" applyFont="1" applyBorder="1" applyAlignment="1">
      <alignment horizontal="left" vertical="top"/>
    </xf>
    <xf numFmtId="0" fontId="95" fillId="22" borderId="48" xfId="1" applyFont="1" applyFill="1" applyBorder="1" applyAlignment="1">
      <alignment horizontal="center"/>
    </xf>
    <xf numFmtId="0" fontId="95" fillId="22" borderId="17" xfId="1" applyFont="1" applyFill="1" applyBorder="1" applyAlignment="1">
      <alignment horizontal="center"/>
    </xf>
    <xf numFmtId="0" fontId="57" fillId="0" borderId="44" xfId="1" applyFont="1" applyBorder="1" applyAlignment="1">
      <alignment horizontal="left" vertical="top" wrapText="1"/>
    </xf>
    <xf numFmtId="0" fontId="56" fillId="0" borderId="44" xfId="1" applyFont="1" applyBorder="1" applyAlignment="1">
      <alignment horizontal="left" vertical="top"/>
    </xf>
    <xf numFmtId="0" fontId="56" fillId="0" borderId="14" xfId="1" applyFont="1" applyBorder="1" applyAlignment="1">
      <alignment horizontal="left" vertical="top"/>
    </xf>
    <xf numFmtId="0" fontId="56" fillId="0" borderId="5" xfId="1" applyFont="1" applyBorder="1" applyAlignment="1">
      <alignment horizontal="left" vertical="top"/>
    </xf>
    <xf numFmtId="0" fontId="56" fillId="0" borderId="45" xfId="1" applyFont="1" applyBorder="1" applyAlignment="1">
      <alignment horizontal="left" vertical="top"/>
    </xf>
    <xf numFmtId="0" fontId="56" fillId="0" borderId="0" xfId="1" applyFont="1" applyBorder="1" applyAlignment="1">
      <alignment horizontal="left" vertical="top"/>
    </xf>
    <xf numFmtId="0" fontId="56" fillId="0" borderId="12" xfId="1" applyFont="1" applyBorder="1" applyAlignment="1">
      <alignment horizontal="left" vertical="top"/>
    </xf>
    <xf numFmtId="0" fontId="56" fillId="0" borderId="46" xfId="1" applyFont="1" applyBorder="1" applyAlignment="1">
      <alignment horizontal="left" vertical="top"/>
    </xf>
    <xf numFmtId="0" fontId="56" fillId="0" borderId="15" xfId="1" applyFont="1" applyBorder="1" applyAlignment="1">
      <alignment horizontal="left" vertical="top"/>
    </xf>
    <xf numFmtId="0" fontId="56" fillId="0" borderId="13" xfId="1" applyFont="1" applyBorder="1" applyAlignment="1">
      <alignment horizontal="left" vertical="top"/>
    </xf>
    <xf numFmtId="0" fontId="57" fillId="0" borderId="14" xfId="1" applyFont="1" applyBorder="1" applyAlignment="1">
      <alignment horizontal="left" vertical="top" wrapText="1"/>
    </xf>
    <xf numFmtId="0" fontId="58" fillId="4" borderId="10" xfId="1" applyFont="1" applyFill="1" applyBorder="1" applyAlignment="1">
      <alignment horizontal="center"/>
    </xf>
    <xf numFmtId="0" fontId="58" fillId="4" borderId="25" xfId="1" applyFont="1" applyFill="1" applyBorder="1" applyAlignment="1">
      <alignment horizontal="center"/>
    </xf>
    <xf numFmtId="0" fontId="13" fillId="0" borderId="0" xfId="1" applyFont="1" applyAlignment="1">
      <alignment horizontal="center"/>
    </xf>
    <xf numFmtId="0" fontId="13" fillId="0" borderId="10" xfId="1" applyFont="1" applyBorder="1" applyAlignment="1">
      <alignment horizontal="center"/>
    </xf>
    <xf numFmtId="0" fontId="13" fillId="0" borderId="26" xfId="1" applyFont="1" applyBorder="1" applyAlignment="1">
      <alignment horizontal="center"/>
    </xf>
    <xf numFmtId="0" fontId="13" fillId="0" borderId="25" xfId="1" applyFont="1" applyBorder="1" applyAlignment="1">
      <alignment horizontal="center"/>
    </xf>
    <xf numFmtId="0" fontId="58" fillId="3" borderId="10" xfId="1" applyFont="1" applyFill="1" applyBorder="1" applyAlignment="1" applyProtection="1">
      <alignment horizontal="center"/>
      <protection locked="0"/>
    </xf>
    <xf numFmtId="0" fontId="58" fillId="3" borderId="26" xfId="1" applyFont="1" applyFill="1" applyBorder="1" applyAlignment="1" applyProtection="1">
      <alignment horizontal="center"/>
      <protection locked="0"/>
    </xf>
    <xf numFmtId="0" fontId="18" fillId="0" borderId="74" xfId="1" applyFont="1" applyBorder="1" applyAlignment="1">
      <alignment horizontal="center" vertical="center"/>
    </xf>
    <xf numFmtId="0" fontId="127" fillId="0" borderId="0" xfId="1" applyFont="1" applyAlignment="1">
      <alignment horizontal="center"/>
    </xf>
    <xf numFmtId="0" fontId="36" fillId="15" borderId="0" xfId="1" applyFont="1" applyFill="1" applyAlignment="1">
      <alignment horizontal="center" vertical="center"/>
    </xf>
    <xf numFmtId="0" fontId="36" fillId="39" borderId="0" xfId="1" applyFont="1" applyFill="1" applyAlignment="1">
      <alignment horizontal="center" vertical="center"/>
    </xf>
    <xf numFmtId="0" fontId="13" fillId="0" borderId="24" xfId="1" applyFont="1" applyBorder="1" applyAlignment="1">
      <alignment horizontal="center"/>
    </xf>
    <xf numFmtId="0" fontId="13" fillId="3" borderId="10" xfId="1" applyFont="1" applyFill="1" applyBorder="1" applyAlignment="1" applyProtection="1">
      <alignment horizontal="center"/>
      <protection locked="0"/>
    </xf>
    <xf numFmtId="0" fontId="13" fillId="3" borderId="26" xfId="1" applyFont="1" applyFill="1" applyBorder="1" applyAlignment="1" applyProtection="1">
      <alignment horizontal="center"/>
      <protection locked="0"/>
    </xf>
    <xf numFmtId="0" fontId="13" fillId="3" borderId="25" xfId="1" applyFont="1" applyFill="1" applyBorder="1" applyAlignment="1" applyProtection="1">
      <alignment horizontal="center"/>
      <protection locked="0"/>
    </xf>
    <xf numFmtId="0" fontId="24" fillId="0" borderId="0" xfId="1" applyFont="1" applyAlignment="1">
      <alignment horizontal="center" vertical="center"/>
    </xf>
    <xf numFmtId="0" fontId="24" fillId="0" borderId="0" xfId="1" applyFont="1" applyAlignment="1">
      <alignment horizontal="center"/>
    </xf>
    <xf numFmtId="0" fontId="23" fillId="3" borderId="0" xfId="1" applyFont="1" applyFill="1" applyAlignment="1">
      <alignment horizontal="center" vertical="center"/>
    </xf>
    <xf numFmtId="0" fontId="17" fillId="20" borderId="0" xfId="1" applyFont="1" applyFill="1" applyAlignment="1">
      <alignment horizontal="center" vertical="center"/>
    </xf>
    <xf numFmtId="0" fontId="17" fillId="21" borderId="0" xfId="1" applyFont="1" applyFill="1" applyAlignment="1">
      <alignment horizontal="center" vertical="center"/>
    </xf>
    <xf numFmtId="0" fontId="23" fillId="0" borderId="69" xfId="1" applyFont="1" applyFill="1" applyBorder="1" applyAlignment="1">
      <alignment horizontal="center" vertical="center"/>
    </xf>
    <xf numFmtId="0" fontId="23" fillId="0" borderId="74" xfId="1" applyFont="1" applyFill="1" applyBorder="1" applyAlignment="1">
      <alignment horizontal="center" vertical="center"/>
    </xf>
    <xf numFmtId="0" fontId="18" fillId="0" borderId="71" xfId="1" applyFont="1" applyBorder="1" applyAlignment="1">
      <alignment horizontal="center" vertical="center"/>
    </xf>
    <xf numFmtId="0" fontId="18" fillId="0" borderId="53" xfId="1" applyFont="1" applyBorder="1" applyAlignment="1">
      <alignment horizontal="center" vertical="center"/>
    </xf>
    <xf numFmtId="0" fontId="49" fillId="12" borderId="0" xfId="1" applyFont="1" applyFill="1" applyAlignment="1">
      <alignment horizontal="center" vertical="center"/>
    </xf>
    <xf numFmtId="0" fontId="19" fillId="0" borderId="10" xfId="1" applyFont="1" applyBorder="1" applyAlignment="1">
      <alignment horizontal="center" vertical="center"/>
    </xf>
    <xf numFmtId="0" fontId="19" fillId="0" borderId="25" xfId="1" applyFont="1" applyBorder="1" applyAlignment="1">
      <alignment horizontal="center" vertical="center"/>
    </xf>
    <xf numFmtId="0" fontId="24" fillId="0" borderId="69" xfId="1" applyFont="1" applyBorder="1" applyAlignment="1">
      <alignment horizontal="left" vertical="center"/>
    </xf>
    <xf numFmtId="0" fontId="24" fillId="0" borderId="74" xfId="1" applyFont="1" applyBorder="1" applyAlignment="1">
      <alignment horizontal="left" vertical="center"/>
    </xf>
    <xf numFmtId="0" fontId="24" fillId="0" borderId="62" xfId="1" applyFont="1" applyBorder="1" applyAlignment="1">
      <alignment horizontal="left" vertical="center"/>
    </xf>
    <xf numFmtId="0" fontId="24" fillId="0" borderId="0" xfId="1" applyFont="1" applyBorder="1" applyAlignment="1">
      <alignment horizontal="left" vertical="center"/>
    </xf>
    <xf numFmtId="0" fontId="24" fillId="0" borderId="71" xfId="1" applyFont="1" applyBorder="1" applyAlignment="1">
      <alignment horizontal="left" vertical="center"/>
    </xf>
    <xf numFmtId="0" fontId="24" fillId="0" borderId="53" xfId="1" applyFont="1" applyBorder="1" applyAlignment="1">
      <alignment horizontal="left" vertical="center"/>
    </xf>
    <xf numFmtId="0" fontId="7" fillId="3" borderId="10" xfId="1" applyFill="1" applyBorder="1" applyAlignment="1">
      <alignment horizontal="center" vertical="center"/>
    </xf>
    <xf numFmtId="0" fontId="7" fillId="3" borderId="25" xfId="1" applyFill="1" applyBorder="1" applyAlignment="1">
      <alignment horizontal="center" vertical="center"/>
    </xf>
    <xf numFmtId="0" fontId="117" fillId="0" borderId="116" xfId="1" applyFont="1" applyBorder="1" applyAlignment="1">
      <alignment horizontal="center" vertical="center"/>
    </xf>
    <xf numFmtId="0" fontId="7" fillId="0" borderId="0" xfId="1" applyAlignment="1">
      <alignment horizontal="center"/>
    </xf>
    <xf numFmtId="0" fontId="7" fillId="6" borderId="80" xfId="1" applyFill="1" applyBorder="1" applyAlignment="1" applyProtection="1">
      <alignment horizontal="center" textRotation="90"/>
      <protection locked="0"/>
    </xf>
    <xf numFmtId="0" fontId="7" fillId="6" borderId="81" xfId="1" applyFill="1" applyBorder="1" applyAlignment="1" applyProtection="1">
      <alignment horizontal="center" textRotation="90"/>
      <protection locked="0"/>
    </xf>
    <xf numFmtId="0" fontId="7" fillId="6" borderId="82" xfId="1" applyFill="1" applyBorder="1" applyAlignment="1" applyProtection="1">
      <alignment horizontal="center" textRotation="90"/>
      <protection locked="0"/>
    </xf>
    <xf numFmtId="0" fontId="7" fillId="22" borderId="83" xfId="1" applyFill="1" applyBorder="1" applyAlignment="1">
      <alignment horizontal="center" vertical="center"/>
    </xf>
    <xf numFmtId="0" fontId="7" fillId="22" borderId="26" xfId="1" applyFill="1" applyBorder="1" applyAlignment="1">
      <alignment horizontal="center" vertical="center"/>
    </xf>
    <xf numFmtId="0" fontId="7" fillId="22" borderId="26" xfId="1" applyFill="1" applyBorder="1" applyAlignment="1">
      <alignment horizontal="center"/>
    </xf>
    <xf numFmtId="0" fontId="7" fillId="22" borderId="84" xfId="1" applyFill="1" applyBorder="1" applyAlignment="1">
      <alignment horizontal="center"/>
    </xf>
    <xf numFmtId="0" fontId="7" fillId="6" borderId="33" xfId="1" applyFill="1" applyBorder="1" applyAlignment="1" applyProtection="1">
      <alignment horizontal="center" textRotation="90"/>
      <protection locked="0"/>
    </xf>
    <xf numFmtId="0" fontId="7" fillId="6" borderId="24" xfId="1" applyFill="1" applyBorder="1" applyAlignment="1" applyProtection="1">
      <alignment horizontal="center" textRotation="90"/>
      <protection locked="0"/>
    </xf>
    <xf numFmtId="0" fontId="7" fillId="6" borderId="30" xfId="1" applyFill="1" applyBorder="1" applyAlignment="1" applyProtection="1">
      <alignment horizontal="center" textRotation="90"/>
      <protection locked="0"/>
    </xf>
    <xf numFmtId="0" fontId="7" fillId="22" borderId="76" xfId="1" applyFill="1" applyBorder="1" applyAlignment="1">
      <alignment horizontal="center" vertical="center"/>
    </xf>
    <xf numFmtId="0" fontId="7" fillId="22" borderId="77" xfId="1" applyFill="1" applyBorder="1" applyAlignment="1">
      <alignment horizontal="center" vertical="center"/>
    </xf>
    <xf numFmtId="0" fontId="7" fillId="22" borderId="77" xfId="1" applyFill="1" applyBorder="1" applyAlignment="1">
      <alignment horizontal="center"/>
    </xf>
    <xf numFmtId="0" fontId="7" fillId="22" borderId="78" xfId="1" applyFill="1" applyBorder="1" applyAlignment="1">
      <alignment horizontal="center"/>
    </xf>
    <xf numFmtId="0" fontId="7" fillId="0" borderId="90" xfId="1" applyBorder="1" applyAlignment="1">
      <alignment horizontal="left" vertical="center"/>
    </xf>
    <xf numFmtId="0" fontId="7" fillId="0" borderId="91" xfId="1" applyBorder="1" applyAlignment="1">
      <alignment horizontal="center" vertical="center" textRotation="90" wrapText="1"/>
    </xf>
    <xf numFmtId="0" fontId="7" fillId="0" borderId="94" xfId="1" applyBorder="1" applyAlignment="1">
      <alignment horizontal="center" vertical="center" textRotation="90"/>
    </xf>
    <xf numFmtId="0" fontId="7" fillId="0" borderId="98" xfId="1" applyBorder="1" applyAlignment="1">
      <alignment horizontal="center" vertical="center" textRotation="90"/>
    </xf>
    <xf numFmtId="0" fontId="7" fillId="0" borderId="92" xfId="1" applyBorder="1" applyAlignment="1">
      <alignment horizontal="left" vertical="center"/>
    </xf>
    <xf numFmtId="0" fontId="7" fillId="0" borderId="0" xfId="1" applyAlignment="1">
      <alignment horizontal="left" vertical="center"/>
    </xf>
    <xf numFmtId="0" fontId="7" fillId="0" borderId="95" xfId="1" applyBorder="1" applyAlignment="1">
      <alignment horizontal="left" vertical="center"/>
    </xf>
    <xf numFmtId="0" fontId="7" fillId="0" borderId="96" xfId="1" applyBorder="1" applyAlignment="1">
      <alignment horizontal="left" vertical="center"/>
    </xf>
    <xf numFmtId="9" fontId="34" fillId="3" borderId="9" xfId="0" applyNumberFormat="1" applyFont="1" applyFill="1" applyBorder="1" applyAlignment="1">
      <alignment horizontal="center" vertical="center" textRotation="90"/>
    </xf>
    <xf numFmtId="9" fontId="34" fillId="3" borderId="22" xfId="0" applyNumberFormat="1" applyFont="1" applyFill="1" applyBorder="1" applyAlignment="1">
      <alignment horizontal="center" vertical="center" textRotation="90"/>
    </xf>
    <xf numFmtId="9" fontId="34" fillId="3" borderId="23" xfId="0" applyNumberFormat="1" applyFont="1" applyFill="1" applyBorder="1" applyAlignment="1">
      <alignment horizontal="center" vertical="center" textRotation="90"/>
    </xf>
    <xf numFmtId="0" fontId="34" fillId="3" borderId="10" xfId="0" applyFont="1" applyFill="1" applyBorder="1" applyAlignment="1">
      <alignment horizontal="center" vertical="center"/>
    </xf>
    <xf numFmtId="0" fontId="34" fillId="3" borderId="25" xfId="0" applyFont="1" applyFill="1" applyBorder="1" applyAlignment="1">
      <alignment horizontal="center" vertical="center"/>
    </xf>
    <xf numFmtId="9" fontId="7" fillId="3" borderId="31" xfId="4" applyFont="1" applyFill="1" applyBorder="1" applyAlignment="1" applyProtection="1">
      <alignment horizontal="center" vertical="center" textRotation="90"/>
    </xf>
    <xf numFmtId="9" fontId="7" fillId="3" borderId="34" xfId="4" applyFont="1" applyFill="1" applyBorder="1" applyAlignment="1" applyProtection="1">
      <alignment horizontal="center" vertical="center" textRotation="90"/>
    </xf>
    <xf numFmtId="0" fontId="7" fillId="2" borderId="43" xfId="0" applyFont="1" applyFill="1" applyBorder="1" applyAlignment="1" applyProtection="1">
      <alignment vertical="top" wrapText="1"/>
      <protection locked="0"/>
    </xf>
    <xf numFmtId="0" fontId="7" fillId="2" borderId="22" xfId="0" applyFont="1" applyFill="1" applyBorder="1" applyAlignment="1" applyProtection="1">
      <alignment vertical="top" wrapText="1"/>
      <protection locked="0"/>
    </xf>
    <xf numFmtId="0" fontId="7" fillId="2" borderId="23" xfId="0" applyFont="1" applyFill="1" applyBorder="1" applyAlignment="1" applyProtection="1">
      <alignment vertical="top" wrapText="1"/>
      <protection locked="0"/>
    </xf>
    <xf numFmtId="0" fontId="7" fillId="2" borderId="43" xfId="0" applyNumberFormat="1" applyFont="1" applyFill="1" applyBorder="1" applyAlignment="1" applyProtection="1">
      <alignment vertical="top" wrapText="1"/>
      <protection locked="0"/>
    </xf>
    <xf numFmtId="0" fontId="7" fillId="2" borderId="22" xfId="0" applyNumberFormat="1" applyFont="1" applyFill="1" applyBorder="1" applyAlignment="1" applyProtection="1">
      <alignment vertical="top" wrapText="1"/>
      <protection locked="0"/>
    </xf>
    <xf numFmtId="0" fontId="7" fillId="2" borderId="23" xfId="0" applyNumberFormat="1" applyFont="1" applyFill="1" applyBorder="1" applyAlignment="1" applyProtection="1">
      <alignment vertical="top" wrapText="1"/>
      <protection locked="0"/>
    </xf>
    <xf numFmtId="0" fontId="62" fillId="22" borderId="16" xfId="5" applyFont="1" applyFill="1" applyBorder="1" applyAlignment="1">
      <alignment horizontal="center" vertical="center"/>
    </xf>
    <xf numFmtId="0" fontId="62" fillId="22" borderId="18" xfId="5" applyFont="1" applyFill="1" applyBorder="1" applyAlignment="1">
      <alignment horizontal="center" vertical="center"/>
    </xf>
    <xf numFmtId="9" fontId="7" fillId="3" borderId="28" xfId="4" applyFont="1" applyFill="1" applyBorder="1" applyAlignment="1" applyProtection="1">
      <alignment horizontal="center" vertical="center" textRotation="90"/>
    </xf>
    <xf numFmtId="0" fontId="7" fillId="2" borderId="9" xfId="0" applyFont="1" applyFill="1" applyBorder="1" applyAlignment="1" applyProtection="1">
      <alignment vertical="top" wrapText="1"/>
      <protection locked="0"/>
    </xf>
    <xf numFmtId="0" fontId="7" fillId="2" borderId="42" xfId="0" applyFont="1" applyFill="1" applyBorder="1" applyAlignment="1" applyProtection="1">
      <alignment vertical="top" wrapText="1"/>
      <protection locked="0"/>
    </xf>
    <xf numFmtId="0" fontId="7" fillId="2" borderId="9" xfId="0" applyNumberFormat="1" applyFont="1" applyFill="1" applyBorder="1" applyAlignment="1" applyProtection="1">
      <alignment vertical="top" wrapText="1"/>
      <protection locked="0"/>
    </xf>
    <xf numFmtId="0" fontId="7" fillId="2" borderId="42" xfId="0" applyNumberFormat="1" applyFont="1" applyFill="1" applyBorder="1" applyAlignment="1" applyProtection="1">
      <alignment vertical="top" wrapText="1"/>
      <protection locked="0"/>
    </xf>
    <xf numFmtId="0" fontId="18" fillId="0" borderId="0" xfId="1" applyFont="1" applyAlignment="1">
      <alignment horizontal="center"/>
    </xf>
    <xf numFmtId="0" fontId="0" fillId="0" borderId="42" xfId="0" applyBorder="1" applyAlignment="1" applyProtection="1">
      <protection locked="0"/>
    </xf>
    <xf numFmtId="0" fontId="0" fillId="0" borderId="22" xfId="0" applyBorder="1" applyAlignment="1" applyProtection="1">
      <alignment vertical="top" wrapText="1"/>
      <protection locked="0"/>
    </xf>
    <xf numFmtId="0" fontId="0" fillId="0" borderId="23" xfId="0" applyBorder="1" applyAlignment="1" applyProtection="1">
      <alignment vertical="top" wrapText="1"/>
      <protection locked="0"/>
    </xf>
    <xf numFmtId="0" fontId="7" fillId="2" borderId="43" xfId="1" applyNumberFormat="1" applyFont="1" applyFill="1" applyBorder="1" applyAlignment="1" applyProtection="1">
      <alignment vertical="top" wrapText="1"/>
      <protection locked="0"/>
    </xf>
    <xf numFmtId="0" fontId="7" fillId="2" borderId="22" xfId="1" applyNumberFormat="1" applyFont="1" applyFill="1" applyBorder="1" applyAlignment="1" applyProtection="1">
      <alignment vertical="top" wrapText="1"/>
      <protection locked="0"/>
    </xf>
    <xf numFmtId="0" fontId="7" fillId="2" borderId="23" xfId="1" applyNumberFormat="1" applyFont="1" applyFill="1" applyBorder="1" applyAlignment="1" applyProtection="1">
      <alignment vertical="top" wrapText="1"/>
      <protection locked="0"/>
    </xf>
    <xf numFmtId="0" fontId="7" fillId="2" borderId="9" xfId="1" applyFont="1" applyFill="1" applyBorder="1" applyAlignment="1" applyProtection="1">
      <alignment vertical="top" wrapText="1"/>
      <protection locked="0"/>
    </xf>
    <xf numFmtId="0" fontId="7" fillId="2" borderId="42" xfId="1" applyFont="1" applyFill="1" applyBorder="1" applyAlignment="1" applyProtection="1">
      <alignment vertical="top" wrapText="1"/>
      <protection locked="0"/>
    </xf>
    <xf numFmtId="0" fontId="7" fillId="0" borderId="42" xfId="1" applyBorder="1" applyAlignment="1" applyProtection="1">
      <protection locked="0"/>
    </xf>
    <xf numFmtId="0" fontId="7" fillId="2" borderId="9" xfId="1" applyNumberFormat="1" applyFont="1" applyFill="1" applyBorder="1" applyAlignment="1" applyProtection="1">
      <alignment vertical="top" wrapText="1"/>
      <protection locked="0"/>
    </xf>
    <xf numFmtId="0" fontId="7" fillId="2" borderId="42" xfId="1" applyNumberFormat="1" applyFont="1" applyFill="1" applyBorder="1" applyAlignment="1" applyProtection="1">
      <alignment vertical="top" wrapText="1"/>
      <protection locked="0"/>
    </xf>
    <xf numFmtId="0" fontId="7" fillId="0" borderId="22" xfId="1" applyNumberFormat="1" applyBorder="1" applyAlignment="1" applyProtection="1">
      <alignment vertical="top" wrapText="1"/>
      <protection locked="0"/>
    </xf>
    <xf numFmtId="0" fontId="7" fillId="0" borderId="23" xfId="1" applyNumberFormat="1" applyBorder="1" applyAlignment="1" applyProtection="1">
      <alignment vertical="top" wrapText="1"/>
      <protection locked="0"/>
    </xf>
    <xf numFmtId="0" fontId="0" fillId="0" borderId="22" xfId="0" applyNumberFormat="1" applyBorder="1" applyAlignment="1" applyProtection="1">
      <alignment vertical="top" wrapText="1"/>
      <protection locked="0"/>
    </xf>
    <xf numFmtId="0" fontId="0" fillId="0" borderId="23" xfId="0" applyNumberFormat="1" applyBorder="1" applyAlignment="1" applyProtection="1">
      <alignment vertical="top" wrapText="1"/>
      <protection locked="0"/>
    </xf>
    <xf numFmtId="0" fontId="7" fillId="2" borderId="9" xfId="1" applyNumberFormat="1" applyFill="1" applyBorder="1" applyAlignment="1" applyProtection="1">
      <alignment vertical="top" wrapText="1"/>
      <protection locked="0"/>
    </xf>
    <xf numFmtId="49" fontId="7" fillId="2" borderId="43" xfId="1" applyNumberFormat="1" applyFont="1" applyFill="1" applyBorder="1" applyAlignment="1" applyProtection="1">
      <alignment vertical="top" wrapText="1"/>
      <protection locked="0"/>
    </xf>
    <xf numFmtId="0" fontId="18" fillId="21" borderId="26" xfId="0" applyFont="1" applyFill="1" applyBorder="1" applyAlignment="1" applyProtection="1">
      <alignment horizontal="center" vertical="center"/>
      <protection locked="0"/>
    </xf>
    <xf numFmtId="0" fontId="18" fillId="21" borderId="25" xfId="0" applyFont="1" applyFill="1" applyBorder="1" applyAlignment="1" applyProtection="1">
      <alignment horizontal="center" vertical="center"/>
      <protection locked="0"/>
    </xf>
    <xf numFmtId="0" fontId="18" fillId="0" borderId="53" xfId="0" applyFont="1" applyBorder="1" applyAlignment="1">
      <alignment horizontal="center"/>
    </xf>
    <xf numFmtId="0" fontId="18" fillId="21" borderId="10" xfId="0" applyNumberFormat="1" applyFont="1" applyFill="1" applyBorder="1" applyAlignment="1" applyProtection="1">
      <alignment horizontal="center" vertical="center"/>
      <protection locked="0"/>
    </xf>
    <xf numFmtId="0" fontId="18" fillId="21" borderId="26" xfId="0" applyNumberFormat="1" applyFont="1" applyFill="1" applyBorder="1" applyAlignment="1" applyProtection="1">
      <alignment horizontal="center" vertical="center"/>
      <protection locked="0"/>
    </xf>
    <xf numFmtId="0" fontId="18" fillId="21" borderId="25" xfId="0" applyNumberFormat="1" applyFont="1" applyFill="1" applyBorder="1" applyAlignment="1" applyProtection="1">
      <alignment horizontal="center" vertical="center"/>
      <protection locked="0"/>
    </xf>
    <xf numFmtId="0" fontId="0" fillId="0" borderId="0" xfId="0" applyAlignment="1">
      <alignment horizontal="center"/>
    </xf>
    <xf numFmtId="0" fontId="7" fillId="21" borderId="69" xfId="0" applyFont="1" applyFill="1" applyBorder="1" applyAlignment="1">
      <alignment horizontal="center"/>
    </xf>
    <xf numFmtId="0" fontId="7" fillId="21" borderId="74" xfId="0" applyFont="1" applyFill="1" applyBorder="1" applyAlignment="1">
      <alignment horizontal="center"/>
    </xf>
    <xf numFmtId="0" fontId="7" fillId="2" borderId="24" xfId="1" applyFont="1" applyFill="1" applyBorder="1" applyAlignment="1" applyProtection="1">
      <alignment horizontal="left" vertical="center"/>
      <protection locked="0"/>
    </xf>
    <xf numFmtId="0" fontId="7" fillId="2" borderId="6" xfId="1" applyFont="1" applyFill="1" applyBorder="1" applyAlignment="1" applyProtection="1">
      <alignment horizontal="left" vertical="center"/>
      <protection locked="0"/>
    </xf>
    <xf numFmtId="0" fontId="61" fillId="0" borderId="16" xfId="1" applyFont="1" applyBorder="1" applyAlignment="1" applyProtection="1">
      <alignment horizontal="left" vertical="center"/>
    </xf>
    <xf numFmtId="0" fontId="61" fillId="0" borderId="17" xfId="1" applyFont="1" applyBorder="1" applyAlignment="1" applyProtection="1">
      <alignment horizontal="left" vertical="center"/>
    </xf>
    <xf numFmtId="0" fontId="61" fillId="0" borderId="0" xfId="1" applyFont="1" applyBorder="1" applyAlignment="1" applyProtection="1">
      <alignment horizontal="center" vertical="center"/>
    </xf>
    <xf numFmtId="0" fontId="61" fillId="0" borderId="0" xfId="1" applyFont="1" applyFill="1" applyBorder="1" applyAlignment="1" applyProtection="1">
      <alignment horizontal="center" vertical="center"/>
    </xf>
    <xf numFmtId="0" fontId="7" fillId="0" borderId="27" xfId="1" applyFont="1" applyFill="1" applyBorder="1" applyAlignment="1" applyProtection="1">
      <alignment horizontal="center" vertical="center" textRotation="90"/>
    </xf>
    <xf numFmtId="0" fontId="7" fillId="2" borderId="33" xfId="1" applyFont="1" applyFill="1" applyBorder="1" applyAlignment="1" applyProtection="1">
      <alignment horizontal="left" vertical="center"/>
      <protection locked="0"/>
    </xf>
    <xf numFmtId="0" fontId="7" fillId="2" borderId="73" xfId="1" applyFont="1" applyFill="1" applyBorder="1" applyAlignment="1" applyProtection="1">
      <alignment horizontal="left" vertical="center"/>
      <protection locked="0"/>
    </xf>
    <xf numFmtId="0" fontId="7" fillId="0" borderId="8" xfId="1" applyFont="1" applyBorder="1" applyAlignment="1">
      <alignment horizontal="center"/>
    </xf>
    <xf numFmtId="0" fontId="7" fillId="0" borderId="24" xfId="1" applyFont="1" applyBorder="1" applyAlignment="1">
      <alignment horizontal="center"/>
    </xf>
    <xf numFmtId="0" fontId="61" fillId="0" borderId="1" xfId="1" applyFont="1" applyBorder="1" applyAlignment="1" applyProtection="1">
      <alignment horizontal="center" vertical="center"/>
    </xf>
    <xf numFmtId="0" fontId="61" fillId="0" borderId="3" xfId="1" applyFont="1" applyBorder="1" applyAlignment="1" applyProtection="1">
      <alignment horizontal="center" vertical="center"/>
    </xf>
    <xf numFmtId="0" fontId="7" fillId="2" borderId="10" xfId="1" applyFont="1" applyFill="1" applyBorder="1" applyAlignment="1" applyProtection="1">
      <alignment horizontal="left" vertical="center"/>
      <protection locked="0"/>
    </xf>
    <xf numFmtId="0" fontId="7" fillId="2" borderId="26" xfId="1" applyFont="1" applyFill="1" applyBorder="1" applyAlignment="1" applyProtection="1">
      <alignment horizontal="left" vertical="center"/>
      <protection locked="0"/>
    </xf>
    <xf numFmtId="0" fontId="7" fillId="2" borderId="32" xfId="1" applyFont="1" applyFill="1" applyBorder="1" applyAlignment="1" applyProtection="1">
      <alignment horizontal="left" vertical="center"/>
      <protection locked="0"/>
    </xf>
    <xf numFmtId="0" fontId="80" fillId="0" borderId="0" xfId="1" applyFont="1" applyAlignment="1" applyProtection="1">
      <alignment horizontal="left"/>
    </xf>
    <xf numFmtId="0" fontId="7" fillId="2" borderId="8" xfId="1" applyFill="1" applyBorder="1" applyAlignment="1" applyProtection="1">
      <alignment horizontal="center" vertical="center"/>
      <protection locked="0"/>
    </xf>
    <xf numFmtId="0" fontId="7" fillId="2" borderId="20" xfId="1" applyFill="1" applyBorder="1" applyAlignment="1" applyProtection="1">
      <alignment horizontal="center" vertical="center"/>
      <protection locked="0"/>
    </xf>
    <xf numFmtId="0" fontId="7" fillId="2" borderId="44" xfId="1" applyFill="1" applyBorder="1" applyAlignment="1" applyProtection="1">
      <alignment horizontal="left" vertical="center"/>
      <protection locked="0"/>
    </xf>
    <xf numFmtId="0" fontId="7" fillId="2" borderId="14" xfId="1" applyFill="1" applyBorder="1" applyAlignment="1" applyProtection="1">
      <alignment horizontal="left" vertical="center"/>
      <protection locked="0"/>
    </xf>
    <xf numFmtId="0" fontId="7" fillId="2" borderId="5" xfId="1" applyFill="1" applyBorder="1" applyAlignment="1" applyProtection="1">
      <alignment horizontal="left" vertical="center"/>
      <protection locked="0"/>
    </xf>
    <xf numFmtId="0" fontId="7" fillId="2" borderId="45" xfId="1" applyFill="1" applyBorder="1" applyAlignment="1" applyProtection="1">
      <alignment horizontal="left" vertical="center"/>
      <protection locked="0"/>
    </xf>
    <xf numFmtId="0" fontId="7" fillId="2" borderId="0" xfId="1" applyFill="1" applyBorder="1" applyAlignment="1" applyProtection="1">
      <alignment horizontal="left" vertical="center"/>
      <protection locked="0"/>
    </xf>
    <xf numFmtId="0" fontId="7" fillId="2" borderId="12" xfId="1" applyFill="1" applyBorder="1" applyAlignment="1" applyProtection="1">
      <alignment horizontal="left" vertical="center"/>
      <protection locked="0"/>
    </xf>
    <xf numFmtId="0" fontId="7" fillId="2" borderId="46" xfId="1" applyFill="1" applyBorder="1" applyAlignment="1" applyProtection="1">
      <alignment horizontal="left" vertical="center"/>
      <protection locked="0"/>
    </xf>
    <xf numFmtId="0" fontId="7" fillId="2" borderId="15" xfId="1" applyFill="1" applyBorder="1" applyAlignment="1" applyProtection="1">
      <alignment horizontal="left" vertical="center"/>
      <protection locked="0"/>
    </xf>
    <xf numFmtId="0" fontId="7" fillId="2" borderId="13" xfId="1" applyFill="1" applyBorder="1" applyAlignment="1" applyProtection="1">
      <alignment horizontal="left" vertical="center"/>
      <protection locked="0"/>
    </xf>
    <xf numFmtId="0" fontId="7" fillId="2" borderId="24" xfId="1" applyFill="1" applyBorder="1" applyAlignment="1" applyProtection="1">
      <alignment horizontal="center" vertical="center"/>
      <protection locked="0"/>
    </xf>
    <xf numFmtId="0" fontId="7" fillId="2" borderId="6" xfId="1" applyFill="1" applyBorder="1" applyAlignment="1" applyProtection="1">
      <alignment horizontal="center" vertical="center"/>
      <protection locked="0"/>
    </xf>
    <xf numFmtId="0" fontId="7" fillId="2" borderId="19" xfId="1" applyFill="1" applyBorder="1" applyAlignment="1" applyProtection="1">
      <alignment horizontal="center" vertical="center"/>
      <protection locked="0"/>
    </xf>
    <xf numFmtId="0" fontId="7" fillId="2" borderId="7" xfId="1" applyFill="1" applyBorder="1" applyAlignment="1" applyProtection="1">
      <alignment horizontal="center" vertical="center"/>
      <protection locked="0"/>
    </xf>
    <xf numFmtId="0" fontId="7" fillId="0" borderId="15" xfId="1" applyBorder="1" applyAlignment="1" applyProtection="1">
      <alignment horizontal="center"/>
    </xf>
    <xf numFmtId="0" fontId="7" fillId="2" borderId="19" xfId="1" applyFont="1" applyFill="1" applyBorder="1" applyAlignment="1" applyProtection="1">
      <alignment horizontal="left" vertical="center"/>
      <protection locked="0"/>
    </xf>
    <xf numFmtId="0" fontId="7" fillId="2" borderId="7" xfId="1" applyFont="1" applyFill="1" applyBorder="1" applyAlignment="1" applyProtection="1">
      <alignment horizontal="left" vertical="center"/>
      <protection locked="0"/>
    </xf>
    <xf numFmtId="0" fontId="7" fillId="20" borderId="46" xfId="1" applyFill="1" applyBorder="1" applyAlignment="1" applyProtection="1">
      <alignment horizontal="center"/>
    </xf>
    <xf numFmtId="0" fontId="7" fillId="20" borderId="15" xfId="1" applyFill="1" applyBorder="1" applyAlignment="1" applyProtection="1">
      <alignment horizontal="center"/>
    </xf>
    <xf numFmtId="0" fontId="7" fillId="20" borderId="13" xfId="1" applyFill="1" applyBorder="1" applyAlignment="1" applyProtection="1">
      <alignment horizontal="center"/>
    </xf>
    <xf numFmtId="0" fontId="7" fillId="20" borderId="44" xfId="1" applyFill="1" applyBorder="1" applyAlignment="1" applyProtection="1">
      <alignment horizontal="center" vertical="center"/>
    </xf>
    <xf numFmtId="0" fontId="7" fillId="20" borderId="5" xfId="1" applyFill="1" applyBorder="1" applyAlignment="1" applyProtection="1">
      <alignment horizontal="center" vertical="center"/>
    </xf>
    <xf numFmtId="0" fontId="7" fillId="20" borderId="46" xfId="1" applyFill="1" applyBorder="1" applyAlignment="1" applyProtection="1">
      <alignment horizontal="center" vertical="center"/>
    </xf>
    <xf numFmtId="0" fontId="7" fillId="20" borderId="13" xfId="1" applyFill="1" applyBorder="1" applyAlignment="1" applyProtection="1">
      <alignment horizontal="center" vertical="center"/>
    </xf>
    <xf numFmtId="0" fontId="10" fillId="3" borderId="9" xfId="1" applyFont="1" applyFill="1" applyBorder="1" applyAlignment="1">
      <alignment horizontal="center" textRotation="90"/>
    </xf>
    <xf numFmtId="0" fontId="10" fillId="3" borderId="22" xfId="1" applyFont="1" applyFill="1" applyBorder="1" applyAlignment="1">
      <alignment horizontal="center" textRotation="90"/>
    </xf>
    <xf numFmtId="0" fontId="10" fillId="3" borderId="42" xfId="1" applyFont="1" applyFill="1" applyBorder="1" applyAlignment="1">
      <alignment horizontal="center" textRotation="90"/>
    </xf>
    <xf numFmtId="0" fontId="61" fillId="0" borderId="8" xfId="1" applyFont="1" applyFill="1" applyBorder="1" applyAlignment="1" applyProtection="1">
      <alignment horizontal="center" vertical="center"/>
    </xf>
    <xf numFmtId="0" fontId="61" fillId="0" borderId="20" xfId="1" applyFont="1" applyFill="1" applyBorder="1" applyAlignment="1" applyProtection="1">
      <alignment horizontal="center" vertical="center"/>
    </xf>
    <xf numFmtId="0" fontId="61" fillId="0" borderId="24" xfId="1" applyFont="1" applyFill="1" applyBorder="1" applyAlignment="1" applyProtection="1">
      <alignment horizontal="center" vertical="center"/>
    </xf>
    <xf numFmtId="0" fontId="61" fillId="0" borderId="6" xfId="1" applyFont="1" applyFill="1" applyBorder="1" applyAlignment="1" applyProtection="1">
      <alignment horizontal="center" vertical="center"/>
    </xf>
    <xf numFmtId="1" fontId="123" fillId="0" borderId="0" xfId="1" applyNumberFormat="1" applyFont="1" applyAlignment="1">
      <alignment horizontal="center" vertical="center"/>
    </xf>
    <xf numFmtId="0" fontId="27" fillId="17" borderId="0" xfId="1" applyFont="1" applyFill="1" applyAlignment="1">
      <alignment horizontal="left" vertical="center"/>
    </xf>
    <xf numFmtId="0" fontId="47" fillId="17" borderId="0" xfId="1" applyFont="1" applyFill="1" applyAlignment="1">
      <alignment horizontal="left" vertical="center"/>
    </xf>
    <xf numFmtId="0" fontId="27" fillId="17" borderId="0" xfId="1" applyFont="1" applyFill="1" applyAlignment="1">
      <alignment horizontal="left"/>
    </xf>
    <xf numFmtId="0" fontId="7" fillId="0" borderId="24" xfId="7" applyFont="1" applyBorder="1" applyAlignment="1">
      <alignment horizontal="center" vertical="center"/>
    </xf>
    <xf numFmtId="9" fontId="7" fillId="0" borderId="24" xfId="4" applyFont="1" applyBorder="1" applyAlignment="1">
      <alignment horizontal="center" vertical="center"/>
    </xf>
    <xf numFmtId="0" fontId="7" fillId="19" borderId="24" xfId="7" applyFont="1" applyFill="1" applyBorder="1" applyAlignment="1">
      <alignment horizontal="center" vertical="center"/>
    </xf>
    <xf numFmtId="0" fontId="7" fillId="0" borderId="30" xfId="7" applyFont="1" applyBorder="1" applyAlignment="1">
      <alignment horizontal="center" vertical="center"/>
    </xf>
    <xf numFmtId="0" fontId="7" fillId="0" borderId="56" xfId="7" applyFont="1" applyBorder="1" applyAlignment="1">
      <alignment horizontal="center" vertical="center"/>
    </xf>
    <xf numFmtId="0" fontId="7" fillId="0" borderId="33" xfId="7" applyFont="1" applyBorder="1" applyAlignment="1">
      <alignment horizontal="center" vertical="center"/>
    </xf>
    <xf numFmtId="9" fontId="7" fillId="0" borderId="30" xfId="4" applyFont="1" applyBorder="1" applyAlignment="1">
      <alignment horizontal="center" vertical="center"/>
    </xf>
    <xf numFmtId="9" fontId="7" fillId="0" borderId="56" xfId="4" applyFont="1" applyBorder="1" applyAlignment="1">
      <alignment horizontal="center" vertical="center"/>
    </xf>
    <xf numFmtId="9" fontId="7" fillId="0" borderId="33" xfId="4" applyFont="1" applyBorder="1" applyAlignment="1">
      <alignment horizontal="center" vertical="center"/>
    </xf>
    <xf numFmtId="0" fontId="10" fillId="0" borderId="15" xfId="1" applyFont="1" applyBorder="1" applyAlignment="1">
      <alignment horizontal="left" vertical="center"/>
    </xf>
    <xf numFmtId="49" fontId="7" fillId="2" borderId="6" xfId="1" applyNumberFormat="1" applyFont="1" applyFill="1" applyBorder="1" applyAlignment="1" applyProtection="1">
      <alignment horizontal="left" vertical="top" wrapText="1"/>
      <protection locked="0"/>
    </xf>
    <xf numFmtId="49" fontId="7" fillId="2" borderId="7" xfId="1" applyNumberFormat="1" applyFont="1" applyFill="1" applyBorder="1" applyAlignment="1" applyProtection="1">
      <alignment horizontal="left" vertical="top" wrapText="1"/>
      <protection locked="0"/>
    </xf>
    <xf numFmtId="9" fontId="7" fillId="3" borderId="1" xfId="4" applyFont="1" applyFill="1" applyBorder="1" applyAlignment="1" applyProtection="1">
      <alignment horizontal="center" vertical="center" textRotation="90"/>
    </xf>
    <xf numFmtId="9" fontId="7" fillId="3" borderId="3" xfId="4" applyFont="1" applyFill="1" applyBorder="1" applyAlignment="1" applyProtection="1">
      <alignment horizontal="center" vertical="center" textRotation="90"/>
    </xf>
    <xf numFmtId="9" fontId="7" fillId="3" borderId="4" xfId="4" applyFont="1" applyFill="1" applyBorder="1" applyAlignment="1" applyProtection="1">
      <alignment horizontal="center" vertical="center" textRotation="90"/>
    </xf>
    <xf numFmtId="0" fontId="7" fillId="2" borderId="20" xfId="1" applyFont="1" applyFill="1" applyBorder="1" applyAlignment="1" applyProtection="1">
      <alignment horizontal="left" vertical="top" wrapText="1"/>
      <protection locked="0"/>
    </xf>
    <xf numFmtId="0" fontId="7" fillId="2" borderId="6" xfId="1" applyFont="1" applyFill="1" applyBorder="1" applyAlignment="1" applyProtection="1">
      <alignment horizontal="left" vertical="top" wrapText="1"/>
      <protection locked="0"/>
    </xf>
    <xf numFmtId="0" fontId="7" fillId="6" borderId="6" xfId="1" applyFill="1" applyBorder="1" applyAlignment="1">
      <alignment horizontal="left" vertical="top" wrapText="1"/>
    </xf>
    <xf numFmtId="0" fontId="7" fillId="6" borderId="7" xfId="1" applyFill="1" applyBorder="1" applyAlignment="1">
      <alignment horizontal="left" vertical="top" wrapText="1"/>
    </xf>
    <xf numFmtId="9" fontId="7" fillId="3" borderId="3" xfId="4" applyFont="1" applyFill="1" applyBorder="1" applyAlignment="1" applyProtection="1">
      <alignment horizontal="left" vertical="center" textRotation="90"/>
    </xf>
    <xf numFmtId="9" fontId="7" fillId="3" borderId="4" xfId="4" applyFont="1" applyFill="1" applyBorder="1" applyAlignment="1" applyProtection="1">
      <alignment horizontal="left" vertical="center" textRotation="90"/>
    </xf>
    <xf numFmtId="0" fontId="7" fillId="2" borderId="6" xfId="1" applyNumberFormat="1" applyFont="1" applyFill="1" applyBorder="1" applyAlignment="1" applyProtection="1">
      <alignment horizontal="left" vertical="top" wrapText="1"/>
      <protection locked="0"/>
    </xf>
    <xf numFmtId="0" fontId="7" fillId="2" borderId="7" xfId="1" applyNumberFormat="1" applyFont="1" applyFill="1" applyBorder="1" applyAlignment="1" applyProtection="1">
      <alignment horizontal="left" vertical="top" wrapText="1"/>
      <protection locked="0"/>
    </xf>
    <xf numFmtId="0" fontId="24" fillId="0" borderId="0" xfId="1" applyFont="1" applyFill="1" applyBorder="1" applyAlignment="1" applyProtection="1">
      <alignment horizontal="center"/>
      <protection locked="0"/>
    </xf>
    <xf numFmtId="0" fontId="24" fillId="0" borderId="0" xfId="1" applyFont="1" applyBorder="1" applyAlignment="1" applyProtection="1">
      <alignment horizontal="center"/>
    </xf>
    <xf numFmtId="0" fontId="7" fillId="19" borderId="8" xfId="0" applyFont="1" applyFill="1" applyBorder="1" applyAlignment="1" applyProtection="1">
      <alignment horizontal="center" vertical="center"/>
      <protection locked="0"/>
    </xf>
    <xf numFmtId="0" fontId="0" fillId="19" borderId="8" xfId="0" applyFill="1" applyBorder="1" applyAlignment="1" applyProtection="1">
      <alignment horizontal="center" vertical="center"/>
      <protection locked="0"/>
    </xf>
    <xf numFmtId="0" fontId="0" fillId="19" borderId="2" xfId="0" applyFill="1" applyBorder="1" applyAlignment="1" applyProtection="1">
      <alignment horizontal="center" vertical="center"/>
      <protection locked="0"/>
    </xf>
    <xf numFmtId="0" fontId="24" fillId="2" borderId="35" xfId="1" applyFont="1" applyFill="1" applyBorder="1" applyAlignment="1" applyProtection="1">
      <alignment horizontal="center" vertical="center"/>
      <protection locked="0"/>
    </xf>
    <xf numFmtId="0" fontId="24" fillId="2" borderId="21" xfId="1" applyFont="1" applyFill="1" applyBorder="1" applyAlignment="1" applyProtection="1">
      <alignment horizontal="center" vertical="center"/>
      <protection locked="0"/>
    </xf>
    <xf numFmtId="0" fontId="22" fillId="0" borderId="0" xfId="1" applyFont="1" applyFill="1" applyBorder="1" applyAlignment="1" applyProtection="1">
      <alignment horizontal="center"/>
    </xf>
    <xf numFmtId="0" fontId="7" fillId="19" borderId="24" xfId="0" applyFont="1" applyFill="1" applyBorder="1" applyAlignment="1" applyProtection="1">
      <alignment horizontal="center" vertical="center"/>
      <protection locked="0"/>
    </xf>
    <xf numFmtId="0" fontId="0" fillId="19" borderId="24" xfId="0" applyFill="1" applyBorder="1" applyAlignment="1" applyProtection="1">
      <alignment horizontal="center" vertical="center"/>
      <protection locked="0"/>
    </xf>
    <xf numFmtId="0" fontId="0" fillId="19" borderId="10" xfId="0" applyFill="1" applyBorder="1" applyAlignment="1" applyProtection="1">
      <alignment horizontal="center" vertical="center"/>
      <protection locked="0"/>
    </xf>
    <xf numFmtId="0" fontId="24" fillId="2" borderId="37" xfId="1" applyFont="1" applyFill="1" applyBorder="1" applyAlignment="1" applyProtection="1">
      <alignment horizontal="center" vertical="center"/>
      <protection locked="0"/>
    </xf>
    <xf numFmtId="0" fontId="24" fillId="2" borderId="25" xfId="1" applyFont="1" applyFill="1" applyBorder="1" applyAlignment="1" applyProtection="1">
      <alignment horizontal="center" vertical="center"/>
      <protection locked="0"/>
    </xf>
    <xf numFmtId="0" fontId="7" fillId="0" borderId="26" xfId="0" applyFont="1"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32" xfId="0" applyFill="1" applyBorder="1" applyAlignment="1" applyProtection="1">
      <alignment horizontal="center" vertical="center"/>
      <protection locked="0"/>
    </xf>
    <xf numFmtId="0" fontId="7" fillId="0" borderId="14" xfId="1" applyFont="1" applyFill="1" applyBorder="1" applyAlignment="1" applyProtection="1">
      <alignment horizontal="center" vertical="center"/>
    </xf>
    <xf numFmtId="0" fontId="7" fillId="0" borderId="36" xfId="0" applyFont="1" applyFill="1" applyBorder="1" applyAlignment="1" applyProtection="1">
      <alignment horizontal="center" vertical="center"/>
      <protection locked="0"/>
    </xf>
    <xf numFmtId="0" fontId="0" fillId="0" borderId="36" xfId="0" applyFill="1" applyBorder="1" applyAlignment="1" applyProtection="1">
      <alignment horizontal="center" vertical="center"/>
      <protection locked="0"/>
    </xf>
    <xf numFmtId="0" fontId="0" fillId="0" borderId="29" xfId="0" applyFill="1" applyBorder="1" applyAlignment="1" applyProtection="1">
      <alignment horizontal="center" vertical="center"/>
      <protection locked="0"/>
    </xf>
    <xf numFmtId="0" fontId="7" fillId="19" borderId="19" xfId="0" applyFont="1" applyFill="1" applyBorder="1" applyAlignment="1" applyProtection="1">
      <alignment horizontal="center" vertical="center"/>
      <protection locked="0"/>
    </xf>
    <xf numFmtId="0" fontId="0" fillId="19" borderId="19" xfId="0" applyFill="1" applyBorder="1" applyAlignment="1" applyProtection="1">
      <alignment horizontal="center" vertical="center"/>
      <protection locked="0"/>
    </xf>
    <xf numFmtId="0" fontId="0" fillId="19" borderId="11" xfId="0" applyFill="1" applyBorder="1" applyAlignment="1" applyProtection="1">
      <alignment horizontal="center" vertical="center"/>
      <protection locked="0"/>
    </xf>
    <xf numFmtId="0" fontId="24" fillId="2" borderId="38" xfId="1" applyFont="1" applyFill="1" applyBorder="1" applyAlignment="1" applyProtection="1">
      <alignment horizontal="center" vertical="center"/>
      <protection locked="0"/>
    </xf>
    <xf numFmtId="0" fontId="24" fillId="2" borderId="39" xfId="1" applyFont="1" applyFill="1" applyBorder="1" applyAlignment="1" applyProtection="1">
      <alignment horizontal="center" vertical="center"/>
      <protection locked="0"/>
    </xf>
    <xf numFmtId="0" fontId="7" fillId="0" borderId="40" xfId="0" applyFont="1" applyFill="1" applyBorder="1" applyAlignment="1" applyProtection="1">
      <alignment horizontal="center" vertical="center"/>
      <protection locked="0"/>
    </xf>
    <xf numFmtId="0" fontId="0" fillId="0" borderId="40" xfId="0" applyFill="1" applyBorder="1" applyAlignment="1" applyProtection="1">
      <alignment horizontal="center" vertical="center"/>
      <protection locked="0"/>
    </xf>
    <xf numFmtId="0" fontId="0" fillId="0" borderId="41" xfId="0" applyFill="1" applyBorder="1" applyAlignment="1" applyProtection="1">
      <alignment horizontal="center" vertical="center"/>
      <protection locked="0"/>
    </xf>
    <xf numFmtId="0" fontId="61" fillId="0" borderId="17" xfId="1" applyFont="1" applyBorder="1" applyAlignment="1" applyProtection="1">
      <alignment horizontal="center" vertical="center"/>
    </xf>
    <xf numFmtId="0" fontId="24" fillId="0" borderId="36" xfId="1" applyFont="1" applyFill="1" applyBorder="1" applyAlignment="1" applyProtection="1">
      <alignment horizontal="center" vertical="center"/>
      <protection locked="0"/>
    </xf>
    <xf numFmtId="0" fontId="24" fillId="0" borderId="29" xfId="1" applyFont="1" applyFill="1" applyBorder="1" applyAlignment="1" applyProtection="1">
      <alignment horizontal="center" vertical="center"/>
      <protection locked="0"/>
    </xf>
    <xf numFmtId="0" fontId="24" fillId="0" borderId="26" xfId="1" applyFont="1" applyFill="1" applyBorder="1" applyAlignment="1" applyProtection="1">
      <alignment horizontal="center" vertical="center"/>
      <protection locked="0"/>
    </xf>
    <xf numFmtId="0" fontId="24" fillId="0" borderId="32" xfId="1" applyFont="1" applyFill="1" applyBorder="1" applyAlignment="1" applyProtection="1">
      <alignment horizontal="center" vertical="center"/>
      <protection locked="0"/>
    </xf>
    <xf numFmtId="0" fontId="24" fillId="0" borderId="14" xfId="1" applyFont="1" applyFill="1" applyBorder="1" applyAlignment="1" applyProtection="1">
      <alignment horizontal="center" vertical="center"/>
    </xf>
    <xf numFmtId="0" fontId="24" fillId="19" borderId="19" xfId="1" applyFont="1" applyFill="1" applyBorder="1" applyAlignment="1" applyProtection="1">
      <alignment horizontal="center" vertical="center"/>
      <protection locked="0"/>
    </xf>
    <xf numFmtId="0" fontId="24" fillId="19" borderId="11" xfId="1" applyFont="1" applyFill="1" applyBorder="1" applyAlignment="1" applyProtection="1">
      <alignment horizontal="center" vertical="center"/>
      <protection locked="0"/>
    </xf>
    <xf numFmtId="0" fontId="24" fillId="0" borderId="40" xfId="1" applyFont="1" applyFill="1" applyBorder="1" applyAlignment="1" applyProtection="1">
      <alignment horizontal="center" vertical="center"/>
      <protection locked="0"/>
    </xf>
    <xf numFmtId="0" fontId="24" fillId="0" borderId="41" xfId="1" applyFont="1" applyFill="1" applyBorder="1" applyAlignment="1" applyProtection="1">
      <alignment horizontal="center" vertical="center"/>
      <protection locked="0"/>
    </xf>
    <xf numFmtId="0" fontId="0" fillId="19" borderId="20" xfId="0" applyFill="1" applyBorder="1" applyAlignment="1" applyProtection="1">
      <alignment horizontal="center" vertical="center"/>
      <protection locked="0"/>
    </xf>
    <xf numFmtId="0" fontId="7" fillId="0" borderId="8" xfId="0" applyFont="1" applyFill="1" applyBorder="1" applyAlignment="1" applyProtection="1">
      <alignment horizontal="center" vertical="center"/>
      <protection locked="0"/>
    </xf>
    <xf numFmtId="0" fontId="0" fillId="0" borderId="8" xfId="0" applyFill="1" applyBorder="1" applyAlignment="1" applyProtection="1">
      <alignment horizontal="center" vertical="center"/>
      <protection locked="0"/>
    </xf>
    <xf numFmtId="0" fontId="0" fillId="0" borderId="20" xfId="0" applyFill="1" applyBorder="1" applyAlignment="1" applyProtection="1">
      <alignment horizontal="center" vertical="center"/>
      <protection locked="0"/>
    </xf>
    <xf numFmtId="0" fontId="7" fillId="19" borderId="24" xfId="0" quotePrefix="1" applyFont="1" applyFill="1" applyBorder="1" applyAlignment="1" applyProtection="1">
      <alignment horizontal="center" vertical="center"/>
      <protection locked="0"/>
    </xf>
    <xf numFmtId="0" fontId="0" fillId="19" borderId="6" xfId="0" applyFill="1" applyBorder="1" applyAlignment="1" applyProtection="1">
      <alignment horizontal="center" vertical="center"/>
      <protection locked="0"/>
    </xf>
    <xf numFmtId="0" fontId="7" fillId="0" borderId="24" xfId="0" applyFont="1"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0" fillId="0" borderId="6" xfId="0" applyFill="1" applyBorder="1" applyAlignment="1" applyProtection="1">
      <alignment horizontal="center" vertical="center"/>
      <protection locked="0"/>
    </xf>
    <xf numFmtId="0" fontId="0" fillId="19" borderId="7" xfId="0"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7" xfId="0" applyFill="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24" fillId="19" borderId="8" xfId="1" applyFont="1" applyFill="1" applyBorder="1" applyAlignment="1" applyProtection="1">
      <alignment horizontal="center" vertical="center"/>
      <protection locked="0"/>
    </xf>
    <xf numFmtId="0" fontId="24" fillId="19" borderId="2" xfId="1" applyFont="1" applyFill="1" applyBorder="1" applyAlignment="1" applyProtection="1">
      <alignment horizontal="center" vertical="center"/>
      <protection locked="0"/>
    </xf>
    <xf numFmtId="0" fontId="24" fillId="19" borderId="24" xfId="1" applyFont="1" applyFill="1" applyBorder="1" applyAlignment="1" applyProtection="1">
      <alignment horizontal="center" vertical="center"/>
      <protection locked="0"/>
    </xf>
    <xf numFmtId="0" fontId="24" fillId="19" borderId="10" xfId="1" applyFont="1" applyFill="1" applyBorder="1" applyAlignment="1" applyProtection="1">
      <alignment horizontal="center" vertical="center"/>
      <protection locked="0"/>
    </xf>
    <xf numFmtId="0" fontId="63" fillId="26" borderId="0" xfId="1" applyFont="1" applyFill="1" applyAlignment="1">
      <alignment horizontal="center" vertical="center"/>
    </xf>
    <xf numFmtId="0" fontId="17" fillId="0" borderId="14" xfId="1" applyFont="1" applyBorder="1" applyAlignment="1">
      <alignment horizontal="right" vertical="center" textRotation="90" wrapText="1"/>
    </xf>
    <xf numFmtId="0" fontId="17" fillId="0" borderId="0" xfId="1" applyFont="1" applyAlignment="1">
      <alignment horizontal="right" vertical="center" textRotation="90"/>
    </xf>
    <xf numFmtId="0" fontId="17" fillId="0" borderId="1" xfId="1" applyFont="1" applyBorder="1" applyAlignment="1">
      <alignment horizontal="center" textRotation="90"/>
    </xf>
    <xf numFmtId="0" fontId="17" fillId="0" borderId="3" xfId="1" applyFont="1" applyBorder="1" applyAlignment="1">
      <alignment horizontal="center" textRotation="90"/>
    </xf>
    <xf numFmtId="0" fontId="17" fillId="0" borderId="8" xfId="1" applyFont="1" applyBorder="1" applyAlignment="1">
      <alignment horizontal="center" textRotation="90"/>
    </xf>
    <xf numFmtId="0" fontId="17" fillId="0" borderId="24" xfId="1" applyFont="1" applyBorder="1" applyAlignment="1">
      <alignment horizontal="center" textRotation="90"/>
    </xf>
    <xf numFmtId="0" fontId="17" fillId="0" borderId="20" xfId="1" applyFont="1" applyBorder="1" applyAlignment="1">
      <alignment horizontal="center" textRotation="90"/>
    </xf>
    <xf numFmtId="0" fontId="17" fillId="0" borderId="6" xfId="1" applyFont="1" applyBorder="1" applyAlignment="1">
      <alignment horizontal="center" textRotation="90"/>
    </xf>
    <xf numFmtId="0" fontId="17" fillId="0" borderId="44" xfId="1" applyFont="1" applyBorder="1" applyAlignment="1">
      <alignment horizontal="left" vertical="center"/>
    </xf>
    <xf numFmtId="0" fontId="17" fillId="0" borderId="50" xfId="1" applyFont="1" applyBorder="1" applyAlignment="1">
      <alignment horizontal="left" vertical="center"/>
    </xf>
    <xf numFmtId="0" fontId="66" fillId="0" borderId="46" xfId="1" applyFont="1" applyBorder="1" applyAlignment="1">
      <alignment horizontal="left" vertical="center"/>
    </xf>
    <xf numFmtId="0" fontId="66" fillId="0" borderId="51" xfId="1" applyFont="1" applyBorder="1" applyAlignment="1">
      <alignment horizontal="left" vertical="center"/>
    </xf>
    <xf numFmtId="0" fontId="17" fillId="0" borderId="14" xfId="1" applyFont="1" applyBorder="1" applyAlignment="1">
      <alignment horizontal="center" vertical="center" wrapText="1"/>
    </xf>
    <xf numFmtId="0" fontId="17" fillId="0" borderId="53" xfId="1" applyFont="1" applyBorder="1" applyAlignment="1">
      <alignment horizontal="center" vertical="center"/>
    </xf>
    <xf numFmtId="0" fontId="17" fillId="0" borderId="5" xfId="1" applyFont="1" applyBorder="1" applyAlignment="1">
      <alignment horizontal="center" vertical="center"/>
    </xf>
    <xf numFmtId="0" fontId="17" fillId="0" borderId="54" xfId="1" applyFont="1" applyBorder="1" applyAlignment="1">
      <alignment horizontal="center" vertical="center"/>
    </xf>
    <xf numFmtId="0" fontId="17" fillId="20" borderId="35" xfId="1" applyFont="1" applyFill="1" applyBorder="1" applyAlignment="1">
      <alignment horizontal="left" vertical="center"/>
    </xf>
    <xf numFmtId="0" fontId="17" fillId="20" borderId="36" xfId="1" applyFont="1" applyFill="1" applyBorder="1" applyAlignment="1">
      <alignment horizontal="left" vertical="center"/>
    </xf>
    <xf numFmtId="0" fontId="17" fillId="20" borderId="29" xfId="1" applyFont="1" applyFill="1" applyBorder="1" applyAlignment="1">
      <alignment horizontal="left" vertical="center"/>
    </xf>
    <xf numFmtId="0" fontId="17" fillId="0" borderId="44" xfId="1" applyFont="1" applyBorder="1" applyAlignment="1">
      <alignment horizontal="center" vertical="center"/>
    </xf>
    <xf numFmtId="0" fontId="17" fillId="0" borderId="52" xfId="1" applyFont="1" applyBorder="1" applyAlignment="1">
      <alignment horizontal="center" vertical="center"/>
    </xf>
    <xf numFmtId="0" fontId="17" fillId="0" borderId="14" xfId="1" applyFont="1" applyBorder="1" applyAlignment="1">
      <alignment horizontal="center" vertical="center"/>
    </xf>
    <xf numFmtId="2" fontId="17" fillId="0" borderId="63" xfId="1" applyNumberFormat="1" applyFont="1" applyBorder="1" applyAlignment="1">
      <alignment horizontal="center" vertical="center"/>
    </xf>
    <xf numFmtId="2" fontId="17" fillId="0" borderId="51" xfId="1" applyNumberFormat="1" applyFont="1" applyBorder="1" applyAlignment="1">
      <alignment horizontal="center" vertical="center"/>
    </xf>
    <xf numFmtId="0" fontId="17" fillId="0" borderId="0" xfId="1" applyFont="1" applyAlignment="1">
      <alignment horizontal="left" vertical="center"/>
    </xf>
    <xf numFmtId="0" fontId="17" fillId="0" borderId="3" xfId="1" applyFont="1" applyBorder="1" applyAlignment="1">
      <alignment horizontal="left"/>
    </xf>
    <xf numFmtId="0" fontId="17" fillId="0" borderId="10" xfId="1" applyFont="1" applyBorder="1" applyAlignment="1">
      <alignment horizontal="left"/>
    </xf>
    <xf numFmtId="0" fontId="17" fillId="0" borderId="58" xfId="1" applyFont="1" applyBorder="1" applyAlignment="1">
      <alignment horizontal="center" vertical="center"/>
    </xf>
    <xf numFmtId="0" fontId="17" fillId="0" borderId="59" xfId="1" applyFont="1" applyBorder="1" applyAlignment="1">
      <alignment horizontal="center" vertical="center"/>
    </xf>
    <xf numFmtId="0" fontId="17" fillId="0" borderId="60" xfId="1" applyFont="1" applyBorder="1" applyAlignment="1">
      <alignment horizontal="center" vertical="center"/>
    </xf>
    <xf numFmtId="0" fontId="17" fillId="20" borderId="61" xfId="1" applyFont="1" applyFill="1" applyBorder="1" applyAlignment="1">
      <alignment horizontal="center" vertical="center"/>
    </xf>
    <xf numFmtId="0" fontId="17" fillId="20" borderId="50" xfId="1" applyFont="1" applyFill="1" applyBorder="1" applyAlignment="1">
      <alignment horizontal="center" vertical="center"/>
    </xf>
    <xf numFmtId="2" fontId="17" fillId="0" borderId="62" xfId="1" applyNumberFormat="1" applyFont="1" applyBorder="1" applyAlignment="1">
      <alignment horizontal="center" vertical="center"/>
    </xf>
    <xf numFmtId="2" fontId="17" fillId="0" borderId="27" xfId="1" applyNumberFormat="1" applyFont="1" applyBorder="1" applyAlignment="1">
      <alignment horizontal="center" vertical="center"/>
    </xf>
    <xf numFmtId="0" fontId="17" fillId="0" borderId="53" xfId="1" applyFont="1" applyBorder="1" applyAlignment="1">
      <alignment horizontal="right" vertical="center" textRotation="90"/>
    </xf>
    <xf numFmtId="0" fontId="82" fillId="14" borderId="33" xfId="1" applyFont="1" applyFill="1" applyBorder="1" applyAlignment="1">
      <alignment horizontal="center" vertical="center" wrapText="1"/>
    </xf>
    <xf numFmtId="0" fontId="82" fillId="14" borderId="24" xfId="1" applyFont="1" applyFill="1" applyBorder="1" applyAlignment="1">
      <alignment horizontal="center" vertical="center" wrapText="1"/>
    </xf>
    <xf numFmtId="0" fontId="82" fillId="0" borderId="30" xfId="1" applyFont="1" applyBorder="1" applyAlignment="1">
      <alignment horizontal="center" vertical="center"/>
    </xf>
    <xf numFmtId="0" fontId="82" fillId="0" borderId="33" xfId="1" applyFont="1" applyFill="1" applyBorder="1" applyAlignment="1">
      <alignment horizontal="left" vertical="center" wrapText="1"/>
    </xf>
    <xf numFmtId="0" fontId="82" fillId="0" borderId="33" xfId="1" applyFont="1" applyFill="1" applyBorder="1" applyAlignment="1">
      <alignment horizontal="left" vertical="center"/>
    </xf>
    <xf numFmtId="0" fontId="82" fillId="0" borderId="30" xfId="1" applyFont="1" applyFill="1" applyBorder="1" applyAlignment="1">
      <alignment horizontal="left" vertical="center"/>
    </xf>
    <xf numFmtId="0" fontId="82" fillId="0" borderId="24" xfId="1" applyFont="1" applyBorder="1" applyAlignment="1">
      <alignment horizontal="center" vertical="center" textRotation="180"/>
    </xf>
    <xf numFmtId="0" fontId="7" fillId="0" borderId="24" xfId="1" applyFont="1" applyBorder="1" applyAlignment="1">
      <alignment horizontal="center" vertical="center" textRotation="180"/>
    </xf>
    <xf numFmtId="0" fontId="82" fillId="0" borderId="24" xfId="1" applyFont="1" applyBorder="1" applyAlignment="1">
      <alignment horizontal="center" vertical="center" textRotation="180" wrapText="1"/>
    </xf>
    <xf numFmtId="0" fontId="89" fillId="0" borderId="10" xfId="1" applyFont="1" applyBorder="1" applyAlignment="1" applyProtection="1">
      <alignment horizontal="center" vertical="center"/>
    </xf>
    <xf numFmtId="0" fontId="89" fillId="0" borderId="26" xfId="1" applyFont="1" applyBorder="1" applyAlignment="1" applyProtection="1">
      <alignment horizontal="center" vertical="center"/>
    </xf>
    <xf numFmtId="0" fontId="89" fillId="0" borderId="25" xfId="1" applyFont="1" applyBorder="1" applyAlignment="1" applyProtection="1">
      <alignment horizontal="center" vertical="center"/>
    </xf>
    <xf numFmtId="0" fontId="94" fillId="13" borderId="24" xfId="1" applyFont="1" applyFill="1" applyBorder="1" applyAlignment="1" applyProtection="1">
      <alignment horizontal="center" vertical="center"/>
      <protection locked="0"/>
    </xf>
    <xf numFmtId="0" fontId="89" fillId="24" borderId="24" xfId="1" applyFont="1" applyFill="1" applyBorder="1" applyAlignment="1" applyProtection="1">
      <alignment horizontal="center" vertical="center"/>
    </xf>
    <xf numFmtId="0" fontId="89" fillId="0" borderId="56" xfId="1" applyFont="1" applyBorder="1" applyAlignment="1" applyProtection="1">
      <alignment horizontal="center" vertical="center" textRotation="180"/>
    </xf>
    <xf numFmtId="0" fontId="7" fillId="0" borderId="56" xfId="1" applyFont="1" applyBorder="1" applyAlignment="1" applyProtection="1">
      <alignment horizontal="center" vertical="center" textRotation="180"/>
    </xf>
    <xf numFmtId="0" fontId="7" fillId="0" borderId="33" xfId="1" applyFont="1" applyBorder="1" applyAlignment="1" applyProtection="1">
      <alignment horizontal="center" vertical="center" textRotation="180"/>
    </xf>
    <xf numFmtId="0" fontId="61" fillId="0" borderId="56" xfId="1" applyFont="1" applyBorder="1" applyAlignment="1" applyProtection="1">
      <alignment horizontal="center" vertical="center" textRotation="180" wrapText="1"/>
    </xf>
    <xf numFmtId="0" fontId="61" fillId="0" borderId="56" xfId="1" applyFont="1" applyBorder="1" applyAlignment="1" applyProtection="1">
      <alignment horizontal="center" vertical="center" textRotation="180"/>
    </xf>
    <xf numFmtId="0" fontId="61" fillId="0" borderId="33" xfId="1" applyFont="1" applyBorder="1" applyAlignment="1" applyProtection="1">
      <alignment horizontal="center" vertical="center" textRotation="180"/>
    </xf>
    <xf numFmtId="0" fontId="61" fillId="0" borderId="30" xfId="1" applyFont="1" applyBorder="1" applyAlignment="1" applyProtection="1">
      <alignment horizontal="center" vertical="center" textRotation="180" wrapText="1"/>
    </xf>
    <xf numFmtId="0" fontId="89" fillId="24" borderId="10" xfId="1" applyFont="1" applyFill="1" applyBorder="1" applyAlignment="1" applyProtection="1">
      <alignment horizontal="center" vertical="center"/>
      <protection locked="0"/>
    </xf>
    <xf numFmtId="0" fontId="89" fillId="24" borderId="26" xfId="1" applyFont="1" applyFill="1" applyBorder="1" applyAlignment="1" applyProtection="1">
      <alignment horizontal="center" vertical="center"/>
      <protection locked="0"/>
    </xf>
    <xf numFmtId="0" fontId="89" fillId="14" borderId="10" xfId="1" applyFont="1" applyFill="1" applyBorder="1" applyAlignment="1" applyProtection="1">
      <alignment horizontal="center" vertical="center"/>
    </xf>
    <xf numFmtId="0" fontId="89" fillId="14" borderId="26" xfId="1" applyFont="1" applyFill="1" applyBorder="1" applyAlignment="1" applyProtection="1">
      <alignment horizontal="center" vertical="center"/>
    </xf>
    <xf numFmtId="0" fontId="89" fillId="14" borderId="25" xfId="1" applyFont="1" applyFill="1" applyBorder="1" applyAlignment="1" applyProtection="1">
      <alignment horizontal="center" vertical="center"/>
    </xf>
    <xf numFmtId="0" fontId="89" fillId="0" borderId="69" xfId="1" applyFont="1" applyBorder="1" applyAlignment="1" applyProtection="1">
      <alignment horizontal="center" vertical="center" textRotation="180"/>
    </xf>
    <xf numFmtId="0" fontId="89" fillId="0" borderId="70" xfId="1" applyFont="1" applyBorder="1" applyAlignment="1" applyProtection="1">
      <alignment horizontal="center" vertical="center" textRotation="180"/>
    </xf>
    <xf numFmtId="0" fontId="89" fillId="0" borderId="62" xfId="1" applyFont="1" applyBorder="1" applyAlignment="1" applyProtection="1">
      <alignment horizontal="center" vertical="center" textRotation="180"/>
    </xf>
    <xf numFmtId="0" fontId="89" fillId="0" borderId="27" xfId="1" applyFont="1" applyBorder="1" applyAlignment="1" applyProtection="1">
      <alignment horizontal="center" vertical="center" textRotation="180"/>
    </xf>
    <xf numFmtId="0" fontId="89" fillId="0" borderId="71" xfId="1" applyFont="1" applyBorder="1" applyAlignment="1" applyProtection="1">
      <alignment horizontal="center" vertical="center" textRotation="180"/>
    </xf>
    <xf numFmtId="0" fontId="89" fillId="0" borderId="72" xfId="1" applyFont="1" applyBorder="1" applyAlignment="1" applyProtection="1">
      <alignment horizontal="center" vertical="center" textRotation="180"/>
    </xf>
    <xf numFmtId="0" fontId="93" fillId="14" borderId="10" xfId="1" applyFont="1" applyFill="1" applyBorder="1" applyAlignment="1" applyProtection="1">
      <alignment horizontal="center" vertical="center" wrapText="1"/>
    </xf>
    <xf numFmtId="0" fontId="93" fillId="14" borderId="26" xfId="1" applyFont="1" applyFill="1" applyBorder="1" applyAlignment="1" applyProtection="1">
      <alignment horizontal="center" vertical="center" wrapText="1"/>
    </xf>
    <xf numFmtId="0" fontId="93" fillId="14" borderId="25" xfId="1" applyFont="1" applyFill="1" applyBorder="1" applyAlignment="1" applyProtection="1">
      <alignment horizontal="center" vertical="center" wrapText="1"/>
    </xf>
    <xf numFmtId="0" fontId="71" fillId="0" borderId="66" xfId="1" applyFont="1" applyFill="1" applyBorder="1" applyAlignment="1" applyProtection="1">
      <alignment vertical="center" wrapText="1"/>
      <protection locked="0"/>
    </xf>
    <xf numFmtId="0" fontId="71" fillId="0" borderId="67" xfId="1" applyFont="1" applyFill="1" applyBorder="1" applyAlignment="1" applyProtection="1">
      <alignment vertical="center" wrapText="1"/>
      <protection locked="0"/>
    </xf>
    <xf numFmtId="0" fontId="71" fillId="0" borderId="68" xfId="1" applyFont="1" applyFill="1" applyBorder="1" applyAlignment="1" applyProtection="1">
      <alignment vertical="center" wrapText="1"/>
      <protection locked="0"/>
    </xf>
    <xf numFmtId="0" fontId="71" fillId="19" borderId="0" xfId="1" applyFont="1" applyFill="1" applyAlignment="1" applyProtection="1">
      <alignment horizontal="left" vertical="top" wrapText="1"/>
      <protection locked="0"/>
    </xf>
    <xf numFmtId="0" fontId="71" fillId="0" borderId="0" xfId="1" applyFont="1" applyBorder="1" applyAlignment="1" applyProtection="1">
      <alignment horizontal="left" vertical="top" wrapText="1"/>
      <protection locked="0"/>
    </xf>
    <xf numFmtId="0" fontId="72" fillId="0" borderId="0" xfId="1" applyFont="1" applyAlignment="1">
      <alignment horizontal="left" vertical="top" wrapText="1"/>
    </xf>
    <xf numFmtId="0" fontId="71" fillId="0" borderId="0" xfId="1" applyFont="1" applyBorder="1" applyAlignment="1" applyProtection="1">
      <alignment vertical="center" wrapText="1"/>
      <protection locked="0"/>
    </xf>
    <xf numFmtId="0" fontId="74" fillId="0" borderId="0" xfId="1" applyFont="1" applyAlignment="1">
      <alignment horizontal="left" vertical="top" wrapText="1"/>
    </xf>
    <xf numFmtId="0" fontId="7" fillId="0" borderId="10" xfId="1" applyBorder="1"/>
    <xf numFmtId="0" fontId="7" fillId="0" borderId="26" xfId="1" applyBorder="1" applyAlignment="1">
      <alignment horizontal="center"/>
    </xf>
    <xf numFmtId="0" fontId="7" fillId="0" borderId="25" xfId="1" applyBorder="1"/>
    <xf numFmtId="0" fontId="7" fillId="22" borderId="62" xfId="0" applyFont="1" applyFill="1" applyBorder="1" applyAlignment="1">
      <alignment horizontal="center" vertical="center"/>
    </xf>
    <xf numFmtId="0" fontId="7" fillId="0" borderId="62" xfId="0" applyFont="1" applyBorder="1" applyAlignment="1">
      <alignment horizontal="center" vertical="center"/>
    </xf>
    <xf numFmtId="0" fontId="7" fillId="0" borderId="71" xfId="0" applyFont="1" applyBorder="1" applyAlignment="1">
      <alignment horizontal="center" vertical="center"/>
    </xf>
  </cellXfs>
  <cellStyles count="12">
    <cellStyle name="Hyperlink" xfId="5" builtinId="8"/>
    <cellStyle name="Komma 2" xfId="8" xr:uid="{E365423F-4116-4166-B28A-97976D1FA87A}"/>
    <cellStyle name="Procent 2" xfId="4" xr:uid="{00000000-0005-0000-0000-000001000000}"/>
    <cellStyle name="Procent 2 2" xfId="10" xr:uid="{D1DE09D3-9B1A-489C-BC1F-449AFDEAC70F}"/>
    <cellStyle name="Standaard" xfId="0" builtinId="0"/>
    <cellStyle name="Standaard 2" xfId="1" xr:uid="{00000000-0005-0000-0000-000003000000}"/>
    <cellStyle name="Standaard 2 2" xfId="9" xr:uid="{BD46391A-B9BB-4689-8AA7-79F8FC89A1BE}"/>
    <cellStyle name="Standaard 3" xfId="2" xr:uid="{00000000-0005-0000-0000-000004000000}"/>
    <cellStyle name="Standaard 3 2 2" xfId="3" xr:uid="{00000000-0005-0000-0000-000005000000}"/>
    <cellStyle name="Standaard 3 2 2 2" xfId="6" xr:uid="{00000000-0005-0000-0000-000006000000}"/>
    <cellStyle name="Standaard 4" xfId="11" xr:uid="{CDFCC6A1-D594-453A-93B5-DA78B7F59A46}"/>
    <cellStyle name="Standaard_Blad1" xfId="7" xr:uid="{00000000-0005-0000-0000-000007000000}"/>
  </cellStyles>
  <dxfs count="3230">
    <dxf>
      <fill>
        <patternFill>
          <bgColor indexed="31"/>
        </patternFill>
      </fill>
      <border>
        <left style="hair">
          <color indexed="64"/>
        </left>
        <right style="hair">
          <color indexed="64"/>
        </right>
        <top style="hair">
          <color indexed="64"/>
        </top>
        <bottom style="hair">
          <color indexed="64"/>
        </bottom>
      </border>
    </dxf>
    <dxf>
      <fill>
        <patternFill>
          <bgColor indexed="11"/>
        </patternFill>
      </fill>
    </dxf>
    <dxf>
      <font>
        <condense val="0"/>
        <extend val="0"/>
        <color indexed="26"/>
      </font>
    </dxf>
    <dxf>
      <font>
        <condense val="0"/>
        <extend val="0"/>
        <color indexed="9"/>
      </font>
      <fill>
        <patternFill>
          <bgColor indexed="10"/>
        </patternFill>
      </fill>
    </dxf>
    <dxf>
      <font>
        <condense val="0"/>
        <extend val="0"/>
        <color indexed="26"/>
      </font>
    </dxf>
    <dxf>
      <fill>
        <patternFill>
          <bgColor indexed="13"/>
        </patternFill>
      </fill>
    </dxf>
    <dxf>
      <fill>
        <patternFill>
          <bgColor indexed="40"/>
        </patternFill>
      </fill>
    </dxf>
    <dxf>
      <fill>
        <patternFill>
          <bgColor indexed="13"/>
        </patternFill>
      </fill>
    </dxf>
    <dxf>
      <fill>
        <patternFill>
          <bgColor indexed="11"/>
        </patternFill>
      </fill>
    </dxf>
    <dxf>
      <fill>
        <patternFill>
          <bgColor indexed="13"/>
        </patternFill>
      </fill>
    </dxf>
    <dxf>
      <fill>
        <patternFill>
          <bgColor indexed="40"/>
        </patternFill>
      </fill>
    </dxf>
    <dxf>
      <font>
        <condense val="0"/>
        <extend val="0"/>
        <color indexed="9"/>
      </font>
    </dxf>
    <dxf>
      <font>
        <condense val="0"/>
        <extend val="0"/>
        <color indexed="9"/>
      </font>
      <fill>
        <patternFill>
          <bgColor indexed="10"/>
        </patternFill>
      </fill>
    </dxf>
    <dxf>
      <fill>
        <patternFill>
          <bgColor indexed="13"/>
        </patternFill>
      </fill>
    </dxf>
    <dxf>
      <fill>
        <patternFill>
          <bgColor indexed="40"/>
        </patternFill>
      </fill>
    </dxf>
    <dxf>
      <fill>
        <patternFill>
          <bgColor rgb="FF00FF00"/>
        </patternFill>
      </fill>
    </dxf>
    <dxf>
      <font>
        <color theme="0"/>
      </font>
      <fill>
        <patternFill>
          <bgColor rgb="FFFF0000"/>
        </patternFill>
      </fill>
    </dxf>
    <dxf>
      <fill>
        <patternFill>
          <bgColor indexed="11"/>
        </patternFill>
      </fill>
    </dxf>
    <dxf>
      <font>
        <condense val="0"/>
        <extend val="0"/>
        <color indexed="9"/>
      </font>
      <fill>
        <patternFill>
          <bgColor indexed="10"/>
        </patternFill>
      </fill>
    </dxf>
    <dxf>
      <fill>
        <patternFill>
          <bgColor indexed="11"/>
        </patternFill>
      </fill>
    </dxf>
    <dxf>
      <font>
        <condense val="0"/>
        <extend val="0"/>
        <color indexed="9"/>
      </font>
      <fill>
        <patternFill>
          <bgColor indexed="10"/>
        </patternFill>
      </fill>
    </dxf>
    <dxf>
      <font>
        <condense val="0"/>
        <extend val="0"/>
        <color indexed="10"/>
      </font>
    </dxf>
    <dxf>
      <font>
        <condense val="0"/>
        <extend val="0"/>
        <color indexed="9"/>
      </font>
    </dxf>
    <dxf>
      <fill>
        <patternFill>
          <bgColor indexed="13"/>
        </patternFill>
      </fill>
    </dxf>
    <dxf>
      <fill>
        <patternFill>
          <bgColor indexed="40"/>
        </patternFill>
      </fill>
    </dxf>
    <dxf>
      <font>
        <condense val="0"/>
        <extend val="0"/>
        <color indexed="9"/>
      </font>
    </dxf>
    <dxf>
      <fill>
        <patternFill>
          <bgColor indexed="11"/>
        </patternFill>
      </fill>
    </dxf>
    <dxf>
      <font>
        <condense val="0"/>
        <extend val="0"/>
        <color auto="1"/>
      </font>
      <fill>
        <patternFill>
          <bgColor indexed="13"/>
        </patternFill>
      </fill>
    </dxf>
    <dxf>
      <fill>
        <patternFill>
          <bgColor indexed="51"/>
        </patternFill>
      </fill>
    </dxf>
    <dxf>
      <fill>
        <patternFill>
          <bgColor indexed="31"/>
        </patternFill>
      </fill>
    </dxf>
    <dxf>
      <fill>
        <patternFill>
          <bgColor rgb="FF99CCFF"/>
        </patternFill>
      </fill>
    </dxf>
    <dxf>
      <fill>
        <patternFill>
          <bgColor rgb="FFCCFFCC"/>
        </patternFill>
      </fill>
    </dxf>
    <dxf>
      <fill>
        <patternFill>
          <bgColor rgb="FFFFFF99"/>
        </patternFill>
      </fill>
    </dxf>
    <dxf>
      <fill>
        <patternFill>
          <bgColor rgb="FFFF9999"/>
        </patternFill>
      </fill>
    </dxf>
    <dxf>
      <font>
        <color theme="1"/>
      </font>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lor rgb="FFFF0000"/>
      </font>
      <fill>
        <patternFill patternType="none">
          <bgColor auto="1"/>
        </patternFill>
      </fill>
    </dxf>
    <dxf>
      <font>
        <color rgb="FF0000FF"/>
      </font>
      <fill>
        <patternFill patternType="none">
          <bgColor auto="1"/>
        </patternFill>
      </fill>
    </dxf>
    <dxf>
      <font>
        <color theme="0"/>
      </font>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lor rgb="FFFF0000"/>
      </font>
      <fill>
        <patternFill patternType="none">
          <bgColor auto="1"/>
        </patternFill>
      </fill>
    </dxf>
    <dxf>
      <font>
        <color rgb="FF0000FF"/>
      </font>
      <fill>
        <patternFill patternType="none">
          <bgColor auto="1"/>
        </patternFill>
      </fill>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99CCFF"/>
      </font>
    </dxf>
    <dxf>
      <font>
        <color rgb="FFFFFF99"/>
      </font>
    </dxf>
    <dxf>
      <font>
        <color rgb="FFFF7C80"/>
      </font>
    </dxf>
    <dxf>
      <font>
        <color rgb="FF99CCFF"/>
      </font>
    </dxf>
    <dxf>
      <font>
        <color rgb="FFFFFF99"/>
      </font>
    </dxf>
    <dxf>
      <font>
        <color rgb="FFFFCC00"/>
      </font>
    </dxf>
    <dxf>
      <font>
        <color rgb="FFCC3399"/>
      </font>
    </dxf>
    <dxf>
      <font>
        <color rgb="FFCCFFCC"/>
      </font>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CCFF"/>
        </patternFill>
      </fill>
    </dxf>
    <dxf>
      <fill>
        <patternFill>
          <bgColor rgb="FFCCECFF"/>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99CCFF"/>
        </patternFill>
      </fill>
    </dxf>
    <dxf>
      <fill>
        <patternFill>
          <bgColor rgb="FFFF9999"/>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theme="0"/>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lor rgb="FFFF0000"/>
      </font>
      <fill>
        <patternFill patternType="none">
          <bgColor auto="1"/>
        </patternFill>
      </fill>
    </dxf>
    <dxf>
      <font>
        <color rgb="FF0000FF"/>
      </font>
      <fill>
        <patternFill patternType="none">
          <bgColor auto="1"/>
        </patternFill>
      </fill>
    </dxf>
    <dxf>
      <font>
        <color theme="0"/>
      </font>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lor rgb="FFFF0000"/>
      </font>
      <fill>
        <patternFill patternType="none">
          <bgColor auto="1"/>
        </patternFill>
      </fill>
    </dxf>
    <dxf>
      <font>
        <color rgb="FF0000FF"/>
      </font>
      <fill>
        <patternFill patternType="none">
          <bgColor auto="1"/>
        </patternFill>
      </fill>
    </dxf>
    <dxf>
      <fill>
        <patternFill>
          <bgColor rgb="FF66FFFF"/>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99CCFF"/>
      </font>
    </dxf>
    <dxf>
      <font>
        <color rgb="FFFFFF99"/>
      </font>
    </dxf>
    <dxf>
      <font>
        <color rgb="FFFF7C80"/>
      </font>
    </dxf>
    <dxf>
      <font>
        <color rgb="FF99CCFF"/>
      </font>
    </dxf>
    <dxf>
      <font>
        <color rgb="FFFFFF99"/>
      </font>
    </dxf>
    <dxf>
      <font>
        <color rgb="FFFFCC00"/>
      </font>
    </dxf>
    <dxf>
      <font>
        <color rgb="FFCC3399"/>
      </font>
    </dxf>
    <dxf>
      <font>
        <color rgb="FFCCFFCC"/>
      </font>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CCFF"/>
        </patternFill>
      </fill>
    </dxf>
    <dxf>
      <fill>
        <patternFill>
          <bgColor rgb="FFCCECFF"/>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99CCFF"/>
        </patternFill>
      </fill>
    </dxf>
    <dxf>
      <fill>
        <patternFill>
          <bgColor rgb="FFFF9999"/>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theme="0"/>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FF0000"/>
      </font>
      <fill>
        <patternFill patternType="none">
          <bgColor auto="1"/>
        </patternFill>
      </fill>
    </dxf>
    <dxf>
      <font>
        <color rgb="FF0000FF"/>
      </font>
      <fill>
        <patternFill patternType="none">
          <bgColor auto="1"/>
        </patternFill>
      </fill>
    </dxf>
    <dxf>
      <font>
        <color rgb="FFFF0000"/>
      </font>
      <fill>
        <patternFill patternType="none">
          <bgColor auto="1"/>
        </patternFill>
      </fill>
    </dxf>
    <dxf>
      <font>
        <color rgb="FF0000FF"/>
      </font>
      <fill>
        <patternFill patternType="none">
          <bgColor auto="1"/>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66FFFF"/>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99CCFF"/>
      </font>
    </dxf>
    <dxf>
      <font>
        <color rgb="FFFFFF99"/>
      </font>
    </dxf>
    <dxf>
      <font>
        <color rgb="FFFF7C80"/>
      </font>
    </dxf>
    <dxf>
      <font>
        <color rgb="FF99CCFF"/>
      </font>
    </dxf>
    <dxf>
      <font>
        <color rgb="FFFFFF99"/>
      </font>
    </dxf>
    <dxf>
      <font>
        <color rgb="FFFFCC00"/>
      </font>
    </dxf>
    <dxf>
      <font>
        <color rgb="FFCC3399"/>
      </font>
    </dxf>
    <dxf>
      <font>
        <color rgb="FFCCFFCC"/>
      </font>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CCFF"/>
        </patternFill>
      </fill>
    </dxf>
    <dxf>
      <fill>
        <patternFill>
          <bgColor rgb="FFCCECFF"/>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99CCFF"/>
        </patternFill>
      </fill>
    </dxf>
    <dxf>
      <fill>
        <patternFill>
          <bgColor rgb="FFFF9999"/>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theme="0"/>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FF0000"/>
      </font>
      <fill>
        <patternFill patternType="none">
          <bgColor auto="1"/>
        </patternFill>
      </fill>
    </dxf>
    <dxf>
      <font>
        <color rgb="FF0000FF"/>
      </font>
      <fill>
        <patternFill patternType="none">
          <bgColor auto="1"/>
        </patternFill>
      </fill>
    </dxf>
    <dxf>
      <font>
        <color rgb="FFFF0000"/>
      </font>
      <fill>
        <patternFill patternType="none">
          <bgColor auto="1"/>
        </patternFill>
      </fill>
    </dxf>
    <dxf>
      <font>
        <color rgb="FF0000FF"/>
      </font>
      <fill>
        <patternFill patternType="none">
          <bgColor auto="1"/>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66FFFF"/>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99CCFF"/>
      </font>
    </dxf>
    <dxf>
      <font>
        <color rgb="FFFFFF99"/>
      </font>
    </dxf>
    <dxf>
      <font>
        <color rgb="FFFF7C80"/>
      </font>
    </dxf>
    <dxf>
      <font>
        <color rgb="FF99CCFF"/>
      </font>
    </dxf>
    <dxf>
      <font>
        <color rgb="FFFFFF99"/>
      </font>
    </dxf>
    <dxf>
      <font>
        <color rgb="FFFFCC00"/>
      </font>
    </dxf>
    <dxf>
      <font>
        <color rgb="FFCC3399"/>
      </font>
    </dxf>
    <dxf>
      <font>
        <color rgb="FFCCFFCC"/>
      </font>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CCFF"/>
        </patternFill>
      </fill>
    </dxf>
    <dxf>
      <fill>
        <patternFill>
          <bgColor rgb="FFCCECFF"/>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99CCFF"/>
        </patternFill>
      </fill>
    </dxf>
    <dxf>
      <fill>
        <patternFill>
          <bgColor rgb="FFFF9999"/>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theme="0"/>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FF0000"/>
      </font>
      <fill>
        <patternFill patternType="none">
          <bgColor auto="1"/>
        </patternFill>
      </fill>
    </dxf>
    <dxf>
      <font>
        <color rgb="FF0000FF"/>
      </font>
      <fill>
        <patternFill patternType="none">
          <bgColor auto="1"/>
        </patternFill>
      </fill>
    </dxf>
    <dxf>
      <font>
        <color rgb="FFFF0000"/>
      </font>
      <fill>
        <patternFill patternType="none">
          <bgColor auto="1"/>
        </patternFill>
      </fill>
    </dxf>
    <dxf>
      <font>
        <color rgb="FF0000FF"/>
      </font>
      <fill>
        <patternFill patternType="none">
          <bgColor auto="1"/>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66FFFF"/>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99CCFF"/>
      </font>
    </dxf>
    <dxf>
      <font>
        <color rgb="FFFFFF99"/>
      </font>
    </dxf>
    <dxf>
      <font>
        <color rgb="FFFF7C80"/>
      </font>
    </dxf>
    <dxf>
      <font>
        <color rgb="FF99CCFF"/>
      </font>
    </dxf>
    <dxf>
      <font>
        <color rgb="FFFFFF99"/>
      </font>
    </dxf>
    <dxf>
      <font>
        <color rgb="FFCC3399"/>
      </font>
    </dxf>
    <dxf>
      <font>
        <color rgb="FFCCFFCC"/>
      </font>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CCFF"/>
        </patternFill>
      </fill>
    </dxf>
    <dxf>
      <fill>
        <patternFill>
          <bgColor rgb="FFCCECFF"/>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99CCFF"/>
        </patternFill>
      </fill>
    </dxf>
    <dxf>
      <fill>
        <patternFill>
          <bgColor rgb="FFFF9999"/>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theme="0"/>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FF0000"/>
      </font>
      <fill>
        <patternFill patternType="none">
          <bgColor auto="1"/>
        </patternFill>
      </fill>
    </dxf>
    <dxf>
      <font>
        <color rgb="FF0000FF"/>
      </font>
      <fill>
        <patternFill patternType="none">
          <bgColor auto="1"/>
        </patternFill>
      </fill>
    </dxf>
    <dxf>
      <font>
        <color rgb="FFFF0000"/>
      </font>
      <fill>
        <patternFill patternType="none">
          <bgColor auto="1"/>
        </patternFill>
      </fill>
    </dxf>
    <dxf>
      <font>
        <color rgb="FF0000FF"/>
      </font>
      <fill>
        <patternFill patternType="none">
          <bgColor auto="1"/>
        </patternFill>
      </fill>
    </dxf>
    <dxf>
      <fill>
        <patternFill>
          <bgColor rgb="FFFFFF99"/>
        </patternFill>
      </fill>
    </dxf>
    <dxf>
      <fill>
        <patternFill>
          <bgColor theme="0"/>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66FFFF"/>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99CCFF"/>
      </font>
    </dxf>
    <dxf>
      <font>
        <color rgb="FFFFFF99"/>
      </font>
    </dxf>
    <dxf>
      <font>
        <color rgb="FFFF7C80"/>
      </font>
    </dxf>
    <dxf>
      <font>
        <color rgb="FF99CCFF"/>
      </font>
    </dxf>
    <dxf>
      <font>
        <color rgb="FFFFFF99"/>
      </font>
    </dxf>
    <dxf>
      <font>
        <color rgb="FFFFCC00"/>
      </font>
    </dxf>
    <dxf>
      <font>
        <color rgb="FFCC3399"/>
      </font>
    </dxf>
    <dxf>
      <font>
        <color rgb="FFCCFFCC"/>
      </font>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CCFF"/>
        </patternFill>
      </fill>
    </dxf>
    <dxf>
      <fill>
        <patternFill>
          <bgColor rgb="FFCCECFF"/>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99CCFF"/>
        </patternFill>
      </fill>
    </dxf>
    <dxf>
      <fill>
        <patternFill>
          <bgColor rgb="FFFF9999"/>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theme="0"/>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FF0000"/>
      </font>
      <fill>
        <patternFill patternType="none">
          <bgColor auto="1"/>
        </patternFill>
      </fill>
    </dxf>
    <dxf>
      <font>
        <color rgb="FF0000FF"/>
      </font>
      <fill>
        <patternFill patternType="none">
          <bgColor auto="1"/>
        </patternFill>
      </fill>
    </dxf>
    <dxf>
      <font>
        <color rgb="FFFF0000"/>
      </font>
      <fill>
        <patternFill patternType="none">
          <bgColor auto="1"/>
        </patternFill>
      </fill>
    </dxf>
    <dxf>
      <font>
        <color rgb="FF0000FF"/>
      </font>
      <fill>
        <patternFill patternType="none">
          <bgColor auto="1"/>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rgb="FFFFFF99"/>
        </patternFill>
      </fill>
    </dxf>
    <dxf>
      <fill>
        <patternFill>
          <bgColor theme="0"/>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66FFFF"/>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99CCFF"/>
      </font>
    </dxf>
    <dxf>
      <font>
        <color rgb="FFFFFF99"/>
      </font>
    </dxf>
    <dxf>
      <font>
        <color rgb="FFFF7C80"/>
      </font>
    </dxf>
    <dxf>
      <font>
        <color rgb="FF99CCFF"/>
      </font>
    </dxf>
    <dxf>
      <font>
        <color rgb="FFFFFF99"/>
      </font>
    </dxf>
    <dxf>
      <font>
        <color rgb="FFFFCC00"/>
      </font>
    </dxf>
    <dxf>
      <font>
        <color rgb="FFCC3399"/>
      </font>
    </dxf>
    <dxf>
      <font>
        <color rgb="FFCCFFCC"/>
      </font>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CCFF"/>
        </patternFill>
      </fill>
    </dxf>
    <dxf>
      <fill>
        <patternFill>
          <bgColor rgb="FFCCECFF"/>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99CCFF"/>
        </patternFill>
      </fill>
    </dxf>
    <dxf>
      <fill>
        <patternFill>
          <bgColor rgb="FFFF9999"/>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theme="0"/>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FF0000"/>
      </font>
      <fill>
        <patternFill patternType="none">
          <bgColor auto="1"/>
        </patternFill>
      </fill>
    </dxf>
    <dxf>
      <font>
        <color rgb="FF0000FF"/>
      </font>
      <fill>
        <patternFill patternType="none">
          <bgColor auto="1"/>
        </patternFill>
      </fill>
    </dxf>
    <dxf>
      <font>
        <color rgb="FFFF0000"/>
      </font>
      <fill>
        <patternFill patternType="none">
          <bgColor auto="1"/>
        </patternFill>
      </fill>
    </dxf>
    <dxf>
      <font>
        <color rgb="FF0000FF"/>
      </font>
      <fill>
        <patternFill patternType="none">
          <bgColor auto="1"/>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rgb="FFFFFF99"/>
        </patternFill>
      </fill>
    </dxf>
    <dxf>
      <fill>
        <patternFill>
          <bgColor theme="0"/>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66FFFF"/>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99CCFF"/>
      </font>
    </dxf>
    <dxf>
      <font>
        <color rgb="FFFFFF99"/>
      </font>
    </dxf>
    <dxf>
      <font>
        <color rgb="FFFF7C80"/>
      </font>
    </dxf>
    <dxf>
      <font>
        <color rgb="FF99CCFF"/>
      </font>
    </dxf>
    <dxf>
      <font>
        <color rgb="FFFFFF99"/>
      </font>
    </dxf>
    <dxf>
      <font>
        <color rgb="FFFFCC00"/>
      </font>
    </dxf>
    <dxf>
      <font>
        <color rgb="FFCC3399"/>
      </font>
    </dxf>
    <dxf>
      <font>
        <color rgb="FFCCFFCC"/>
      </font>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CCFF"/>
        </patternFill>
      </fill>
    </dxf>
    <dxf>
      <fill>
        <patternFill>
          <bgColor rgb="FFCCECFF"/>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99CCFF"/>
        </patternFill>
      </fill>
    </dxf>
    <dxf>
      <fill>
        <patternFill>
          <bgColor rgb="FFFF9999"/>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theme="0"/>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CCFF"/>
        </patternFill>
      </fill>
    </dxf>
    <dxf>
      <fill>
        <patternFill>
          <bgColor rgb="FFCCFFCC"/>
        </patternFill>
      </fill>
    </dxf>
    <dxf>
      <fill>
        <patternFill>
          <bgColor rgb="FFFFFF99"/>
        </patternFill>
      </fill>
    </dxf>
    <dxf>
      <fill>
        <patternFill>
          <bgColor rgb="FFFFCC66"/>
        </patternFill>
      </fill>
    </dxf>
    <dxf>
      <fill>
        <patternFill>
          <bgColor rgb="FFFF7C80"/>
        </patternFill>
      </fill>
    </dxf>
    <dxf>
      <font>
        <color theme="0"/>
      </font>
      <fill>
        <patternFill>
          <bgColor rgb="FFFF0000"/>
        </patternFill>
      </fill>
    </dxf>
    <dxf>
      <font>
        <color theme="0"/>
      </font>
      <fill>
        <patternFill>
          <bgColor rgb="FF0070C0"/>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ont>
        <condense val="0"/>
        <extend val="0"/>
        <color auto="1"/>
      </font>
      <fill>
        <patternFill>
          <bgColor indexed="29"/>
        </patternFill>
      </fill>
    </dxf>
    <dxf>
      <fill>
        <patternFill>
          <bgColor indexed="42"/>
        </patternFill>
      </fill>
    </dxf>
    <dxf>
      <fill>
        <patternFill>
          <bgColor indexed="44"/>
        </patternFill>
      </fill>
    </dxf>
    <dxf>
      <fill>
        <patternFill>
          <bgColor indexed="44"/>
        </patternFill>
      </fill>
    </dxf>
    <dxf>
      <fill>
        <patternFill>
          <bgColor indexed="42"/>
        </patternFill>
      </fill>
    </dxf>
    <dxf>
      <fill>
        <patternFill>
          <bgColor indexed="29"/>
        </patternFill>
      </fill>
    </dxf>
    <dxf>
      <fill>
        <patternFill>
          <bgColor theme="0"/>
        </patternFill>
      </fill>
    </dxf>
    <dxf>
      <font>
        <condense val="0"/>
        <extend val="0"/>
        <color auto="1"/>
      </font>
      <fill>
        <patternFill>
          <bgColor indexed="29"/>
        </patternFill>
      </fill>
    </dxf>
    <dxf>
      <fill>
        <patternFill>
          <bgColor indexed="42"/>
        </patternFill>
      </fill>
    </dxf>
    <dxf>
      <fill>
        <patternFill>
          <bgColor indexed="44"/>
        </patternFill>
      </fill>
    </dxf>
    <dxf>
      <fill>
        <patternFill>
          <bgColor rgb="FFFFFF99"/>
        </patternFill>
      </fill>
    </dxf>
    <dxf>
      <fill>
        <patternFill>
          <bgColor theme="0"/>
        </patternFill>
      </fill>
    </dxf>
    <dxf>
      <fill>
        <patternFill>
          <bgColor indexed="44"/>
        </patternFill>
      </fill>
    </dxf>
    <dxf>
      <fill>
        <patternFill>
          <bgColor indexed="42"/>
        </patternFill>
      </fill>
    </dxf>
    <dxf>
      <fill>
        <patternFill>
          <bgColor indexed="29"/>
        </patternFill>
      </fill>
    </dxf>
    <dxf>
      <fill>
        <patternFill>
          <bgColor rgb="FF99CCFF"/>
        </patternFill>
      </fill>
    </dxf>
    <dxf>
      <fill>
        <patternFill>
          <bgColor rgb="FFCCFFCC"/>
        </patternFill>
      </fill>
    </dxf>
    <dxf>
      <fill>
        <patternFill>
          <bgColor rgb="FFFF7C80"/>
        </patternFill>
      </fill>
    </dxf>
    <dxf>
      <fill>
        <patternFill>
          <bgColor rgb="FF99CCFF"/>
        </patternFill>
      </fill>
    </dxf>
    <dxf>
      <fill>
        <patternFill>
          <bgColor rgb="FFCCFFCC"/>
        </patternFill>
      </fill>
    </dxf>
    <dxf>
      <fill>
        <patternFill>
          <bgColor rgb="FFFF7C80"/>
        </patternFill>
      </fill>
    </dxf>
    <dxf>
      <fill>
        <patternFill>
          <bgColor rgb="FF99CCFF"/>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66FFFF"/>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99CCFF"/>
      </font>
    </dxf>
    <dxf>
      <font>
        <color rgb="FFFFFF99"/>
      </font>
    </dxf>
    <dxf>
      <font>
        <color rgb="FFFF7C80"/>
      </font>
    </dxf>
    <dxf>
      <font>
        <color rgb="FF99CCFF"/>
      </font>
    </dxf>
    <dxf>
      <font>
        <color rgb="FFFFFF99"/>
      </font>
    </dxf>
    <dxf>
      <font>
        <color rgb="FFFFCC00"/>
      </font>
    </dxf>
    <dxf>
      <font>
        <color rgb="FFCC3399"/>
      </font>
    </dxf>
    <dxf>
      <font>
        <color rgb="FFCCFFCC"/>
      </font>
    </dxf>
    <dxf>
      <fill>
        <patternFill>
          <bgColor rgb="FF66FFFF"/>
        </patternFill>
      </fill>
    </dxf>
    <dxf>
      <font>
        <color rgb="FFFF0000"/>
      </font>
      <fill>
        <patternFill patternType="none">
          <bgColor auto="1"/>
        </patternFill>
      </fill>
    </dxf>
    <dxf>
      <font>
        <color rgb="FF0000FF"/>
      </font>
      <fill>
        <patternFill patternType="none">
          <bgColor auto="1"/>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CCFF"/>
        </patternFill>
      </fill>
    </dxf>
    <dxf>
      <fill>
        <patternFill>
          <bgColor rgb="FFCCECFF"/>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99CCFF"/>
        </patternFill>
      </fill>
    </dxf>
    <dxf>
      <fill>
        <patternFill>
          <bgColor rgb="FFFF9999"/>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theme="0"/>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CCFF"/>
        </patternFill>
      </fill>
    </dxf>
    <dxf>
      <fill>
        <patternFill>
          <bgColor rgb="FFCCFFCC"/>
        </patternFill>
      </fill>
    </dxf>
    <dxf>
      <fill>
        <patternFill>
          <bgColor rgb="FFFFFF99"/>
        </patternFill>
      </fill>
    </dxf>
    <dxf>
      <fill>
        <patternFill>
          <bgColor rgb="FFFFCC66"/>
        </patternFill>
      </fill>
    </dxf>
    <dxf>
      <fill>
        <patternFill>
          <bgColor rgb="FFFF7C80"/>
        </patternFill>
      </fill>
    </dxf>
    <dxf>
      <font>
        <color theme="0"/>
      </font>
      <fill>
        <patternFill>
          <bgColor rgb="FFFF0000"/>
        </patternFill>
      </fill>
    </dxf>
    <dxf>
      <font>
        <color theme="0"/>
      </font>
      <fill>
        <patternFill>
          <bgColor rgb="FF0070C0"/>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indexed="44"/>
        </patternFill>
      </fill>
    </dxf>
    <dxf>
      <fill>
        <patternFill>
          <bgColor indexed="42"/>
        </patternFill>
      </fill>
    </dxf>
    <dxf>
      <fill>
        <patternFill>
          <bgColor indexed="29"/>
        </patternFill>
      </fill>
    </dxf>
    <dxf>
      <font>
        <condense val="0"/>
        <extend val="0"/>
        <color auto="1"/>
      </font>
      <fill>
        <patternFill>
          <bgColor indexed="29"/>
        </patternFill>
      </fill>
    </dxf>
    <dxf>
      <fill>
        <patternFill>
          <bgColor indexed="42"/>
        </patternFill>
      </fill>
    </dxf>
    <dxf>
      <fill>
        <patternFill>
          <bgColor indexed="44"/>
        </patternFill>
      </fill>
    </dxf>
    <dxf>
      <fill>
        <patternFill>
          <bgColor rgb="FFFFFF99"/>
        </patternFill>
      </fill>
    </dxf>
    <dxf>
      <fill>
        <patternFill>
          <bgColor rgb="FF99CCFF"/>
        </patternFill>
      </fill>
    </dxf>
    <dxf>
      <fill>
        <patternFill>
          <bgColor rgb="FFCCFFCC"/>
        </patternFill>
      </fill>
    </dxf>
    <dxf>
      <fill>
        <patternFill>
          <bgColor rgb="FFFF7C80"/>
        </patternFill>
      </fill>
    </dxf>
    <dxf>
      <fill>
        <patternFill>
          <bgColor rgb="FF99CCFF"/>
        </patternFill>
      </fill>
    </dxf>
    <dxf>
      <fill>
        <patternFill>
          <bgColor rgb="FFCCFFCC"/>
        </patternFill>
      </fill>
    </dxf>
    <dxf>
      <fill>
        <patternFill>
          <bgColor rgb="FFFF7C80"/>
        </patternFill>
      </fill>
    </dxf>
    <dxf>
      <fill>
        <patternFill>
          <bgColor rgb="FF99CCFF"/>
        </patternFill>
      </fill>
    </dxf>
    <dxf>
      <fill>
        <patternFill>
          <bgColor rgb="FFFFFF99"/>
        </patternFill>
      </fill>
    </dxf>
    <dxf>
      <fill>
        <patternFill>
          <bgColor indexed="44"/>
        </patternFill>
      </fill>
    </dxf>
    <dxf>
      <fill>
        <patternFill>
          <bgColor indexed="42"/>
        </patternFill>
      </fill>
    </dxf>
    <dxf>
      <fill>
        <patternFill>
          <bgColor indexed="29"/>
        </patternFill>
      </fill>
    </dxf>
    <dxf>
      <font>
        <condense val="0"/>
        <extend val="0"/>
        <color auto="1"/>
      </font>
      <fill>
        <patternFill>
          <bgColor indexed="29"/>
        </patternFill>
      </fill>
    </dxf>
    <dxf>
      <fill>
        <patternFill>
          <bgColor indexed="42"/>
        </patternFill>
      </fill>
    </dxf>
    <dxf>
      <fill>
        <patternFill>
          <bgColor indexed="44"/>
        </patternFill>
      </fill>
    </dxf>
    <dxf>
      <fill>
        <patternFill>
          <bgColor indexed="44"/>
        </patternFill>
      </fill>
    </dxf>
    <dxf>
      <fill>
        <patternFill>
          <bgColor indexed="42"/>
        </patternFill>
      </fill>
    </dxf>
    <dxf>
      <fill>
        <patternFill>
          <bgColor indexed="29"/>
        </patternFill>
      </fill>
    </dxf>
    <dxf>
      <font>
        <condense val="0"/>
        <extend val="0"/>
        <color auto="1"/>
      </font>
      <fill>
        <patternFill>
          <bgColor indexed="29"/>
        </patternFill>
      </fill>
    </dxf>
    <dxf>
      <fill>
        <patternFill>
          <bgColor indexed="42"/>
        </patternFill>
      </fill>
    </dxf>
    <dxf>
      <fill>
        <patternFill>
          <bgColor indexed="44"/>
        </patternFill>
      </fill>
    </dxf>
    <dxf>
      <fill>
        <patternFill>
          <bgColor rgb="FFFFFF99"/>
        </patternFill>
      </fill>
    </dxf>
    <dxf>
      <fill>
        <patternFill>
          <bgColor rgb="FF99CCFF"/>
        </patternFill>
      </fill>
    </dxf>
    <dxf>
      <fill>
        <patternFill>
          <bgColor rgb="FFCCFFCC"/>
        </patternFill>
      </fill>
    </dxf>
    <dxf>
      <fill>
        <patternFill>
          <bgColor rgb="FFFF7C80"/>
        </patternFill>
      </fill>
    </dxf>
    <dxf>
      <fill>
        <patternFill>
          <bgColor rgb="FF99CCFF"/>
        </patternFill>
      </fill>
    </dxf>
    <dxf>
      <fill>
        <patternFill>
          <bgColor rgb="FFCCFFCC"/>
        </patternFill>
      </fill>
    </dxf>
    <dxf>
      <fill>
        <patternFill>
          <bgColor rgb="FFFF7C80"/>
        </patternFill>
      </fill>
    </dxf>
    <dxf>
      <fill>
        <patternFill>
          <bgColor rgb="FF99CCFF"/>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FFFF"/>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7C80"/>
        </patternFill>
      </fill>
    </dxf>
    <dxf>
      <font>
        <color rgb="FF99CCFF"/>
      </font>
    </dxf>
    <dxf>
      <font>
        <color rgb="FFFFFF99"/>
      </font>
    </dxf>
    <dxf>
      <font>
        <color rgb="FFFF7C80"/>
      </font>
    </dxf>
    <dxf>
      <font>
        <color rgb="FF99CCFF"/>
      </font>
    </dxf>
    <dxf>
      <font>
        <color rgb="FFFFFF99"/>
      </font>
    </dxf>
    <dxf>
      <font>
        <color rgb="FFFFCC00"/>
      </font>
    </dxf>
    <dxf>
      <font>
        <color rgb="FFCC3399"/>
      </font>
    </dxf>
    <dxf>
      <font>
        <color rgb="FFCCFFCC"/>
      </font>
    </dxf>
    <dxf>
      <fill>
        <patternFill>
          <bgColor rgb="FF66FFFF"/>
        </patternFill>
      </fill>
    </dxf>
    <dxf>
      <font>
        <color rgb="FFFF0000"/>
      </font>
      <fill>
        <patternFill patternType="none">
          <bgColor auto="1"/>
        </patternFill>
      </fill>
    </dxf>
    <dxf>
      <font>
        <color rgb="FF0000FF"/>
      </font>
      <fill>
        <patternFill patternType="none">
          <bgColor auto="1"/>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99CCFF"/>
        </patternFill>
      </fill>
    </dxf>
    <dxf>
      <fill>
        <patternFill>
          <bgColor rgb="FFCCECFF"/>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99CCFF"/>
        </patternFill>
      </fill>
    </dxf>
    <dxf>
      <fill>
        <patternFill>
          <bgColor rgb="FFFF9999"/>
        </patternFill>
      </fill>
    </dxf>
    <dxf>
      <fill>
        <patternFill>
          <bgColor indexed="44"/>
        </patternFill>
      </fill>
    </dxf>
    <dxf>
      <fill>
        <patternFill>
          <bgColor indexed="42"/>
        </patternFill>
      </fill>
    </dxf>
    <dxf>
      <fill>
        <patternFill>
          <bgColor indexed="29"/>
        </patternFill>
      </fill>
    </dxf>
    <dxf>
      <fill>
        <patternFill>
          <bgColor theme="0"/>
        </patternFill>
      </fill>
    </dxf>
    <dxf>
      <fill>
        <patternFill>
          <bgColor theme="0"/>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ont>
        <color auto="1"/>
      </font>
      <fill>
        <patternFill>
          <bgColor rgb="FF92D050"/>
        </patternFill>
      </fill>
    </dxf>
    <dxf>
      <fill>
        <patternFill>
          <bgColor theme="6" tint="0.39994506668294322"/>
        </patternFill>
      </fill>
    </dxf>
    <dxf>
      <font>
        <color auto="1"/>
      </font>
      <fill>
        <patternFill>
          <bgColor theme="8" tint="0.39994506668294322"/>
        </patternFill>
      </fill>
    </dxf>
    <dxf>
      <fill>
        <patternFill>
          <bgColor rgb="FFFF5050"/>
        </patternFill>
      </fill>
    </dxf>
    <dxf>
      <font>
        <color auto="1"/>
      </font>
      <fill>
        <patternFill>
          <bgColor rgb="FFFF7C80"/>
        </patternFill>
      </fill>
    </dxf>
    <dxf>
      <fill>
        <patternFill>
          <bgColor rgb="FF99FF99"/>
        </patternFill>
      </fill>
    </dxf>
    <dxf>
      <font>
        <color auto="1"/>
      </font>
      <fill>
        <patternFill>
          <bgColor rgb="FFCCFF99"/>
        </patternFill>
      </fill>
    </dxf>
    <dxf>
      <font>
        <color auto="1"/>
      </font>
      <fill>
        <patternFill>
          <bgColor rgb="FFFF9999"/>
        </patternFill>
      </fill>
    </dxf>
    <dxf>
      <fill>
        <patternFill>
          <bgColor rgb="FFFFFF99"/>
        </patternFill>
      </fill>
    </dxf>
    <dxf>
      <fill>
        <patternFill>
          <bgColor rgb="FFFFFF99"/>
        </patternFill>
      </fill>
    </dxf>
    <dxf>
      <fill>
        <patternFill>
          <bgColor rgb="FFCCFFCC"/>
        </patternFill>
      </fill>
    </dxf>
    <dxf>
      <fill>
        <patternFill>
          <bgColor rgb="FFFFFF99"/>
        </patternFill>
      </fill>
    </dxf>
    <dxf>
      <font>
        <color theme="0"/>
      </font>
      <fill>
        <patternFill>
          <bgColor rgb="FF0070C0"/>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rgb="FF99FF99"/>
        </patternFill>
      </fill>
    </dxf>
    <dxf>
      <font>
        <color auto="1"/>
      </font>
      <fill>
        <patternFill>
          <bgColor rgb="FFFF7C80"/>
        </patternFill>
      </fill>
    </dxf>
    <dxf>
      <fill>
        <patternFill>
          <bgColor rgb="FF99FF99"/>
        </patternFill>
      </fill>
    </dxf>
    <dxf>
      <font>
        <color auto="1"/>
      </font>
      <fill>
        <patternFill>
          <bgColor rgb="FFFF7C80"/>
        </patternFill>
      </fill>
    </dxf>
    <dxf>
      <fill>
        <patternFill>
          <bgColor rgb="FFCCFFCC"/>
        </patternFill>
      </fill>
    </dxf>
    <dxf>
      <fill>
        <patternFill>
          <bgColor indexed="44"/>
        </patternFill>
      </fill>
    </dxf>
    <dxf>
      <fill>
        <patternFill>
          <bgColor indexed="42"/>
        </patternFill>
      </fill>
    </dxf>
    <dxf>
      <fill>
        <patternFill>
          <bgColor indexed="29"/>
        </patternFill>
      </fill>
    </dxf>
    <dxf>
      <fill>
        <patternFill>
          <bgColor rgb="FFCCFFCC"/>
        </patternFill>
      </fill>
    </dxf>
    <dxf>
      <fill>
        <patternFill>
          <bgColor rgb="FFFF7C80"/>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rgb="FF99FF99"/>
        </patternFill>
      </fill>
    </dxf>
    <dxf>
      <font>
        <color auto="1"/>
      </font>
      <fill>
        <patternFill>
          <bgColor rgb="FFFF7C80"/>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4"/>
        </patternFill>
      </fill>
    </dxf>
    <dxf>
      <fill>
        <patternFill>
          <bgColor indexed="42"/>
        </patternFill>
      </fill>
    </dxf>
    <dxf>
      <fill>
        <patternFill>
          <bgColor indexed="29"/>
        </patternFill>
      </fill>
    </dxf>
    <dxf>
      <font>
        <color auto="1"/>
      </font>
      <fill>
        <patternFill>
          <bgColor rgb="FF92D050"/>
        </patternFill>
      </fill>
    </dxf>
    <dxf>
      <fill>
        <patternFill>
          <bgColor theme="6" tint="0.39994506668294322"/>
        </patternFill>
      </fill>
    </dxf>
    <dxf>
      <font>
        <color auto="1"/>
      </font>
      <fill>
        <patternFill>
          <bgColor theme="8" tint="0.39994506668294322"/>
        </patternFill>
      </fill>
    </dxf>
    <dxf>
      <fill>
        <patternFill>
          <bgColor rgb="FFFF5050"/>
        </patternFill>
      </fill>
    </dxf>
    <dxf>
      <font>
        <color auto="1"/>
      </font>
      <fill>
        <patternFill>
          <bgColor rgb="FFFF7C80"/>
        </patternFill>
      </fill>
    </dxf>
    <dxf>
      <fill>
        <patternFill>
          <bgColor rgb="FF99FF99"/>
        </patternFill>
      </fill>
    </dxf>
    <dxf>
      <font>
        <color auto="1"/>
      </font>
      <fill>
        <patternFill>
          <bgColor rgb="FFCCFF99"/>
        </patternFill>
      </fill>
    </dxf>
    <dxf>
      <font>
        <color auto="1"/>
      </font>
      <fill>
        <patternFill>
          <bgColor rgb="FFFF9999"/>
        </patternFill>
      </fill>
    </dxf>
    <dxf>
      <fill>
        <patternFill>
          <bgColor rgb="FFFFFF99"/>
        </patternFill>
      </fill>
    </dxf>
    <dxf>
      <fill>
        <patternFill>
          <bgColor rgb="FFFFFF99"/>
        </patternFill>
      </fill>
    </dxf>
    <dxf>
      <fill>
        <patternFill>
          <bgColor rgb="FFCCFFCC"/>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99CCFF"/>
        </patternFill>
      </fill>
    </dxf>
    <dxf>
      <fill>
        <patternFill>
          <bgColor rgb="FF99CCFF"/>
        </patternFill>
      </fill>
    </dxf>
    <dxf>
      <fill>
        <patternFill>
          <bgColor rgb="FF99CCFF"/>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rgb="FF99FF99"/>
        </patternFill>
      </fill>
    </dxf>
    <dxf>
      <font>
        <color auto="1"/>
      </font>
      <fill>
        <patternFill>
          <bgColor rgb="FFFF7C80"/>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rgb="FF99FF99"/>
        </patternFill>
      </fill>
    </dxf>
    <dxf>
      <font>
        <color auto="1"/>
      </font>
      <fill>
        <patternFill>
          <bgColor rgb="FFFF7C80"/>
        </patternFill>
      </fill>
    </dxf>
    <dxf>
      <font>
        <color auto="1"/>
      </font>
      <fill>
        <patternFill>
          <bgColor rgb="FF92D050"/>
        </patternFill>
      </fill>
    </dxf>
    <dxf>
      <fill>
        <patternFill>
          <bgColor theme="6" tint="0.39994506668294322"/>
        </patternFill>
      </fill>
    </dxf>
    <dxf>
      <font>
        <color auto="1"/>
      </font>
      <fill>
        <patternFill>
          <bgColor theme="8" tint="0.39994506668294322"/>
        </patternFill>
      </fill>
    </dxf>
    <dxf>
      <fill>
        <patternFill>
          <bgColor rgb="FFFF5050"/>
        </patternFill>
      </fill>
    </dxf>
    <dxf>
      <font>
        <color auto="1"/>
      </font>
      <fill>
        <patternFill>
          <bgColor rgb="FFFF7C80"/>
        </patternFill>
      </fill>
    </dxf>
    <dxf>
      <fill>
        <patternFill>
          <bgColor rgb="FF99FF99"/>
        </patternFill>
      </fill>
    </dxf>
    <dxf>
      <font>
        <color auto="1"/>
      </font>
      <fill>
        <patternFill>
          <bgColor rgb="FFCCFF99"/>
        </patternFill>
      </fill>
    </dxf>
    <dxf>
      <font>
        <color auto="1"/>
      </font>
      <fill>
        <patternFill>
          <bgColor rgb="FFFF9999"/>
        </patternFill>
      </fill>
    </dxf>
    <dxf>
      <fill>
        <patternFill>
          <bgColor rgb="FFFFFF99"/>
        </patternFill>
      </fill>
    </dxf>
    <dxf>
      <fill>
        <patternFill>
          <bgColor rgb="FFFFFF99"/>
        </patternFill>
      </fill>
    </dxf>
    <dxf>
      <fill>
        <patternFill>
          <bgColor rgb="FFCCFFCC"/>
        </patternFill>
      </fill>
    </dxf>
    <dxf>
      <fill>
        <patternFill>
          <bgColor rgb="FFFFFF99"/>
        </patternFill>
      </fill>
    </dxf>
    <dxf>
      <fill>
        <patternFill>
          <bgColor rgb="FFFFC000"/>
        </patternFill>
      </fill>
    </dxf>
    <dxf>
      <fill>
        <patternFill>
          <bgColor rgb="FFFF0000"/>
        </patternFill>
      </fill>
    </dxf>
    <dxf>
      <fill>
        <patternFill>
          <bgColor rgb="FF00B0F0"/>
        </patternFill>
      </fill>
    </dxf>
    <dxf>
      <fill>
        <patternFill>
          <bgColor rgb="FF0070C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CCCCFF"/>
        </patternFill>
      </fill>
    </dxf>
    <dxf>
      <fill>
        <patternFill>
          <bgColor rgb="FFCCCCFF"/>
        </patternFill>
      </fill>
    </dxf>
    <dxf>
      <fill>
        <patternFill>
          <bgColor rgb="FFFFC000"/>
        </patternFill>
      </fill>
    </dxf>
    <dxf>
      <fill>
        <patternFill>
          <bgColor rgb="FF92D050"/>
        </patternFill>
      </fill>
    </dxf>
    <dxf>
      <fill>
        <patternFill>
          <bgColor rgb="FFFFFF00"/>
        </patternFill>
      </fill>
    </dxf>
    <dxf>
      <font>
        <condense val="0"/>
        <extend val="0"/>
        <color indexed="9"/>
      </font>
      <fill>
        <patternFill>
          <bgColor indexed="10"/>
        </patternFill>
      </fill>
    </dxf>
    <dxf>
      <font>
        <condense val="0"/>
        <extend val="0"/>
        <color auto="1"/>
      </font>
      <fill>
        <patternFill>
          <bgColor indexed="51"/>
        </patternFill>
      </fill>
    </dxf>
    <dxf>
      <fill>
        <patternFill>
          <bgColor indexed="42"/>
        </patternFill>
      </fill>
    </dxf>
    <dxf>
      <fill>
        <patternFill>
          <bgColor rgb="FFCCCCFF"/>
        </patternFill>
      </fill>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indexed="13"/>
        </patternFill>
      </fill>
    </dxf>
    <dxf>
      <fill>
        <patternFill>
          <bgColor indexed="31"/>
        </patternFill>
      </fill>
    </dxf>
    <dxf>
      <fill>
        <patternFill>
          <bgColor indexed="13"/>
        </patternFill>
      </fill>
    </dxf>
    <dxf>
      <font>
        <color theme="1"/>
      </font>
      <fill>
        <patternFill>
          <bgColor rgb="FF00B0F0"/>
        </patternFill>
      </fill>
    </dxf>
    <dxf>
      <font>
        <color theme="1"/>
      </font>
      <fill>
        <patternFill>
          <bgColor rgb="FF99CCFF"/>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9999"/>
        </patternFill>
      </fill>
    </dxf>
    <dxf>
      <font>
        <color theme="1"/>
      </font>
      <fill>
        <patternFill>
          <bgColor rgb="FFFF0000"/>
        </patternFill>
      </fill>
    </dxf>
    <dxf>
      <font>
        <color theme="1"/>
      </font>
      <fill>
        <patternFill>
          <bgColor rgb="FF00B0F0"/>
        </patternFill>
      </fill>
    </dxf>
    <dxf>
      <font>
        <color theme="1"/>
      </font>
      <fill>
        <patternFill>
          <bgColor rgb="FF99CCFF"/>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9999"/>
        </patternFill>
      </fill>
    </dxf>
    <dxf>
      <font>
        <color theme="1"/>
      </font>
      <fill>
        <patternFill>
          <bgColor rgb="FFFF0000"/>
        </patternFill>
      </fill>
    </dxf>
    <dxf>
      <font>
        <color theme="1"/>
      </font>
      <fill>
        <patternFill>
          <bgColor rgb="FF00B0F0"/>
        </patternFill>
      </fill>
    </dxf>
    <dxf>
      <font>
        <color theme="1"/>
      </font>
      <fill>
        <patternFill>
          <bgColor rgb="FF99CCFF"/>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9999"/>
        </patternFill>
      </fill>
    </dxf>
    <dxf>
      <font>
        <color theme="1"/>
      </font>
      <fill>
        <patternFill>
          <bgColor rgb="FFFF0000"/>
        </patternFill>
      </fill>
    </dxf>
    <dxf>
      <font>
        <color theme="1"/>
      </font>
      <fill>
        <patternFill>
          <bgColor rgb="FF00B0F0"/>
        </patternFill>
      </fill>
    </dxf>
    <dxf>
      <font>
        <color theme="1"/>
      </font>
      <fill>
        <patternFill>
          <bgColor rgb="FF99CCFF"/>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9999"/>
        </patternFill>
      </fill>
    </dxf>
    <dxf>
      <font>
        <color theme="1"/>
      </font>
      <fill>
        <patternFill>
          <bgColor rgb="FFFF0000"/>
        </patternFill>
      </fill>
    </dxf>
    <dxf>
      <font>
        <color theme="1"/>
      </font>
      <fill>
        <patternFill>
          <bgColor rgb="FF00B0F0"/>
        </patternFill>
      </fill>
    </dxf>
    <dxf>
      <font>
        <color theme="1"/>
      </font>
      <fill>
        <patternFill>
          <bgColor rgb="FF99CCFF"/>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9999"/>
        </patternFill>
      </fill>
    </dxf>
    <dxf>
      <font>
        <color theme="1"/>
      </font>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ill>
        <patternFill>
          <bgColor rgb="FFFFCC66"/>
        </patternFill>
      </fill>
    </dxf>
    <dxf>
      <fill>
        <patternFill>
          <bgColor rgb="FFFF9999"/>
        </patternFill>
      </fill>
    </dxf>
    <dxf>
      <fill>
        <patternFill>
          <bgColor rgb="FFFF0000"/>
        </patternFill>
      </fill>
    </dxf>
    <dxf>
      <font>
        <color theme="1"/>
      </font>
      <fill>
        <patternFill>
          <bgColor rgb="FF00B0F0"/>
        </patternFill>
      </fill>
    </dxf>
    <dxf>
      <font>
        <color theme="1"/>
      </font>
      <fill>
        <patternFill>
          <bgColor rgb="FF99CCFF"/>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9999"/>
        </patternFill>
      </fill>
    </dxf>
    <dxf>
      <font>
        <color theme="1"/>
      </font>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ill>
        <patternFill>
          <bgColor rgb="FFFFCC66"/>
        </patternFill>
      </fill>
    </dxf>
    <dxf>
      <fill>
        <patternFill>
          <bgColor rgb="FFFF9999"/>
        </patternFill>
      </fill>
    </dxf>
    <dxf>
      <fill>
        <patternFill>
          <bgColor rgb="FFFF0000"/>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ont>
        <color rgb="FF66CCFF"/>
      </font>
      <fill>
        <patternFill>
          <bgColor rgb="FF66CCFF"/>
        </patternFill>
      </fill>
    </dxf>
    <dxf>
      <font>
        <color rgb="FFCCFF99"/>
      </font>
      <fill>
        <patternFill>
          <bgColor rgb="FFCCFF99"/>
        </patternFill>
      </fill>
    </dxf>
    <dxf>
      <font>
        <color rgb="FFFFFF99"/>
      </font>
      <fill>
        <patternFill>
          <bgColor rgb="FFFFFF99"/>
        </patternFill>
      </fill>
    </dxf>
    <dxf>
      <font>
        <color rgb="FFFF7C80"/>
      </font>
      <fill>
        <patternFill>
          <bgColor rgb="FFFF7C80"/>
        </patternFill>
      </fill>
    </dxf>
    <dxf>
      <fill>
        <patternFill>
          <bgColor indexed="51"/>
        </patternFill>
      </fill>
    </dxf>
    <dxf>
      <fill>
        <patternFill>
          <bgColor indexed="31"/>
        </patternFill>
      </fill>
    </dxf>
    <dxf>
      <fill>
        <patternFill>
          <bgColor indexed="51"/>
        </patternFill>
      </fill>
    </dxf>
    <dxf>
      <fill>
        <patternFill>
          <bgColor indexed="31"/>
        </patternFill>
      </fill>
    </dxf>
    <dxf>
      <font>
        <color rgb="FF66CCFF"/>
      </font>
      <fill>
        <patternFill>
          <bgColor rgb="FF66CCFF"/>
        </patternFill>
      </fill>
    </dxf>
    <dxf>
      <font>
        <color rgb="FFCCFF99"/>
      </font>
      <fill>
        <patternFill>
          <bgColor rgb="FFCCFF99"/>
        </patternFill>
      </fill>
    </dxf>
    <dxf>
      <font>
        <color rgb="FFFFFF99"/>
      </font>
      <fill>
        <patternFill>
          <bgColor rgb="FFFFFF99"/>
        </patternFill>
      </fill>
    </dxf>
    <dxf>
      <font>
        <color rgb="FFFF7C80"/>
      </font>
      <fill>
        <patternFill>
          <bgColor rgb="FFFF7C80"/>
        </patternFill>
      </fill>
    </dxf>
    <dxf>
      <fill>
        <patternFill>
          <bgColor indexed="51"/>
        </patternFill>
      </fill>
    </dxf>
    <dxf>
      <fill>
        <patternFill>
          <bgColor indexed="31"/>
        </patternFill>
      </fill>
    </dxf>
    <dxf>
      <font>
        <color theme="1"/>
      </font>
      <fill>
        <patternFill>
          <bgColor rgb="FFFF9999"/>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ont>
        <color theme="1"/>
      </font>
      <fill>
        <patternFill>
          <bgColor rgb="FFFF9999"/>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ont>
        <color theme="1"/>
      </font>
      <fill>
        <patternFill>
          <bgColor rgb="FFFF9999"/>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ont>
        <color theme="1"/>
      </font>
      <fill>
        <patternFill>
          <bgColor rgb="FFFFFF99"/>
        </patternFill>
      </fill>
    </dxf>
    <dxf>
      <fill>
        <patternFill>
          <bgColor rgb="FFCCFFCC"/>
        </patternFill>
      </fill>
    </dxf>
    <dxf>
      <fill>
        <patternFill>
          <bgColor rgb="FF99CCFF"/>
        </patternFill>
      </fill>
    </dxf>
    <dxf>
      <font>
        <color theme="1"/>
      </font>
    </dxf>
    <dxf>
      <fill>
        <patternFill>
          <bgColor rgb="FF99CCFF"/>
        </patternFill>
      </fill>
    </dxf>
    <dxf>
      <fill>
        <patternFill>
          <bgColor rgb="FFFFCC66"/>
        </patternFill>
      </fill>
    </dxf>
    <dxf>
      <fill>
        <patternFill>
          <bgColor theme="0"/>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indexed="44"/>
        </patternFill>
      </fill>
    </dxf>
    <dxf>
      <fill>
        <patternFill>
          <bgColor indexed="42"/>
        </patternFill>
      </fill>
    </dxf>
    <dxf>
      <fill>
        <patternFill>
          <bgColor indexed="29"/>
        </patternFill>
      </fill>
    </dxf>
    <dxf>
      <font>
        <condense val="0"/>
        <extend val="0"/>
        <color auto="1"/>
      </font>
      <fill>
        <patternFill>
          <bgColor indexed="44"/>
        </patternFill>
      </fill>
    </dxf>
    <dxf>
      <font>
        <condense val="0"/>
        <extend val="0"/>
        <color auto="1"/>
      </font>
      <fill>
        <patternFill>
          <bgColor indexed="26"/>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rgb="FFFFFF99"/>
        </patternFill>
      </fill>
    </dxf>
    <dxf>
      <fill>
        <patternFill>
          <bgColor indexed="44"/>
        </patternFill>
      </fill>
    </dxf>
    <dxf>
      <fill>
        <patternFill>
          <bgColor indexed="42"/>
        </patternFill>
      </fill>
    </dxf>
    <dxf>
      <fill>
        <patternFill>
          <bgColor indexed="29"/>
        </patternFill>
      </fill>
    </dxf>
    <dxf>
      <font>
        <color theme="1"/>
      </font>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rgb="FFFF7C80"/>
        </patternFill>
      </fill>
    </dxf>
    <dxf>
      <font>
        <condense val="0"/>
        <extend val="0"/>
        <color auto="1"/>
      </font>
      <fill>
        <patternFill>
          <bgColor indexed="44"/>
        </patternFill>
      </fill>
    </dxf>
    <dxf>
      <font>
        <condense val="0"/>
        <extend val="0"/>
        <color auto="1"/>
      </font>
      <fill>
        <patternFill>
          <bgColor indexed="26"/>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rgb="FFFF7C80"/>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ont>
        <color theme="1"/>
      </font>
      <fill>
        <patternFill>
          <bgColor rgb="FFFFFF99"/>
        </patternFill>
      </fill>
    </dxf>
    <dxf>
      <fill>
        <patternFill>
          <bgColor rgb="FFCCFFCC"/>
        </patternFill>
      </fill>
    </dxf>
    <dxf>
      <fill>
        <patternFill>
          <bgColor rgb="FF99CCFF"/>
        </patternFill>
      </fill>
    </dxf>
    <dxf>
      <font>
        <color theme="1"/>
      </font>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indexed="44"/>
        </patternFill>
      </fill>
    </dxf>
    <dxf>
      <fill>
        <patternFill>
          <bgColor indexed="42"/>
        </patternFill>
      </fill>
    </dxf>
    <dxf>
      <fill>
        <patternFill>
          <bgColor indexed="29"/>
        </patternFill>
      </fill>
    </dxf>
    <dxf>
      <font>
        <condense val="0"/>
        <extend val="0"/>
        <color auto="1"/>
      </font>
      <fill>
        <patternFill>
          <bgColor indexed="44"/>
        </patternFill>
      </fill>
    </dxf>
    <dxf>
      <font>
        <condense val="0"/>
        <extend val="0"/>
        <color auto="1"/>
      </font>
      <fill>
        <patternFill>
          <bgColor indexed="26"/>
        </patternFill>
      </fill>
    </dxf>
    <dxf>
      <fill>
        <patternFill>
          <bgColor rgb="FF99CCFF"/>
        </patternFill>
      </fill>
    </dxf>
    <dxf>
      <fill>
        <patternFill>
          <bgColor rgb="FFFFCC66"/>
        </patternFill>
      </fill>
    </dxf>
    <dxf>
      <fill>
        <patternFill>
          <bgColor theme="0"/>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rgb="FFFF7C80"/>
        </patternFill>
      </fill>
    </dxf>
    <dxf>
      <fill>
        <patternFill>
          <bgColor rgb="FFFFFF99"/>
        </patternFill>
      </fill>
    </dxf>
    <dxf>
      <font>
        <color theme="1"/>
      </font>
    </dxf>
    <dxf>
      <fill>
        <patternFill>
          <bgColor indexed="44"/>
        </patternFill>
      </fill>
    </dxf>
    <dxf>
      <fill>
        <patternFill>
          <bgColor indexed="42"/>
        </patternFill>
      </fill>
    </dxf>
    <dxf>
      <fill>
        <patternFill>
          <bgColor indexed="29"/>
        </patternFill>
      </fill>
    </dxf>
    <dxf>
      <font>
        <condense val="0"/>
        <extend val="0"/>
        <color auto="1"/>
      </font>
      <fill>
        <patternFill>
          <bgColor indexed="44"/>
        </patternFill>
      </fill>
    </dxf>
    <dxf>
      <font>
        <condense val="0"/>
        <extend val="0"/>
        <color auto="1"/>
      </font>
      <fill>
        <patternFill>
          <bgColor indexed="26"/>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rgb="FFFF7C80"/>
        </patternFill>
      </fill>
    </dxf>
    <dxf>
      <font>
        <color theme="1"/>
      </font>
      <fill>
        <patternFill>
          <bgColor rgb="FFFFFF99"/>
        </patternFill>
      </fill>
    </dxf>
    <dxf>
      <fill>
        <patternFill>
          <bgColor rgb="FFCCFFCC"/>
        </patternFill>
      </fill>
    </dxf>
    <dxf>
      <fill>
        <patternFill>
          <bgColor rgb="FF99CCFF"/>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indexed="44"/>
        </patternFill>
      </fill>
    </dxf>
    <dxf>
      <fill>
        <patternFill>
          <bgColor indexed="42"/>
        </patternFill>
      </fill>
    </dxf>
    <dxf>
      <fill>
        <patternFill>
          <bgColor indexed="29"/>
        </patternFill>
      </fill>
    </dxf>
    <dxf>
      <fill>
        <patternFill>
          <bgColor rgb="FF99CCFF"/>
        </patternFill>
      </fill>
    </dxf>
    <dxf>
      <fill>
        <patternFill>
          <bgColor rgb="FFFFCC66"/>
        </patternFill>
      </fill>
    </dxf>
    <dxf>
      <fill>
        <patternFill>
          <bgColor theme="0"/>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indexed="44"/>
        </patternFill>
      </fill>
    </dxf>
    <dxf>
      <fill>
        <patternFill>
          <bgColor indexed="42"/>
        </patternFill>
      </fill>
    </dxf>
    <dxf>
      <fill>
        <patternFill>
          <bgColor indexed="29"/>
        </patternFill>
      </fill>
    </dxf>
    <dxf>
      <font>
        <color theme="1"/>
      </font>
    </dxf>
    <dxf>
      <font>
        <condense val="0"/>
        <extend val="0"/>
        <color auto="1"/>
      </font>
      <fill>
        <patternFill>
          <bgColor indexed="44"/>
        </patternFill>
      </fill>
    </dxf>
    <dxf>
      <font>
        <condense val="0"/>
        <extend val="0"/>
        <color auto="1"/>
      </font>
      <fill>
        <patternFill>
          <bgColor indexed="26"/>
        </patternFill>
      </fill>
    </dxf>
    <dxf>
      <fill>
        <patternFill>
          <bgColor rgb="FFFFFF99"/>
        </patternFill>
      </fill>
      <border>
        <left style="thin">
          <color auto="1"/>
        </left>
        <right style="thin">
          <color auto="1"/>
        </right>
        <top style="thin">
          <color auto="1"/>
        </top>
        <bottom style="thin">
          <color auto="1"/>
        </bottom>
      </border>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ont>
        <color theme="1"/>
      </font>
    </dxf>
    <dxf>
      <fill>
        <patternFill>
          <bgColor indexed="44"/>
        </patternFill>
      </fill>
    </dxf>
    <dxf>
      <fill>
        <patternFill>
          <bgColor indexed="42"/>
        </patternFill>
      </fill>
    </dxf>
    <dxf>
      <fill>
        <patternFill>
          <bgColor indexed="29"/>
        </patternFill>
      </fill>
    </dxf>
    <dxf>
      <font>
        <condense val="0"/>
        <extend val="0"/>
        <color auto="1"/>
      </font>
      <fill>
        <patternFill>
          <bgColor indexed="44"/>
        </patternFill>
      </fill>
    </dxf>
    <dxf>
      <font>
        <condense val="0"/>
        <extend val="0"/>
        <color auto="1"/>
      </font>
      <fill>
        <patternFill>
          <bgColor indexed="26"/>
        </patternFill>
      </fill>
    </dxf>
  </dxfs>
  <tableStyles count="0" defaultTableStyle="TableStyleMedium2" defaultPivotStyle="PivotStyleLight16"/>
  <colors>
    <mruColors>
      <color rgb="FFFFFFCC"/>
      <color rgb="FF00FF00"/>
      <color rgb="FFFFCC66"/>
      <color rgb="FFCC0000"/>
      <color rgb="FFFFCCCC"/>
      <color rgb="FFCC99FF"/>
      <color rgb="FF339966"/>
      <color rgb="FFCCFFCC"/>
      <color rgb="FFCCCC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9.xml.rels><?xml version="1.0" encoding="UTF-8" standalone="yes"?>
<Relationships xmlns="http://schemas.openxmlformats.org/package/2006/relationships"><Relationship Id="rId1" Type="http://schemas.openxmlformats.org/officeDocument/2006/relationships/image" Target="../media/image38.jpeg"/></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spPr>
            <a:solidFill>
              <a:schemeClr val="accent5"/>
            </a:solidFill>
            <a:ln>
              <a:noFill/>
            </a:ln>
            <a:effectLst/>
          </c:spPr>
          <c:invertIfNegative val="0"/>
          <c:dPt>
            <c:idx val="0"/>
            <c:invertIfNegative val="0"/>
            <c:bubble3D val="0"/>
            <c:spPr>
              <a:solidFill>
                <a:srgbClr val="CCFFCC"/>
              </a:solidFill>
              <a:ln>
                <a:noFill/>
              </a:ln>
              <a:effectLst/>
            </c:spPr>
            <c:extLst>
              <c:ext xmlns:c16="http://schemas.microsoft.com/office/drawing/2014/chart" uri="{C3380CC4-5D6E-409C-BE32-E72D297353CC}">
                <c16:uniqueId val="{0000001E-54E3-4E6B-828C-D1873F293531}"/>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Referentieniveau!$E$8</c:f>
              <c:numCache>
                <c:formatCode>0%</c:formatCode>
                <c:ptCount val="1"/>
                <c:pt idx="0">
                  <c:v>0.26923076923076922</c:v>
                </c:pt>
              </c:numCache>
            </c:numRef>
          </c:val>
          <c:extLst>
            <c:ext xmlns:c16="http://schemas.microsoft.com/office/drawing/2014/chart" uri="{C3380CC4-5D6E-409C-BE32-E72D297353CC}">
              <c16:uniqueId val="{00000005-54E3-4E6B-828C-D1873F293531}"/>
            </c:ext>
          </c:extLst>
        </c:ser>
        <c:ser>
          <c:idx val="5"/>
          <c:order val="5"/>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Referentieniveau!$E$9</c:f>
              <c:numCache>
                <c:formatCode>0%</c:formatCode>
                <c:ptCount val="1"/>
                <c:pt idx="0">
                  <c:v>0.19230769230769232</c:v>
                </c:pt>
              </c:numCache>
            </c:numRef>
          </c:val>
          <c:extLst>
            <c:ext xmlns:c16="http://schemas.microsoft.com/office/drawing/2014/chart" uri="{C3380CC4-5D6E-409C-BE32-E72D297353CC}">
              <c16:uniqueId val="{00000006-54E3-4E6B-828C-D1873F293531}"/>
            </c:ext>
          </c:extLst>
        </c:ser>
        <c:ser>
          <c:idx val="6"/>
          <c:order val="6"/>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Referentieniveau!$E$10</c:f>
              <c:numCache>
                <c:formatCode>0%</c:formatCode>
                <c:ptCount val="1"/>
                <c:pt idx="0">
                  <c:v>0.65384615384615385</c:v>
                </c:pt>
              </c:numCache>
            </c:numRef>
          </c:val>
          <c:extLst>
            <c:ext xmlns:c16="http://schemas.microsoft.com/office/drawing/2014/chart" uri="{C3380CC4-5D6E-409C-BE32-E72D297353CC}">
              <c16:uniqueId val="{00000007-54E3-4E6B-828C-D1873F293531}"/>
            </c:ext>
          </c:extLst>
        </c:ser>
        <c:ser>
          <c:idx val="7"/>
          <c:order val="7"/>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Referentieniveau!$E$11</c:f>
              <c:numCache>
                <c:formatCode>0%</c:formatCode>
                <c:ptCount val="1"/>
                <c:pt idx="0">
                  <c:v>0</c:v>
                </c:pt>
              </c:numCache>
            </c:numRef>
          </c:val>
          <c:extLst>
            <c:ext xmlns:c16="http://schemas.microsoft.com/office/drawing/2014/chart" uri="{C3380CC4-5D6E-409C-BE32-E72D297353CC}">
              <c16:uniqueId val="{00000008-54E3-4E6B-828C-D1873F293531}"/>
            </c:ext>
          </c:extLst>
        </c:ser>
        <c:ser>
          <c:idx val="8"/>
          <c:order val="8"/>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Referentieniveau!$E$13</c:f>
              <c:numCache>
                <c:formatCode>0%</c:formatCode>
                <c:ptCount val="1"/>
                <c:pt idx="0">
                  <c:v>0</c:v>
                </c:pt>
              </c:numCache>
            </c:numRef>
          </c:val>
          <c:extLst>
            <c:ext xmlns:c16="http://schemas.microsoft.com/office/drawing/2014/chart" uri="{C3380CC4-5D6E-409C-BE32-E72D297353CC}">
              <c16:uniqueId val="{00000009-54E3-4E6B-828C-D1873F293531}"/>
            </c:ext>
          </c:extLst>
        </c:ser>
        <c:ser>
          <c:idx val="9"/>
          <c:order val="9"/>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Referentieniveau!$E$14</c:f>
              <c:numCache>
                <c:formatCode>0%</c:formatCode>
                <c:ptCount val="1"/>
                <c:pt idx="0">
                  <c:v>0</c:v>
                </c:pt>
              </c:numCache>
            </c:numRef>
          </c:val>
          <c:extLst>
            <c:ext xmlns:c16="http://schemas.microsoft.com/office/drawing/2014/chart" uri="{C3380CC4-5D6E-409C-BE32-E72D297353CC}">
              <c16:uniqueId val="{0000000A-54E3-4E6B-828C-D1873F293531}"/>
            </c:ext>
          </c:extLst>
        </c:ser>
        <c:ser>
          <c:idx val="10"/>
          <c:order val="10"/>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Referentieniveau!$E$15</c:f>
              <c:numCache>
                <c:formatCode>0%</c:formatCode>
                <c:ptCount val="1"/>
                <c:pt idx="0">
                  <c:v>7.6923076923076927E-2</c:v>
                </c:pt>
              </c:numCache>
            </c:numRef>
          </c:val>
          <c:extLst>
            <c:ext xmlns:c16="http://schemas.microsoft.com/office/drawing/2014/chart" uri="{C3380CC4-5D6E-409C-BE32-E72D297353CC}">
              <c16:uniqueId val="{0000000B-54E3-4E6B-828C-D1873F293531}"/>
            </c:ext>
          </c:extLst>
        </c:ser>
        <c:ser>
          <c:idx val="11"/>
          <c:order val="11"/>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Referentieniveau!$E$16</c:f>
              <c:numCache>
                <c:formatCode>0%</c:formatCode>
                <c:ptCount val="1"/>
                <c:pt idx="0">
                  <c:v>0</c:v>
                </c:pt>
              </c:numCache>
            </c:numRef>
          </c:val>
          <c:extLst>
            <c:ext xmlns:c16="http://schemas.microsoft.com/office/drawing/2014/chart" uri="{C3380CC4-5D6E-409C-BE32-E72D297353CC}">
              <c16:uniqueId val="{0000000C-54E3-4E6B-828C-D1873F293531}"/>
            </c:ext>
          </c:extLst>
        </c:ser>
        <c:ser>
          <c:idx val="12"/>
          <c:order val="12"/>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Referentieniveau!$E$18</c:f>
              <c:numCache>
                <c:formatCode>0%</c:formatCode>
                <c:ptCount val="1"/>
                <c:pt idx="0">
                  <c:v>0.65384615384615385</c:v>
                </c:pt>
              </c:numCache>
            </c:numRef>
          </c:val>
          <c:extLst>
            <c:ext xmlns:c16="http://schemas.microsoft.com/office/drawing/2014/chart" uri="{C3380CC4-5D6E-409C-BE32-E72D297353CC}">
              <c16:uniqueId val="{0000000D-54E3-4E6B-828C-D1873F293531}"/>
            </c:ext>
          </c:extLst>
        </c:ser>
        <c:ser>
          <c:idx val="13"/>
          <c:order val="13"/>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Referentieniveau!$E$19</c:f>
              <c:numCache>
                <c:formatCode>0%</c:formatCode>
                <c:ptCount val="1"/>
                <c:pt idx="0">
                  <c:v>0.65384615384615385</c:v>
                </c:pt>
              </c:numCache>
            </c:numRef>
          </c:val>
          <c:extLst>
            <c:ext xmlns:c16="http://schemas.microsoft.com/office/drawing/2014/chart" uri="{C3380CC4-5D6E-409C-BE32-E72D297353CC}">
              <c16:uniqueId val="{0000000E-54E3-4E6B-828C-D1873F293531}"/>
            </c:ext>
          </c:extLst>
        </c:ser>
        <c:ser>
          <c:idx val="14"/>
          <c:order val="14"/>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Referentieniveau!$E$20</c:f>
              <c:numCache>
                <c:formatCode>0%</c:formatCode>
                <c:ptCount val="1"/>
                <c:pt idx="0">
                  <c:v>0.88461538461538458</c:v>
                </c:pt>
              </c:numCache>
            </c:numRef>
          </c:val>
          <c:extLst>
            <c:ext xmlns:c16="http://schemas.microsoft.com/office/drawing/2014/chart" uri="{C3380CC4-5D6E-409C-BE32-E72D297353CC}">
              <c16:uniqueId val="{0000000F-54E3-4E6B-828C-D1873F293531}"/>
            </c:ext>
          </c:extLst>
        </c:ser>
        <c:ser>
          <c:idx val="15"/>
          <c:order val="15"/>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Referentieniveau!$E$21</c:f>
              <c:numCache>
                <c:formatCode>0%</c:formatCode>
                <c:ptCount val="1"/>
                <c:pt idx="0">
                  <c:v>0</c:v>
                </c:pt>
              </c:numCache>
            </c:numRef>
          </c:val>
          <c:extLst>
            <c:ext xmlns:c16="http://schemas.microsoft.com/office/drawing/2014/chart" uri="{C3380CC4-5D6E-409C-BE32-E72D297353CC}">
              <c16:uniqueId val="{00000010-54E3-4E6B-828C-D1873F293531}"/>
            </c:ext>
          </c:extLst>
        </c:ser>
        <c:ser>
          <c:idx val="16"/>
          <c:order val="16"/>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Referentieniveau!$E$23</c:f>
              <c:numCache>
                <c:formatCode>0%</c:formatCode>
                <c:ptCount val="1"/>
                <c:pt idx="0">
                  <c:v>7.6923076923076927E-2</c:v>
                </c:pt>
              </c:numCache>
            </c:numRef>
          </c:val>
          <c:extLst>
            <c:ext xmlns:c16="http://schemas.microsoft.com/office/drawing/2014/chart" uri="{C3380CC4-5D6E-409C-BE32-E72D297353CC}">
              <c16:uniqueId val="{00000011-54E3-4E6B-828C-D1873F293531}"/>
            </c:ext>
          </c:extLst>
        </c:ser>
        <c:ser>
          <c:idx val="17"/>
          <c:order val="17"/>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Referentieniveau!$E$24</c:f>
              <c:numCache>
                <c:formatCode>0%</c:formatCode>
                <c:ptCount val="1"/>
                <c:pt idx="0">
                  <c:v>0.11538461538461539</c:v>
                </c:pt>
              </c:numCache>
            </c:numRef>
          </c:val>
          <c:extLst>
            <c:ext xmlns:c16="http://schemas.microsoft.com/office/drawing/2014/chart" uri="{C3380CC4-5D6E-409C-BE32-E72D297353CC}">
              <c16:uniqueId val="{00000012-54E3-4E6B-828C-D1873F293531}"/>
            </c:ext>
          </c:extLst>
        </c:ser>
        <c:ser>
          <c:idx val="18"/>
          <c:order val="18"/>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Referentieniveau!$E$25</c:f>
              <c:numCache>
                <c:formatCode>0%</c:formatCode>
                <c:ptCount val="1"/>
                <c:pt idx="0">
                  <c:v>0.42307692307692307</c:v>
                </c:pt>
              </c:numCache>
            </c:numRef>
          </c:val>
          <c:extLst>
            <c:ext xmlns:c16="http://schemas.microsoft.com/office/drawing/2014/chart" uri="{C3380CC4-5D6E-409C-BE32-E72D297353CC}">
              <c16:uniqueId val="{00000013-54E3-4E6B-828C-D1873F293531}"/>
            </c:ext>
          </c:extLst>
        </c:ser>
        <c:ser>
          <c:idx val="19"/>
          <c:order val="19"/>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Referentieniveau!$E$26</c:f>
              <c:numCache>
                <c:formatCode>0%</c:formatCode>
                <c:ptCount val="1"/>
                <c:pt idx="0">
                  <c:v>0</c:v>
                </c:pt>
              </c:numCache>
            </c:numRef>
          </c:val>
          <c:extLst>
            <c:ext xmlns:c16="http://schemas.microsoft.com/office/drawing/2014/chart" uri="{C3380CC4-5D6E-409C-BE32-E72D297353CC}">
              <c16:uniqueId val="{00000014-54E3-4E6B-828C-D1873F293531}"/>
            </c:ext>
          </c:extLst>
        </c:ser>
        <c:ser>
          <c:idx val="20"/>
          <c:order val="20"/>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Referentieniveau!$E$28</c:f>
              <c:numCache>
                <c:formatCode>0%</c:formatCode>
                <c:ptCount val="1"/>
                <c:pt idx="0">
                  <c:v>0.11538461538461539</c:v>
                </c:pt>
              </c:numCache>
            </c:numRef>
          </c:val>
          <c:extLst>
            <c:ext xmlns:c16="http://schemas.microsoft.com/office/drawing/2014/chart" uri="{C3380CC4-5D6E-409C-BE32-E72D297353CC}">
              <c16:uniqueId val="{00000015-54E3-4E6B-828C-D1873F293531}"/>
            </c:ext>
          </c:extLst>
        </c:ser>
        <c:ser>
          <c:idx val="21"/>
          <c:order val="21"/>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Referentieniveau!$E$29</c:f>
              <c:numCache>
                <c:formatCode>0%</c:formatCode>
                <c:ptCount val="1"/>
                <c:pt idx="0">
                  <c:v>0.23076923076923078</c:v>
                </c:pt>
              </c:numCache>
            </c:numRef>
          </c:val>
          <c:extLst>
            <c:ext xmlns:c16="http://schemas.microsoft.com/office/drawing/2014/chart" uri="{C3380CC4-5D6E-409C-BE32-E72D297353CC}">
              <c16:uniqueId val="{00000016-54E3-4E6B-828C-D1873F293531}"/>
            </c:ext>
          </c:extLst>
        </c:ser>
        <c:ser>
          <c:idx val="22"/>
          <c:order val="22"/>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Referentieniveau!$E$30</c:f>
              <c:numCache>
                <c:formatCode>0%</c:formatCode>
                <c:ptCount val="1"/>
                <c:pt idx="0">
                  <c:v>0.73076923076923073</c:v>
                </c:pt>
              </c:numCache>
            </c:numRef>
          </c:val>
          <c:extLst>
            <c:ext xmlns:c16="http://schemas.microsoft.com/office/drawing/2014/chart" uri="{C3380CC4-5D6E-409C-BE32-E72D297353CC}">
              <c16:uniqueId val="{00000017-54E3-4E6B-828C-D1873F293531}"/>
            </c:ext>
          </c:extLst>
        </c:ser>
        <c:ser>
          <c:idx val="23"/>
          <c:order val="23"/>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Referentieniveau!$E$31</c:f>
              <c:numCache>
                <c:formatCode>0%</c:formatCode>
                <c:ptCount val="1"/>
                <c:pt idx="0">
                  <c:v>0</c:v>
                </c:pt>
              </c:numCache>
            </c:numRef>
          </c:val>
          <c:extLst>
            <c:ext xmlns:c16="http://schemas.microsoft.com/office/drawing/2014/chart" uri="{C3380CC4-5D6E-409C-BE32-E72D297353CC}">
              <c16:uniqueId val="{00000018-54E3-4E6B-828C-D1873F293531}"/>
            </c:ext>
          </c:extLst>
        </c:ser>
        <c:ser>
          <c:idx val="24"/>
          <c:order val="24"/>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Referentieniveau!$E$33</c:f>
              <c:numCache>
                <c:formatCode>0%</c:formatCode>
                <c:ptCount val="1"/>
                <c:pt idx="0">
                  <c:v>0</c:v>
                </c:pt>
              </c:numCache>
            </c:numRef>
          </c:val>
          <c:extLst>
            <c:ext xmlns:c16="http://schemas.microsoft.com/office/drawing/2014/chart" uri="{C3380CC4-5D6E-409C-BE32-E72D297353CC}">
              <c16:uniqueId val="{00000019-54E3-4E6B-828C-D1873F293531}"/>
            </c:ext>
          </c:extLst>
        </c:ser>
        <c:ser>
          <c:idx val="25"/>
          <c:order val="25"/>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Referentieniveau!$E$34</c:f>
              <c:numCache>
                <c:formatCode>0%</c:formatCode>
                <c:ptCount val="1"/>
                <c:pt idx="0">
                  <c:v>0</c:v>
                </c:pt>
              </c:numCache>
            </c:numRef>
          </c:val>
          <c:extLst>
            <c:ext xmlns:c16="http://schemas.microsoft.com/office/drawing/2014/chart" uri="{C3380CC4-5D6E-409C-BE32-E72D297353CC}">
              <c16:uniqueId val="{0000001A-54E3-4E6B-828C-D1873F293531}"/>
            </c:ext>
          </c:extLst>
        </c:ser>
        <c:ser>
          <c:idx val="26"/>
          <c:order val="26"/>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Referentieniveau!$E$35</c:f>
              <c:numCache>
                <c:formatCode>0%</c:formatCode>
                <c:ptCount val="1"/>
                <c:pt idx="0">
                  <c:v>0.11538461538461539</c:v>
                </c:pt>
              </c:numCache>
            </c:numRef>
          </c:val>
          <c:extLst>
            <c:ext xmlns:c16="http://schemas.microsoft.com/office/drawing/2014/chart" uri="{C3380CC4-5D6E-409C-BE32-E72D297353CC}">
              <c16:uniqueId val="{0000001B-54E3-4E6B-828C-D1873F293531}"/>
            </c:ext>
          </c:extLst>
        </c:ser>
        <c:ser>
          <c:idx val="27"/>
          <c:order val="27"/>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Referentieniveau!$E$36</c:f>
              <c:numCache>
                <c:formatCode>0%</c:formatCode>
                <c:ptCount val="1"/>
                <c:pt idx="0">
                  <c:v>0</c:v>
                </c:pt>
              </c:numCache>
            </c:numRef>
          </c:val>
          <c:extLst>
            <c:ext xmlns:c16="http://schemas.microsoft.com/office/drawing/2014/chart" uri="{C3380CC4-5D6E-409C-BE32-E72D297353CC}">
              <c16:uniqueId val="{0000001C-54E3-4E6B-828C-D1873F293531}"/>
            </c:ext>
          </c:extLst>
        </c:ser>
        <c:dLbls>
          <c:dLblPos val="inEnd"/>
          <c:showLegendKey val="0"/>
          <c:showVal val="1"/>
          <c:showCatName val="0"/>
          <c:showSerName val="0"/>
          <c:showPercent val="0"/>
          <c:showBubbleSize val="0"/>
        </c:dLbls>
        <c:gapWidth val="219"/>
        <c:overlap val="-27"/>
        <c:axId val="804696984"/>
        <c:axId val="804705184"/>
      </c:barChart>
      <c:barChart>
        <c:barDir val="col"/>
        <c:grouping val="clustered"/>
        <c:varyColors val="0"/>
        <c:ser>
          <c:idx val="0"/>
          <c:order val="0"/>
          <c:spPr>
            <a:noFill/>
            <a:ln w="50800">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F000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c:f>
              <c:numCache>
                <c:formatCode>0%</c:formatCode>
                <c:ptCount val="1"/>
                <c:pt idx="0">
                  <c:v>0.85</c:v>
                </c:pt>
              </c:numCache>
            </c:numRef>
          </c:val>
          <c:extLst>
            <c:ext xmlns:c16="http://schemas.microsoft.com/office/drawing/2014/chart" uri="{C3380CC4-5D6E-409C-BE32-E72D297353CC}">
              <c16:uniqueId val="{00000000-54E3-4E6B-828C-D1873F293531}"/>
            </c:ext>
          </c:extLst>
        </c:ser>
        <c:ser>
          <c:idx val="1"/>
          <c:order val="1"/>
          <c:spPr>
            <a:noFill/>
            <a:ln w="50800">
              <a:solidFill>
                <a:srgbClr val="33996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B05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Referentieniveau!$E$4</c:f>
              <c:numCache>
                <c:formatCode>0%</c:formatCode>
                <c:ptCount val="1"/>
                <c:pt idx="0">
                  <c:v>0.96</c:v>
                </c:pt>
              </c:numCache>
            </c:numRef>
          </c:val>
          <c:extLst>
            <c:ext xmlns:c16="http://schemas.microsoft.com/office/drawing/2014/chart" uri="{C3380CC4-5D6E-409C-BE32-E72D297353CC}">
              <c16:uniqueId val="{00000002-54E3-4E6B-828C-D1873F293531}"/>
            </c:ext>
          </c:extLst>
        </c:ser>
        <c:ser>
          <c:idx val="2"/>
          <c:order val="2"/>
          <c:spPr>
            <a:noFill/>
            <a:ln w="50800">
              <a:solidFill>
                <a:srgbClr val="7030A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7030A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Referentieniveau!$E$5</c:f>
              <c:numCache>
                <c:formatCode>0%</c:formatCode>
                <c:ptCount val="1"/>
                <c:pt idx="0">
                  <c:v>0.47299999999999998</c:v>
                </c:pt>
              </c:numCache>
            </c:numRef>
          </c:val>
          <c:extLst>
            <c:ext xmlns:c16="http://schemas.microsoft.com/office/drawing/2014/chart" uri="{C3380CC4-5D6E-409C-BE32-E72D297353CC}">
              <c16:uniqueId val="{00000003-54E3-4E6B-828C-D1873F293531}"/>
            </c:ext>
          </c:extLst>
        </c:ser>
        <c:ser>
          <c:idx val="3"/>
          <c:order val="3"/>
          <c:spPr>
            <a:noFill/>
            <a:ln w="50800">
              <a:solidFill>
                <a:srgbClr val="00FF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FF0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Referentieniveau!$E$6</c:f>
              <c:numCache>
                <c:formatCode>0%</c:formatCode>
                <c:ptCount val="1"/>
                <c:pt idx="0">
                  <c:v>0.59199999999999997</c:v>
                </c:pt>
              </c:numCache>
            </c:numRef>
          </c:val>
          <c:extLst>
            <c:ext xmlns:c16="http://schemas.microsoft.com/office/drawing/2014/chart" uri="{C3380CC4-5D6E-409C-BE32-E72D297353CC}">
              <c16:uniqueId val="{00000004-54E3-4E6B-828C-D1873F293531}"/>
            </c:ext>
          </c:extLst>
        </c:ser>
        <c:dLbls>
          <c:dLblPos val="inEnd"/>
          <c:showLegendKey val="0"/>
          <c:showVal val="1"/>
          <c:showCatName val="0"/>
          <c:showSerName val="0"/>
          <c:showPercent val="0"/>
          <c:showBubbleSize val="0"/>
        </c:dLbls>
        <c:gapWidth val="0"/>
        <c:overlap val="100"/>
        <c:axId val="710615376"/>
        <c:axId val="710615048"/>
      </c:barChart>
      <c:catAx>
        <c:axId val="804696984"/>
        <c:scaling>
          <c:orientation val="minMax"/>
        </c:scaling>
        <c:delete val="1"/>
        <c:axPos val="b"/>
        <c:majorTickMark val="none"/>
        <c:minorTickMark val="none"/>
        <c:tickLblPos val="nextTo"/>
        <c:crossAx val="804705184"/>
        <c:crosses val="autoZero"/>
        <c:auto val="1"/>
        <c:lblAlgn val="ctr"/>
        <c:lblOffset val="100"/>
        <c:noMultiLvlLbl val="0"/>
      </c:catAx>
      <c:valAx>
        <c:axId val="804705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804696984"/>
        <c:crosses val="autoZero"/>
        <c:crossBetween val="between"/>
        <c:majorUnit val="0.2"/>
      </c:valAx>
      <c:valAx>
        <c:axId val="710615048"/>
        <c:scaling>
          <c:orientation val="minMax"/>
        </c:scaling>
        <c:delete val="1"/>
        <c:axPos val="r"/>
        <c:numFmt formatCode="0%" sourceLinked="1"/>
        <c:majorTickMark val="out"/>
        <c:minorTickMark val="none"/>
        <c:tickLblPos val="nextTo"/>
        <c:crossAx val="710615376"/>
        <c:crosses val="max"/>
        <c:crossBetween val="between"/>
      </c:valAx>
      <c:catAx>
        <c:axId val="710615376"/>
        <c:scaling>
          <c:orientation val="minMax"/>
        </c:scaling>
        <c:delete val="1"/>
        <c:axPos val="b"/>
        <c:majorTickMark val="out"/>
        <c:minorTickMark val="none"/>
        <c:tickLblPos val="nextTo"/>
        <c:crossAx val="7106150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8100" cap="flat" cmpd="sng" algn="ctr">
      <a:solidFill>
        <a:srgbClr val="0070C0"/>
      </a:solid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21117037544187E-2"/>
          <c:y val="1.615819252168315E-2"/>
          <c:w val="0.788556309785862"/>
          <c:h val="0.96768361495663369"/>
        </c:manualLayout>
      </c:layout>
      <c:barChart>
        <c:barDir val="col"/>
        <c:grouping val="clustered"/>
        <c:varyColors val="0"/>
        <c:ser>
          <c:idx val="0"/>
          <c:order val="0"/>
          <c:tx>
            <c:strRef>
              <c:f>'DL - DLE'!$J$12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3175">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0-3CC5-4D4F-9DD9-4C08B23BB07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DLE'!$J$13</c:f>
              <c:numCache>
                <c:formatCode>0.0</c:formatCode>
                <c:ptCount val="1"/>
                <c:pt idx="0">
                  <c:v>50</c:v>
                </c:pt>
              </c:numCache>
            </c:numRef>
          </c:val>
          <c:extLst>
            <c:ext xmlns:c16="http://schemas.microsoft.com/office/drawing/2014/chart" uri="{C3380CC4-5D6E-409C-BE32-E72D297353CC}">
              <c16:uniqueId val="{00000000-4F9E-4DAC-BF44-FA2537FC4605}"/>
            </c:ext>
          </c:extLst>
        </c:ser>
        <c:ser>
          <c:idx val="1"/>
          <c:order val="1"/>
          <c:tx>
            <c:strRef>
              <c:f>'DL - DLE'!$K$12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DLE'!$K$13</c:f>
              <c:numCache>
                <c:formatCode>0.0</c:formatCode>
                <c:ptCount val="1"/>
                <c:pt idx="0">
                  <c:v>55</c:v>
                </c:pt>
              </c:numCache>
            </c:numRef>
          </c:val>
          <c:extLst>
            <c:ext xmlns:c16="http://schemas.microsoft.com/office/drawing/2014/chart" uri="{C3380CC4-5D6E-409C-BE32-E72D297353CC}">
              <c16:uniqueId val="{00000001-4F9E-4DAC-BF44-FA2537FC4605}"/>
            </c:ext>
          </c:extLst>
        </c:ser>
        <c:ser>
          <c:idx val="2"/>
          <c:order val="2"/>
          <c:tx>
            <c:strRef>
              <c:f>'DL - DLE'!$L$12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DLE'!$L$13</c:f>
              <c:numCache>
                <c:formatCode>0.0</c:formatCode>
                <c:ptCount val="1"/>
                <c:pt idx="0">
                  <c:v>60</c:v>
                </c:pt>
              </c:numCache>
            </c:numRef>
          </c:val>
          <c:extLst>
            <c:ext xmlns:c16="http://schemas.microsoft.com/office/drawing/2014/chart" uri="{C3380CC4-5D6E-409C-BE32-E72D297353CC}">
              <c16:uniqueId val="{00000002-4F9E-4DAC-BF44-FA2537FC4605}"/>
            </c:ext>
          </c:extLst>
        </c:ser>
        <c:ser>
          <c:idx val="3"/>
          <c:order val="3"/>
          <c:tx>
            <c:strRef>
              <c:f>'DL - DLE'!$M$12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DLE'!$M$13</c:f>
              <c:numCache>
                <c:formatCode>0.0</c:formatCode>
                <c:ptCount val="1"/>
                <c:pt idx="0">
                  <c:v>45</c:v>
                </c:pt>
              </c:numCache>
            </c:numRef>
          </c:val>
          <c:extLst>
            <c:ext xmlns:c16="http://schemas.microsoft.com/office/drawing/2014/chart" uri="{C3380CC4-5D6E-409C-BE32-E72D297353CC}">
              <c16:uniqueId val="{00000004-4F9E-4DAC-BF44-FA2537FC4605}"/>
            </c:ext>
          </c:extLst>
        </c:ser>
        <c:ser>
          <c:idx val="4"/>
          <c:order val="4"/>
          <c:tx>
            <c:strRef>
              <c:f>'DL - DLE'!$N$12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DLE'!$N$13</c:f>
              <c:numCache>
                <c:formatCode>0.0</c:formatCode>
                <c:ptCount val="1"/>
                <c:pt idx="0">
                  <c:v>55</c:v>
                </c:pt>
              </c:numCache>
            </c:numRef>
          </c:val>
          <c:extLst>
            <c:ext xmlns:c16="http://schemas.microsoft.com/office/drawing/2014/chart" uri="{C3380CC4-5D6E-409C-BE32-E72D297353CC}">
              <c16:uniqueId val="{00000006-4F9E-4DAC-BF44-FA2537FC4605}"/>
            </c:ext>
          </c:extLst>
        </c:ser>
        <c:ser>
          <c:idx val="5"/>
          <c:order val="5"/>
          <c:tx>
            <c:strRef>
              <c:f>'DL - DLE'!$O$12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DLE'!$O$13</c:f>
              <c:numCache>
                <c:formatCode>0.0</c:formatCode>
                <c:ptCount val="1"/>
                <c:pt idx="0">
                  <c:v>55</c:v>
                </c:pt>
              </c:numCache>
            </c:numRef>
          </c:val>
          <c:extLst>
            <c:ext xmlns:c16="http://schemas.microsoft.com/office/drawing/2014/chart" uri="{C3380CC4-5D6E-409C-BE32-E72D297353CC}">
              <c16:uniqueId val="{00000008-4F9E-4DAC-BF44-FA2537FC4605}"/>
            </c:ext>
          </c:extLst>
        </c:ser>
        <c:ser>
          <c:idx val="6"/>
          <c:order val="6"/>
          <c:tx>
            <c:strRef>
              <c:f>'DL - DLE'!$P$12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DLE'!$P$13</c:f>
              <c:numCache>
                <c:formatCode>0.0</c:formatCode>
                <c:ptCount val="1"/>
                <c:pt idx="0">
                  <c:v>50</c:v>
                </c:pt>
              </c:numCache>
            </c:numRef>
          </c:val>
          <c:extLst>
            <c:ext xmlns:c16="http://schemas.microsoft.com/office/drawing/2014/chart" uri="{C3380CC4-5D6E-409C-BE32-E72D297353CC}">
              <c16:uniqueId val="{00000009-4F9E-4DAC-BF44-FA2537FC4605}"/>
            </c:ext>
          </c:extLst>
        </c:ser>
        <c:ser>
          <c:idx val="7"/>
          <c:order val="7"/>
          <c:tx>
            <c:strRef>
              <c:f>'DL - DLE'!$Q$12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DLE'!$Q$13</c:f>
              <c:numCache>
                <c:formatCode>0.0</c:formatCode>
                <c:ptCount val="1"/>
                <c:pt idx="0">
                  <c:v>55</c:v>
                </c:pt>
              </c:numCache>
            </c:numRef>
          </c:val>
          <c:extLst>
            <c:ext xmlns:c16="http://schemas.microsoft.com/office/drawing/2014/chart" uri="{C3380CC4-5D6E-409C-BE32-E72D297353CC}">
              <c16:uniqueId val="{0000000A-4F9E-4DAC-BF44-FA2537FC4605}"/>
            </c:ext>
          </c:extLst>
        </c:ser>
        <c:ser>
          <c:idx val="8"/>
          <c:order val="8"/>
          <c:tx>
            <c:strRef>
              <c:f>'DL - DLE'!$R$12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DLE'!$R$13</c:f>
              <c:numCache>
                <c:formatCode>0.0</c:formatCode>
                <c:ptCount val="1"/>
                <c:pt idx="0">
                  <c:v>55</c:v>
                </c:pt>
              </c:numCache>
            </c:numRef>
          </c:val>
          <c:extLst>
            <c:ext xmlns:c16="http://schemas.microsoft.com/office/drawing/2014/chart" uri="{C3380CC4-5D6E-409C-BE32-E72D297353CC}">
              <c16:uniqueId val="{0000000B-4F9E-4DAC-BF44-FA2537FC4605}"/>
            </c:ext>
          </c:extLst>
        </c:ser>
        <c:ser>
          <c:idx val="9"/>
          <c:order val="9"/>
          <c:tx>
            <c:strRef>
              <c:f>'DL - DLE'!$S$12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DLE'!$S$13</c:f>
              <c:numCache>
                <c:formatCode>0.0</c:formatCode>
                <c:ptCount val="1"/>
                <c:pt idx="0">
                  <c:v>40</c:v>
                </c:pt>
              </c:numCache>
            </c:numRef>
          </c:val>
          <c:extLst>
            <c:ext xmlns:c16="http://schemas.microsoft.com/office/drawing/2014/chart" uri="{C3380CC4-5D6E-409C-BE32-E72D297353CC}">
              <c16:uniqueId val="{0000000C-4F9E-4DAC-BF44-FA2537FC4605}"/>
            </c:ext>
          </c:extLst>
        </c:ser>
        <c:ser>
          <c:idx val="10"/>
          <c:order val="10"/>
          <c:tx>
            <c:strRef>
              <c:f>'DL - DLE'!$T$12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DLE'!$T$13</c:f>
              <c:numCache>
                <c:formatCode>0.0</c:formatCode>
                <c:ptCount val="1"/>
                <c:pt idx="0">
                  <c:v>60</c:v>
                </c:pt>
              </c:numCache>
            </c:numRef>
          </c:val>
          <c:extLst>
            <c:ext xmlns:c16="http://schemas.microsoft.com/office/drawing/2014/chart" uri="{C3380CC4-5D6E-409C-BE32-E72D297353CC}">
              <c16:uniqueId val="{0000000D-4F9E-4DAC-BF44-FA2537FC4605}"/>
            </c:ext>
          </c:extLst>
        </c:ser>
        <c:ser>
          <c:idx val="11"/>
          <c:order val="11"/>
          <c:tx>
            <c:strRef>
              <c:f>'DL - DLE'!$U$12</c:f>
              <c:strCache>
                <c:ptCount val="1"/>
                <c:pt idx="0">
                  <c:v>R&amp;W - 2e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1-3CC5-4D4F-9DD9-4C08B23BB07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DLE'!$U$13</c:f>
              <c:numCache>
                <c:formatCode>0.0</c:formatCode>
                <c:ptCount val="1"/>
                <c:pt idx="0">
                  <c:v>60</c:v>
                </c:pt>
              </c:numCache>
            </c:numRef>
          </c:val>
          <c:extLst>
            <c:ext xmlns:c16="http://schemas.microsoft.com/office/drawing/2014/chart" uri="{C3380CC4-5D6E-409C-BE32-E72D297353CC}">
              <c16:uniqueId val="{0000000E-4F9E-4DAC-BF44-FA2537FC4605}"/>
            </c:ext>
          </c:extLst>
        </c:ser>
        <c:ser>
          <c:idx val="12"/>
          <c:order val="12"/>
          <c:tx>
            <c:strRef>
              <c:f>'DL - DLE'!$V$12</c:f>
              <c:strCache>
                <c:ptCount val="1"/>
                <c:pt idx="0">
                  <c:v>HR - vorig jaar</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DLE'!$V$13</c:f>
              <c:numCache>
                <c:formatCode>0.0</c:formatCode>
                <c:ptCount val="1"/>
                <c:pt idx="0">
                  <c:v>55</c:v>
                </c:pt>
              </c:numCache>
            </c:numRef>
          </c:val>
          <c:extLst>
            <c:ext xmlns:c16="http://schemas.microsoft.com/office/drawing/2014/chart" uri="{C3380CC4-5D6E-409C-BE32-E72D297353CC}">
              <c16:uniqueId val="{0000000F-4F9E-4DAC-BF44-FA2537FC4605}"/>
            </c:ext>
          </c:extLst>
        </c:ser>
        <c:ser>
          <c:idx val="13"/>
          <c:order val="13"/>
          <c:tx>
            <c:strRef>
              <c:f>'DL - DLE'!$W$12</c:f>
              <c:strCache>
                <c:ptCount val="1"/>
                <c:pt idx="0">
                  <c:v>HR - 1e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DLE'!$W$13</c:f>
              <c:numCache>
                <c:formatCode>0.0</c:formatCode>
                <c:ptCount val="1"/>
                <c:pt idx="0">
                  <c:v>60</c:v>
                </c:pt>
              </c:numCache>
            </c:numRef>
          </c:val>
          <c:extLst>
            <c:ext xmlns:c16="http://schemas.microsoft.com/office/drawing/2014/chart" uri="{C3380CC4-5D6E-409C-BE32-E72D297353CC}">
              <c16:uniqueId val="{00000010-4F9E-4DAC-BF44-FA2537FC4605}"/>
            </c:ext>
          </c:extLst>
        </c:ser>
        <c:ser>
          <c:idx val="14"/>
          <c:order val="14"/>
          <c:tx>
            <c:strRef>
              <c:f>'DL - DLE'!$X$12</c:f>
              <c:strCache>
                <c:ptCount val="1"/>
                <c:pt idx="0">
                  <c:v>HR - 2e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DLE'!$X$13</c:f>
              <c:numCache>
                <c:formatCode>0.0</c:formatCode>
                <c:ptCount val="1"/>
                <c:pt idx="0">
                  <c:v>65</c:v>
                </c:pt>
              </c:numCache>
            </c:numRef>
          </c:val>
          <c:extLst>
            <c:ext xmlns:c16="http://schemas.microsoft.com/office/drawing/2014/chart" uri="{C3380CC4-5D6E-409C-BE32-E72D297353CC}">
              <c16:uniqueId val="{00000011-4F9E-4DAC-BF44-FA2537FC4605}"/>
            </c:ext>
          </c:extLst>
        </c:ser>
        <c:dLbls>
          <c:dLblPos val="inEnd"/>
          <c:showLegendKey val="0"/>
          <c:showVal val="1"/>
          <c:showCatName val="0"/>
          <c:showSerName val="0"/>
          <c:showPercent val="0"/>
          <c:showBubbleSize val="0"/>
        </c:dLbls>
        <c:gapWidth val="10"/>
        <c:overlap val="-2"/>
        <c:axId val="456739808"/>
        <c:axId val="456734320"/>
      </c:barChart>
      <c:barChart>
        <c:barDir val="col"/>
        <c:grouping val="clustered"/>
        <c:varyColors val="0"/>
        <c:ser>
          <c:idx val="15"/>
          <c:order val="15"/>
          <c:tx>
            <c:strRef>
              <c:f>'DL - DLE'!$Y$12</c:f>
              <c:strCache>
                <c:ptCount val="1"/>
                <c:pt idx="0">
                  <c:v>gemiddelde-DLE</c:v>
                </c:pt>
              </c:strCache>
            </c:strRef>
          </c:tx>
          <c:spPr>
            <a:noFill/>
            <a:ln w="76200">
              <a:solidFill>
                <a:srgbClr val="002060"/>
              </a:solidFill>
            </a:ln>
            <a:effectLst/>
          </c:spPr>
          <c:invertIfNegative val="0"/>
          <c:dPt>
            <c:idx val="0"/>
            <c:invertIfNegative val="0"/>
            <c:bubble3D val="0"/>
            <c:spPr>
              <a:noFill/>
              <a:ln w="127000">
                <a:solidFill>
                  <a:srgbClr val="002060"/>
                </a:solidFill>
              </a:ln>
              <a:effectLst/>
            </c:spPr>
            <c:extLst>
              <c:ext xmlns:c16="http://schemas.microsoft.com/office/drawing/2014/chart" uri="{C3380CC4-5D6E-409C-BE32-E72D297353CC}">
                <c16:uniqueId val="{00000013-4F9E-4DAC-BF44-FA2537FC4605}"/>
              </c:ext>
            </c:extLst>
          </c:dPt>
          <c:dLbls>
            <c:spPr>
              <a:solidFill>
                <a:srgbClr val="00206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DLE'!$Y$13</c:f>
              <c:numCache>
                <c:formatCode>0.0</c:formatCode>
                <c:ptCount val="1"/>
                <c:pt idx="0">
                  <c:v>54.666666666666664</c:v>
                </c:pt>
              </c:numCache>
            </c:numRef>
          </c:val>
          <c:extLst>
            <c:ext xmlns:c16="http://schemas.microsoft.com/office/drawing/2014/chart" uri="{C3380CC4-5D6E-409C-BE32-E72D297353CC}">
              <c16:uniqueId val="{00000014-4F9E-4DAC-BF44-FA2537FC4605}"/>
            </c:ext>
          </c:extLst>
        </c:ser>
        <c:dLbls>
          <c:dLblPos val="inEnd"/>
          <c:showLegendKey val="0"/>
          <c:showVal val="1"/>
          <c:showCatName val="0"/>
          <c:showSerName val="0"/>
          <c:showPercent val="0"/>
          <c:showBubbleSize val="0"/>
        </c:dLbls>
        <c:gapWidth val="1"/>
        <c:overlap val="100"/>
        <c:axId val="456734712"/>
        <c:axId val="456737456"/>
      </c:barChart>
      <c:catAx>
        <c:axId val="456739808"/>
        <c:scaling>
          <c:orientation val="minMax"/>
        </c:scaling>
        <c:delete val="1"/>
        <c:axPos val="b"/>
        <c:numFmt formatCode="General" sourceLinked="1"/>
        <c:majorTickMark val="none"/>
        <c:minorTickMark val="none"/>
        <c:tickLblPos val="nextTo"/>
        <c:crossAx val="456734320"/>
        <c:crosses val="autoZero"/>
        <c:auto val="1"/>
        <c:lblAlgn val="ctr"/>
        <c:lblOffset val="100"/>
        <c:noMultiLvlLbl val="0"/>
      </c:catAx>
      <c:valAx>
        <c:axId val="456734320"/>
        <c:scaling>
          <c:orientation val="minMax"/>
          <c:max val="6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nl-NL"/>
          </a:p>
        </c:txPr>
        <c:crossAx val="456739808"/>
        <c:crosses val="autoZero"/>
        <c:crossBetween val="between"/>
        <c:majorUnit val="5"/>
      </c:valAx>
      <c:valAx>
        <c:axId val="456737456"/>
        <c:scaling>
          <c:orientation val="minMax"/>
        </c:scaling>
        <c:delete val="1"/>
        <c:axPos val="r"/>
        <c:numFmt formatCode="0.0" sourceLinked="1"/>
        <c:majorTickMark val="out"/>
        <c:minorTickMark val="none"/>
        <c:tickLblPos val="nextTo"/>
        <c:crossAx val="456734712"/>
        <c:crosses val="max"/>
        <c:crossBetween val="between"/>
      </c:valAx>
      <c:catAx>
        <c:axId val="456734712"/>
        <c:scaling>
          <c:orientation val="minMax"/>
        </c:scaling>
        <c:delete val="1"/>
        <c:axPos val="b"/>
        <c:majorTickMark val="out"/>
        <c:minorTickMark val="none"/>
        <c:tickLblPos val="nextTo"/>
        <c:crossAx val="456737456"/>
        <c:crosses val="autoZero"/>
        <c:auto val="1"/>
        <c:lblAlgn val="ctr"/>
        <c:lblOffset val="100"/>
        <c:noMultiLvlLbl val="0"/>
      </c:catAx>
      <c:spPr>
        <a:noFill/>
        <a:ln>
          <a:noFill/>
        </a:ln>
        <a:effectLst/>
      </c:spPr>
    </c:plotArea>
    <c:legend>
      <c:legendPos val="r"/>
      <c:layout>
        <c:manualLayout>
          <c:xMode val="edge"/>
          <c:yMode val="edge"/>
          <c:x val="0.84219780523423249"/>
          <c:y val="0.15560767353372496"/>
          <c:w val="0.15248522115086521"/>
          <c:h val="0.82539482607041659"/>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559523684514494"/>
          <c:y val="5.0682357689064178E-2"/>
          <c:w val="0.48387604876563312"/>
          <c:h val="0.90058650970567888"/>
        </c:manualLayout>
      </c:layout>
      <c:barChart>
        <c:barDir val="col"/>
        <c:grouping val="clustered"/>
        <c:varyColors val="0"/>
        <c:ser>
          <c:idx val="5"/>
          <c:order val="0"/>
          <c:tx>
            <c:strRef>
              <c:f>OPO!$I$28</c:f>
              <c:strCache>
                <c:ptCount val="1"/>
                <c:pt idx="0">
                  <c:v>VWO</c:v>
                </c:pt>
              </c:strCache>
            </c:strRef>
          </c:tx>
          <c:spPr>
            <a:solidFill>
              <a:srgbClr val="000080"/>
            </a:solidFill>
            <a:ln w="12700">
              <a:solidFill>
                <a:srgbClr val="000000"/>
              </a:solidFill>
              <a:prstDash val="solid"/>
            </a:ln>
          </c:spPr>
          <c:invertIfNegative val="0"/>
          <c:dLbls>
            <c:spPr>
              <a:noFill/>
              <a:ln w="25400">
                <a:noFill/>
              </a:ln>
            </c:spPr>
            <c:txPr>
              <a:bodyPr rot="-5400000" vert="horz"/>
              <a:lstStyle/>
              <a:p>
                <a:pPr algn="ctr">
                  <a:defRPr>
                    <a:solidFill>
                      <a:schemeClr val="bg1"/>
                    </a:solidFil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OPO!$I$30</c:f>
              <c:numCache>
                <c:formatCode>General</c:formatCode>
                <c:ptCount val="1"/>
                <c:pt idx="0">
                  <c:v>5</c:v>
                </c:pt>
              </c:numCache>
            </c:numRef>
          </c:val>
          <c:extLst>
            <c:ext xmlns:c16="http://schemas.microsoft.com/office/drawing/2014/chart" uri="{C3380CC4-5D6E-409C-BE32-E72D297353CC}">
              <c16:uniqueId val="{00000000-2D3C-40FC-8199-9397BB160175}"/>
            </c:ext>
          </c:extLst>
        </c:ser>
        <c:ser>
          <c:idx val="4"/>
          <c:order val="1"/>
          <c:tx>
            <c:strRef>
              <c:f>OPO!$H$28</c:f>
              <c:strCache>
                <c:ptCount val="1"/>
                <c:pt idx="0">
                  <c:v>HAVO</c:v>
                </c:pt>
              </c:strCache>
            </c:strRef>
          </c:tx>
          <c:spPr>
            <a:solidFill>
              <a:srgbClr val="0000FF"/>
            </a:solidFill>
            <a:ln w="12700">
              <a:solidFill>
                <a:srgbClr val="000000"/>
              </a:solidFill>
              <a:prstDash val="solid"/>
            </a:ln>
          </c:spPr>
          <c:invertIfNegative val="0"/>
          <c:dLbls>
            <c:spPr>
              <a:noFill/>
              <a:ln w="25400">
                <a:noFill/>
              </a:ln>
            </c:spPr>
            <c:txPr>
              <a:bodyPr rot="-5400000" vert="horz"/>
              <a:lstStyle/>
              <a:p>
                <a:pPr algn="ctr">
                  <a:defRPr>
                    <a:solidFill>
                      <a:schemeClr val="bg1"/>
                    </a:solidFil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OPO!$H$30</c:f>
              <c:numCache>
                <c:formatCode>General</c:formatCode>
                <c:ptCount val="1"/>
                <c:pt idx="0">
                  <c:v>4.2</c:v>
                </c:pt>
              </c:numCache>
            </c:numRef>
          </c:val>
          <c:extLst>
            <c:ext xmlns:c16="http://schemas.microsoft.com/office/drawing/2014/chart" uri="{C3380CC4-5D6E-409C-BE32-E72D297353CC}">
              <c16:uniqueId val="{00000001-2D3C-40FC-8199-9397BB160175}"/>
            </c:ext>
          </c:extLst>
        </c:ser>
        <c:ser>
          <c:idx val="3"/>
          <c:order val="2"/>
          <c:tx>
            <c:strRef>
              <c:f>OPO!$G$28</c:f>
              <c:strCache>
                <c:ptCount val="1"/>
                <c:pt idx="0">
                  <c:v>GTL</c:v>
                </c:pt>
              </c:strCache>
            </c:strRef>
          </c:tx>
          <c:spPr>
            <a:solidFill>
              <a:srgbClr val="CCFFFF"/>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OPO!$G$30</c:f>
              <c:numCache>
                <c:formatCode>General</c:formatCode>
                <c:ptCount val="1"/>
                <c:pt idx="0">
                  <c:v>3.3</c:v>
                </c:pt>
              </c:numCache>
            </c:numRef>
          </c:val>
          <c:extLst>
            <c:ext xmlns:c16="http://schemas.microsoft.com/office/drawing/2014/chart" uri="{C3380CC4-5D6E-409C-BE32-E72D297353CC}">
              <c16:uniqueId val="{00000002-2D3C-40FC-8199-9397BB160175}"/>
            </c:ext>
          </c:extLst>
        </c:ser>
        <c:ser>
          <c:idx val="2"/>
          <c:order val="3"/>
          <c:tx>
            <c:strRef>
              <c:f>OPO!$F$28</c:f>
              <c:strCache>
                <c:ptCount val="1"/>
                <c:pt idx="0">
                  <c:v>KBL</c:v>
                </c:pt>
              </c:strCache>
            </c:strRef>
          </c:tx>
          <c:spPr>
            <a:solidFill>
              <a:srgbClr val="CCFFCC"/>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OPO!$F$30</c:f>
              <c:numCache>
                <c:formatCode>General</c:formatCode>
                <c:ptCount val="1"/>
                <c:pt idx="0">
                  <c:v>2.4</c:v>
                </c:pt>
              </c:numCache>
            </c:numRef>
          </c:val>
          <c:extLst>
            <c:ext xmlns:c16="http://schemas.microsoft.com/office/drawing/2014/chart" uri="{C3380CC4-5D6E-409C-BE32-E72D297353CC}">
              <c16:uniqueId val="{00000003-2D3C-40FC-8199-9397BB160175}"/>
            </c:ext>
          </c:extLst>
        </c:ser>
        <c:ser>
          <c:idx val="1"/>
          <c:order val="4"/>
          <c:tx>
            <c:strRef>
              <c:f>OPO!$E$28</c:f>
              <c:strCache>
                <c:ptCount val="1"/>
                <c:pt idx="0">
                  <c:v>BBL</c:v>
                </c:pt>
              </c:strCache>
            </c:strRef>
          </c:tx>
          <c:spPr>
            <a:solidFill>
              <a:srgbClr val="FFFF99"/>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OPO!$E$30</c:f>
              <c:numCache>
                <c:formatCode>General</c:formatCode>
                <c:ptCount val="1"/>
                <c:pt idx="0">
                  <c:v>1.5</c:v>
                </c:pt>
              </c:numCache>
            </c:numRef>
          </c:val>
          <c:extLst>
            <c:ext xmlns:c16="http://schemas.microsoft.com/office/drawing/2014/chart" uri="{C3380CC4-5D6E-409C-BE32-E72D297353CC}">
              <c16:uniqueId val="{00000004-2D3C-40FC-8199-9397BB160175}"/>
            </c:ext>
          </c:extLst>
        </c:ser>
        <c:ser>
          <c:idx val="0"/>
          <c:order val="5"/>
          <c:tx>
            <c:strRef>
              <c:f>OPO!$D$28</c:f>
              <c:strCache>
                <c:ptCount val="1"/>
                <c:pt idx="0">
                  <c:v>PRO</c:v>
                </c:pt>
              </c:strCache>
            </c:strRef>
          </c:tx>
          <c:spPr>
            <a:solidFill>
              <a:srgbClr val="FFFFCC"/>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OPO!$D$30</c:f>
              <c:numCache>
                <c:formatCode>General</c:formatCode>
                <c:ptCount val="1"/>
                <c:pt idx="0">
                  <c:v>0.5</c:v>
                </c:pt>
              </c:numCache>
            </c:numRef>
          </c:val>
          <c:extLst>
            <c:ext xmlns:c16="http://schemas.microsoft.com/office/drawing/2014/chart" uri="{C3380CC4-5D6E-409C-BE32-E72D297353CC}">
              <c16:uniqueId val="{00000005-2D3C-40FC-8199-9397BB160175}"/>
            </c:ext>
          </c:extLst>
        </c:ser>
        <c:dLbls>
          <c:showLegendKey val="0"/>
          <c:showVal val="0"/>
          <c:showCatName val="0"/>
          <c:showSerName val="1"/>
          <c:showPercent val="0"/>
          <c:showBubbleSize val="0"/>
        </c:dLbls>
        <c:gapWidth val="0"/>
        <c:overlap val="100"/>
        <c:axId val="577022624"/>
        <c:axId val="577017920"/>
      </c:barChart>
      <c:catAx>
        <c:axId val="577022624"/>
        <c:scaling>
          <c:orientation val="minMax"/>
        </c:scaling>
        <c:delete val="1"/>
        <c:axPos val="b"/>
        <c:majorTickMark val="out"/>
        <c:minorTickMark val="none"/>
        <c:tickLblPos val="none"/>
        <c:crossAx val="577017920"/>
        <c:crosses val="autoZero"/>
        <c:auto val="1"/>
        <c:lblAlgn val="ctr"/>
        <c:lblOffset val="100"/>
        <c:noMultiLvlLbl val="0"/>
      </c:catAx>
      <c:valAx>
        <c:axId val="577017920"/>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nl-NL"/>
          </a:p>
        </c:txPr>
        <c:crossAx val="577022624"/>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noFill/>
    <a:ln w="9525">
      <a:noFill/>
    </a:ln>
  </c:spPr>
  <c:txPr>
    <a:bodyPr/>
    <a:lstStyle/>
    <a:p>
      <a:pPr>
        <a:defRPr sz="14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2262087492094436"/>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2533-4F8A-8837-2154ED07770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2533-4F8A-8837-2154ED077705}"/>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2533-4F8A-8837-2154ED077705}"/>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2533-4F8A-8837-2154ED077705}"/>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2533-4F8A-8837-2154ED077705}"/>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2533-4F8A-8837-2154ED077705}"/>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2533-4F8A-8837-2154ED07770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2533-4F8A-8837-2154ED077705}"/>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2533-4F8A-8837-2154ED077705}"/>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2533-4F8A-8837-2154ED077705}"/>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2533-4F8A-8837-2154ED077705}"/>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2533-4F8A-8837-2154ED077705}"/>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2533-4F8A-8837-2154ED07770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2533-4F8A-8837-2154ED077705}"/>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2533-4F8A-8837-2154ED077705}"/>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2533-4F8A-8837-2154ED077705}"/>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2533-4F8A-8837-2154ED077705}"/>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2533-4F8A-8837-2154ED077705}"/>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2533-4F8A-8837-2154ED077705}"/>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2533-4F8A-8837-2154ED077705}"/>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2533-4F8A-8837-2154ED077705}"/>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2533-4F8A-8837-2154ED077705}"/>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2533-4F8A-8837-2154ED077705}"/>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2533-4F8A-8837-2154ED077705}"/>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2533-4F8A-8837-2154ED077705}"/>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2533-4F8A-8837-2154ED077705}"/>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2533-4F8A-8837-2154ED077705}"/>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559523684514494"/>
          <c:y val="5.0682357689064178E-2"/>
          <c:w val="0.48387604876563312"/>
          <c:h val="0.90058650970567888"/>
        </c:manualLayout>
      </c:layout>
      <c:barChart>
        <c:barDir val="col"/>
        <c:grouping val="clustered"/>
        <c:varyColors val="0"/>
        <c:ser>
          <c:idx val="5"/>
          <c:order val="0"/>
          <c:tx>
            <c:strRef>
              <c:f>OPO!$I$28</c:f>
              <c:strCache>
                <c:ptCount val="1"/>
                <c:pt idx="0">
                  <c:v>VWO</c:v>
                </c:pt>
              </c:strCache>
            </c:strRef>
          </c:tx>
          <c:spPr>
            <a:solidFill>
              <a:srgbClr val="000080"/>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OPO!$I$30</c:f>
              <c:numCache>
                <c:formatCode>General</c:formatCode>
                <c:ptCount val="1"/>
                <c:pt idx="0">
                  <c:v>5</c:v>
                </c:pt>
              </c:numCache>
            </c:numRef>
          </c:val>
          <c:extLst>
            <c:ext xmlns:c16="http://schemas.microsoft.com/office/drawing/2014/chart" uri="{C3380CC4-5D6E-409C-BE32-E72D297353CC}">
              <c16:uniqueId val="{00000000-1502-4B9C-84B4-015C36DD703C}"/>
            </c:ext>
          </c:extLst>
        </c:ser>
        <c:ser>
          <c:idx val="4"/>
          <c:order val="1"/>
          <c:tx>
            <c:strRef>
              <c:f>OPO!$H$28</c:f>
              <c:strCache>
                <c:ptCount val="1"/>
                <c:pt idx="0">
                  <c:v>HAVO</c:v>
                </c:pt>
              </c:strCache>
            </c:strRef>
          </c:tx>
          <c:spPr>
            <a:solidFill>
              <a:srgbClr val="0000FF"/>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OPO!$H$30</c:f>
              <c:numCache>
                <c:formatCode>General</c:formatCode>
                <c:ptCount val="1"/>
                <c:pt idx="0">
                  <c:v>4.2</c:v>
                </c:pt>
              </c:numCache>
            </c:numRef>
          </c:val>
          <c:extLst>
            <c:ext xmlns:c16="http://schemas.microsoft.com/office/drawing/2014/chart" uri="{C3380CC4-5D6E-409C-BE32-E72D297353CC}">
              <c16:uniqueId val="{00000001-1502-4B9C-84B4-015C36DD703C}"/>
            </c:ext>
          </c:extLst>
        </c:ser>
        <c:ser>
          <c:idx val="3"/>
          <c:order val="2"/>
          <c:tx>
            <c:strRef>
              <c:f>OPO!$G$28</c:f>
              <c:strCache>
                <c:ptCount val="1"/>
                <c:pt idx="0">
                  <c:v>GTL</c:v>
                </c:pt>
              </c:strCache>
            </c:strRef>
          </c:tx>
          <c:spPr>
            <a:solidFill>
              <a:srgbClr val="CCFFFF"/>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OPO!$G$30</c:f>
              <c:numCache>
                <c:formatCode>General</c:formatCode>
                <c:ptCount val="1"/>
                <c:pt idx="0">
                  <c:v>3.3</c:v>
                </c:pt>
              </c:numCache>
            </c:numRef>
          </c:val>
          <c:extLst>
            <c:ext xmlns:c16="http://schemas.microsoft.com/office/drawing/2014/chart" uri="{C3380CC4-5D6E-409C-BE32-E72D297353CC}">
              <c16:uniqueId val="{00000002-1502-4B9C-84B4-015C36DD703C}"/>
            </c:ext>
          </c:extLst>
        </c:ser>
        <c:ser>
          <c:idx val="2"/>
          <c:order val="3"/>
          <c:tx>
            <c:strRef>
              <c:f>OPO!$F$28</c:f>
              <c:strCache>
                <c:ptCount val="1"/>
                <c:pt idx="0">
                  <c:v>KBL</c:v>
                </c:pt>
              </c:strCache>
            </c:strRef>
          </c:tx>
          <c:spPr>
            <a:solidFill>
              <a:srgbClr val="CCFFCC"/>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OPO!$F$30</c:f>
              <c:numCache>
                <c:formatCode>General</c:formatCode>
                <c:ptCount val="1"/>
                <c:pt idx="0">
                  <c:v>2.4</c:v>
                </c:pt>
              </c:numCache>
            </c:numRef>
          </c:val>
          <c:extLst>
            <c:ext xmlns:c16="http://schemas.microsoft.com/office/drawing/2014/chart" uri="{C3380CC4-5D6E-409C-BE32-E72D297353CC}">
              <c16:uniqueId val="{00000003-1502-4B9C-84B4-015C36DD703C}"/>
            </c:ext>
          </c:extLst>
        </c:ser>
        <c:ser>
          <c:idx val="1"/>
          <c:order val="4"/>
          <c:tx>
            <c:strRef>
              <c:f>OPO!$E$28</c:f>
              <c:strCache>
                <c:ptCount val="1"/>
                <c:pt idx="0">
                  <c:v>BBL</c:v>
                </c:pt>
              </c:strCache>
            </c:strRef>
          </c:tx>
          <c:spPr>
            <a:solidFill>
              <a:srgbClr val="FFFF99"/>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OPO!$E$30</c:f>
              <c:numCache>
                <c:formatCode>General</c:formatCode>
                <c:ptCount val="1"/>
                <c:pt idx="0">
                  <c:v>1.5</c:v>
                </c:pt>
              </c:numCache>
            </c:numRef>
          </c:val>
          <c:extLst>
            <c:ext xmlns:c16="http://schemas.microsoft.com/office/drawing/2014/chart" uri="{C3380CC4-5D6E-409C-BE32-E72D297353CC}">
              <c16:uniqueId val="{00000004-1502-4B9C-84B4-015C36DD703C}"/>
            </c:ext>
          </c:extLst>
        </c:ser>
        <c:ser>
          <c:idx val="0"/>
          <c:order val="5"/>
          <c:tx>
            <c:strRef>
              <c:f>OPO!$D$28</c:f>
              <c:strCache>
                <c:ptCount val="1"/>
                <c:pt idx="0">
                  <c:v>PRO</c:v>
                </c:pt>
              </c:strCache>
            </c:strRef>
          </c:tx>
          <c:spPr>
            <a:solidFill>
              <a:srgbClr val="FFFFCC"/>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OPO!$D$30</c:f>
              <c:numCache>
                <c:formatCode>General</c:formatCode>
                <c:ptCount val="1"/>
                <c:pt idx="0">
                  <c:v>0.5</c:v>
                </c:pt>
              </c:numCache>
            </c:numRef>
          </c:val>
          <c:extLst>
            <c:ext xmlns:c16="http://schemas.microsoft.com/office/drawing/2014/chart" uri="{C3380CC4-5D6E-409C-BE32-E72D297353CC}">
              <c16:uniqueId val="{00000005-1502-4B9C-84B4-015C36DD703C}"/>
            </c:ext>
          </c:extLst>
        </c:ser>
        <c:dLbls>
          <c:showLegendKey val="0"/>
          <c:showVal val="0"/>
          <c:showCatName val="0"/>
          <c:showSerName val="1"/>
          <c:showPercent val="0"/>
          <c:showBubbleSize val="0"/>
        </c:dLbls>
        <c:gapWidth val="0"/>
        <c:overlap val="100"/>
        <c:axId val="577022624"/>
        <c:axId val="577017920"/>
      </c:barChart>
      <c:catAx>
        <c:axId val="577022624"/>
        <c:scaling>
          <c:orientation val="minMax"/>
        </c:scaling>
        <c:delete val="1"/>
        <c:axPos val="b"/>
        <c:majorTickMark val="out"/>
        <c:minorTickMark val="none"/>
        <c:tickLblPos val="none"/>
        <c:crossAx val="577017920"/>
        <c:crosses val="autoZero"/>
        <c:auto val="1"/>
        <c:lblAlgn val="ctr"/>
        <c:lblOffset val="100"/>
        <c:noMultiLvlLbl val="0"/>
      </c:catAx>
      <c:valAx>
        <c:axId val="577017920"/>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77022624"/>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4285-4C41-BDCE-85233B558F60}"/>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4285-4C41-BDCE-85233B558F60}"/>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4285-4C41-BDCE-85233B558F60}"/>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4285-4C41-BDCE-85233B558F6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LIJV!$D$48:$D$51</c:f>
              <c:numCache>
                <c:formatCode>General</c:formatCode>
                <c:ptCount val="4"/>
                <c:pt idx="0">
                  <c:v>9</c:v>
                </c:pt>
                <c:pt idx="1">
                  <c:v>7</c:v>
                </c:pt>
                <c:pt idx="2">
                  <c:v>0</c:v>
                </c:pt>
                <c:pt idx="3">
                  <c:v>1</c:v>
                </c:pt>
              </c:numCache>
            </c:numRef>
          </c:val>
          <c:extLst>
            <c:ext xmlns:c16="http://schemas.microsoft.com/office/drawing/2014/chart" uri="{C3380CC4-5D6E-409C-BE32-E72D297353CC}">
              <c16:uniqueId val="{00000008-4285-4C41-BDCE-85233B558F60}"/>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752-4F34-BA4E-4E8CE18D5667}"/>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752-4F34-BA4E-4E8CE18D5667}"/>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752-4F34-BA4E-4E8CE18D5667}"/>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752-4F34-BA4E-4E8CE18D566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LIJV!$E$48:$E$51</c:f>
              <c:numCache>
                <c:formatCode>General</c:formatCode>
                <c:ptCount val="4"/>
                <c:pt idx="0">
                  <c:v>0</c:v>
                </c:pt>
                <c:pt idx="1">
                  <c:v>9</c:v>
                </c:pt>
                <c:pt idx="2">
                  <c:v>2</c:v>
                </c:pt>
                <c:pt idx="3">
                  <c:v>6</c:v>
                </c:pt>
              </c:numCache>
            </c:numRef>
          </c:val>
          <c:extLst>
            <c:ext xmlns:c16="http://schemas.microsoft.com/office/drawing/2014/chart" uri="{C3380CC4-5D6E-409C-BE32-E72D297353CC}">
              <c16:uniqueId val="{00000008-E752-4F34-BA4E-4E8CE18D566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DF1-43A5-992A-78890727FB81}"/>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DF1-43A5-992A-78890727FB81}"/>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DF1-43A5-992A-78890727FB81}"/>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DF1-43A5-992A-78890727FB8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LIJV!$F$48:$F$51</c:f>
              <c:numCache>
                <c:formatCode>General</c:formatCode>
                <c:ptCount val="4"/>
                <c:pt idx="0">
                  <c:v>1</c:v>
                </c:pt>
                <c:pt idx="1">
                  <c:v>13</c:v>
                </c:pt>
                <c:pt idx="2">
                  <c:v>0</c:v>
                </c:pt>
                <c:pt idx="3">
                  <c:v>3</c:v>
                </c:pt>
              </c:numCache>
            </c:numRef>
          </c:val>
          <c:extLst>
            <c:ext xmlns:c16="http://schemas.microsoft.com/office/drawing/2014/chart" uri="{C3380CC4-5D6E-409C-BE32-E72D297353CC}">
              <c16:uniqueId val="{00000008-EDF1-43A5-992A-78890727FB8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49967577582214"/>
          <c:y val="0.13544790943685231"/>
          <c:w val="0.57382417786012041"/>
          <c:h val="0.74126223583754158"/>
        </c:manualLayout>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0B0-462B-B13B-13A9A3D46BB1}"/>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0B0-462B-B13B-13A9A3D46BB1}"/>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0B0-462B-B13B-13A9A3D46BB1}"/>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0B0-462B-B13B-13A9A3D46BB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LIJV!$G$48:$G$51</c:f>
              <c:numCache>
                <c:formatCode>General</c:formatCode>
                <c:ptCount val="4"/>
                <c:pt idx="0">
                  <c:v>4</c:v>
                </c:pt>
                <c:pt idx="1">
                  <c:v>13</c:v>
                </c:pt>
                <c:pt idx="2">
                  <c:v>0</c:v>
                </c:pt>
                <c:pt idx="3">
                  <c:v>0</c:v>
                </c:pt>
              </c:numCache>
            </c:numRef>
          </c:val>
          <c:extLst>
            <c:ext xmlns:c16="http://schemas.microsoft.com/office/drawing/2014/chart" uri="{C3380CC4-5D6E-409C-BE32-E72D297353CC}">
              <c16:uniqueId val="{00000008-E0B0-462B-B13B-13A9A3D46BB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FCF4-4FDD-ADA2-A7545D3AC91C}"/>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FCF4-4FDD-ADA2-A7545D3AC91C}"/>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FCF4-4FDD-ADA2-A7545D3AC91C}"/>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FCF4-4FDD-ADA2-A7545D3AC91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LIJV!$P$48:$P$51</c:f>
              <c:numCache>
                <c:formatCode>General</c:formatCode>
                <c:ptCount val="4"/>
                <c:pt idx="0">
                  <c:v>6</c:v>
                </c:pt>
                <c:pt idx="1">
                  <c:v>11</c:v>
                </c:pt>
                <c:pt idx="2">
                  <c:v>0</c:v>
                </c:pt>
                <c:pt idx="3">
                  <c:v>0</c:v>
                </c:pt>
              </c:numCache>
            </c:numRef>
          </c:val>
          <c:extLst>
            <c:ext xmlns:c16="http://schemas.microsoft.com/office/drawing/2014/chart" uri="{C3380CC4-5D6E-409C-BE32-E72D297353CC}">
              <c16:uniqueId val="{00000008-FCF4-4FDD-ADA2-A7545D3AC91C}"/>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9A23-4568-A617-B298933D648F}"/>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9A23-4568-A617-B298933D648F}"/>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9A23-4568-A617-B298933D648F}"/>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9A23-4568-A617-B298933D648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LIJV!$Q$48:$Q$51</c:f>
              <c:numCache>
                <c:formatCode>General</c:formatCode>
                <c:ptCount val="4"/>
                <c:pt idx="0">
                  <c:v>0</c:v>
                </c:pt>
                <c:pt idx="1">
                  <c:v>9</c:v>
                </c:pt>
                <c:pt idx="2">
                  <c:v>2</c:v>
                </c:pt>
                <c:pt idx="3">
                  <c:v>6</c:v>
                </c:pt>
              </c:numCache>
            </c:numRef>
          </c:val>
          <c:extLst>
            <c:ext xmlns:c16="http://schemas.microsoft.com/office/drawing/2014/chart" uri="{C3380CC4-5D6E-409C-BE32-E72D297353CC}">
              <c16:uniqueId val="{00000008-9A23-4568-A617-B298933D648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nl-NL" sz="2000" baseline="0"/>
              <a:t>GEMIDDELDE REFERENTIENIVEAU</a:t>
            </a:r>
            <a:endParaRPr lang="nl-NL" sz="2000"/>
          </a:p>
        </c:rich>
      </c:tx>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4.5195890246351934E-2"/>
          <c:y val="0.10535144169769725"/>
          <c:w val="0.94362037687338529"/>
          <c:h val="0.76952369241751239"/>
        </c:manualLayout>
      </c:layout>
      <c:barChart>
        <c:barDir val="col"/>
        <c:grouping val="clustered"/>
        <c:varyColors val="0"/>
        <c:ser>
          <c:idx val="0"/>
          <c:order val="0"/>
          <c:tx>
            <c:strRef>
              <c:f>[1]Referentieniveau!$R$5</c:f>
              <c:strCache>
                <c:ptCount val="1"/>
                <c:pt idx="0">
                  <c:v>B6</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([1]Referentieniveau!$S$5:$T$5,[1]Referentieniveau!$W$5:$X$5,[1]Referentieniveau!$AA$5:$AB$5)</c:f>
              <c:numCache>
                <c:formatCode>General</c:formatCode>
                <c:ptCount val="6"/>
                <c:pt idx="0">
                  <c:v>0</c:v>
                </c:pt>
                <c:pt idx="1">
                  <c:v>0</c:v>
                </c:pt>
                <c:pt idx="2">
                  <c:v>0.4</c:v>
                </c:pt>
                <c:pt idx="3">
                  <c:v>0</c:v>
                </c:pt>
                <c:pt idx="4">
                  <c:v>0</c:v>
                </c:pt>
                <c:pt idx="5">
                  <c:v>0</c:v>
                </c:pt>
              </c:numCache>
            </c:numRef>
          </c:val>
          <c:extLst>
            <c:ext xmlns:c16="http://schemas.microsoft.com/office/drawing/2014/chart" uri="{C3380CC4-5D6E-409C-BE32-E72D297353CC}">
              <c16:uniqueId val="{00000002-1469-4FA1-B7C1-F0F7CC95DF51}"/>
            </c:ext>
          </c:extLst>
        </c:ser>
        <c:ser>
          <c:idx val="1"/>
          <c:order val="1"/>
          <c:tx>
            <c:strRef>
              <c:f>[1]Referentieniveau!$R$6</c:f>
              <c:strCache>
                <c:ptCount val="1"/>
                <c:pt idx="0">
                  <c:v>M6</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([1]Referentieniveau!$S$6:$T$6,[1]Referentieniveau!$W$6:$X$6,[1]Referentieniveau!$AA$6:$AB$6)</c:f>
              <c:numCache>
                <c:formatCode>General</c:formatCode>
                <c:ptCount val="6"/>
                <c:pt idx="0">
                  <c:v>0.4</c:v>
                </c:pt>
                <c:pt idx="1">
                  <c:v>0</c:v>
                </c:pt>
                <c:pt idx="2">
                  <c:v>0.5</c:v>
                </c:pt>
                <c:pt idx="3">
                  <c:v>0</c:v>
                </c:pt>
                <c:pt idx="4">
                  <c:v>0.1</c:v>
                </c:pt>
                <c:pt idx="5">
                  <c:v>0</c:v>
                </c:pt>
              </c:numCache>
            </c:numRef>
          </c:val>
          <c:extLst>
            <c:ext xmlns:c16="http://schemas.microsoft.com/office/drawing/2014/chart" uri="{C3380CC4-5D6E-409C-BE32-E72D297353CC}">
              <c16:uniqueId val="{00000009-1469-4FA1-B7C1-F0F7CC95DF51}"/>
            </c:ext>
          </c:extLst>
        </c:ser>
        <c:ser>
          <c:idx val="2"/>
          <c:order val="2"/>
          <c:tx>
            <c:strRef>
              <c:f>[1]Referentieniveau!$R$7</c:f>
              <c:strCache>
                <c:ptCount val="1"/>
                <c:pt idx="0">
                  <c:v>B7</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([1]Referentieniveau!$S$7:$T$7,[1]Referentieniveau!$W$7:$X$7,[1]Referentieniveau!$AA$7:$AB$7)</c:f>
              <c:numCache>
                <c:formatCode>General</c:formatCode>
                <c:ptCount val="6"/>
                <c:pt idx="0">
                  <c:v>0.5</c:v>
                </c:pt>
                <c:pt idx="1">
                  <c:v>0.05</c:v>
                </c:pt>
                <c:pt idx="2">
                  <c:v>0.6</c:v>
                </c:pt>
                <c:pt idx="3">
                  <c:v>0</c:v>
                </c:pt>
                <c:pt idx="4">
                  <c:v>0.4</c:v>
                </c:pt>
                <c:pt idx="5">
                  <c:v>0</c:v>
                </c:pt>
              </c:numCache>
            </c:numRef>
          </c:val>
          <c:extLst>
            <c:ext xmlns:c16="http://schemas.microsoft.com/office/drawing/2014/chart" uri="{C3380CC4-5D6E-409C-BE32-E72D297353CC}">
              <c16:uniqueId val="{00000012-1469-4FA1-B7C1-F0F7CC95DF51}"/>
            </c:ext>
          </c:extLst>
        </c:ser>
        <c:ser>
          <c:idx val="3"/>
          <c:order val="3"/>
          <c:tx>
            <c:strRef>
              <c:f>[1]Referentieniveau!$R$8</c:f>
              <c:strCache>
                <c:ptCount val="1"/>
                <c:pt idx="0">
                  <c:v>M7</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([1]Referentieniveau!$S$8:$T$8,[1]Referentieniveau!$W$8:$X$8,[1]Referentieniveau!$AA$8:$AB$8)</c:f>
              <c:numCache>
                <c:formatCode>General</c:formatCode>
                <c:ptCount val="6"/>
                <c:pt idx="0">
                  <c:v>0.7</c:v>
                </c:pt>
                <c:pt idx="1">
                  <c:v>0.2</c:v>
                </c:pt>
                <c:pt idx="2">
                  <c:v>0.75</c:v>
                </c:pt>
                <c:pt idx="3">
                  <c:v>0.2</c:v>
                </c:pt>
                <c:pt idx="4">
                  <c:v>0.6</c:v>
                </c:pt>
                <c:pt idx="5">
                  <c:v>0.1</c:v>
                </c:pt>
              </c:numCache>
            </c:numRef>
          </c:val>
          <c:extLst>
            <c:ext xmlns:c16="http://schemas.microsoft.com/office/drawing/2014/chart" uri="{C3380CC4-5D6E-409C-BE32-E72D297353CC}">
              <c16:uniqueId val="{0000001F-1469-4FA1-B7C1-F0F7CC95DF51}"/>
            </c:ext>
          </c:extLst>
        </c:ser>
        <c:ser>
          <c:idx val="4"/>
          <c:order val="4"/>
          <c:tx>
            <c:strRef>
              <c:f>[1]Referentieniveau!$R$9</c:f>
              <c:strCache>
                <c:ptCount val="1"/>
                <c:pt idx="0">
                  <c:v>B8</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1-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3-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5-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7-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9-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B-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([1]Referentieniveau!$S$9:$T$9,[1]Referentieniveau!$W$9:$X$9,[1]Referentieniveau!$AA$9:$AB$9)</c:f>
              <c:numCache>
                <c:formatCode>General</c:formatCode>
                <c:ptCount val="6"/>
                <c:pt idx="0">
                  <c:v>0.75</c:v>
                </c:pt>
                <c:pt idx="1">
                  <c:v>0.25</c:v>
                </c:pt>
                <c:pt idx="2">
                  <c:v>0.8</c:v>
                </c:pt>
                <c:pt idx="3">
                  <c:v>0.25</c:v>
                </c:pt>
                <c:pt idx="4">
                  <c:v>0.75</c:v>
                </c:pt>
                <c:pt idx="5">
                  <c:v>0.2</c:v>
                </c:pt>
              </c:numCache>
            </c:numRef>
          </c:val>
          <c:extLst>
            <c:ext xmlns:c16="http://schemas.microsoft.com/office/drawing/2014/chart" uri="{C3380CC4-5D6E-409C-BE32-E72D297353CC}">
              <c16:uniqueId val="{0000002C-1469-4FA1-B7C1-F0F7CC95DF51}"/>
            </c:ext>
          </c:extLst>
        </c:ser>
        <c:ser>
          <c:idx val="5"/>
          <c:order val="5"/>
          <c:tx>
            <c:strRef>
              <c:f>[1]Referentieniveau!$R$10</c:f>
              <c:strCache>
                <c:ptCount val="1"/>
                <c:pt idx="0">
                  <c:v>M8</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E-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0-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2-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4-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6-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8-1469-4FA1-B7C1-F0F7CC95DF5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([1]Referentieniveau!$S$10:$T$10,[1]Referentieniveau!$W$10:$X$10,[1]Referentieniveau!$AA$10:$AB$10)</c:f>
              <c:numCache>
                <c:formatCode>General</c:formatCode>
                <c:ptCount val="6"/>
                <c:pt idx="0">
                  <c:v>0.8</c:v>
                </c:pt>
                <c:pt idx="1">
                  <c:v>0.45</c:v>
                </c:pt>
                <c:pt idx="2">
                  <c:v>0.85</c:v>
                </c:pt>
                <c:pt idx="3">
                  <c:v>0.45</c:v>
                </c:pt>
                <c:pt idx="4">
                  <c:v>0.9</c:v>
                </c:pt>
                <c:pt idx="5">
                  <c:v>0.3</c:v>
                </c:pt>
              </c:numCache>
            </c:numRef>
          </c:val>
          <c:extLst>
            <c:ext xmlns:c16="http://schemas.microsoft.com/office/drawing/2014/chart" uri="{C3380CC4-5D6E-409C-BE32-E72D297353CC}">
              <c16:uniqueId val="{00000039-1469-4FA1-B7C1-F0F7CC95DF51}"/>
            </c:ext>
          </c:extLst>
        </c:ser>
        <c:ser>
          <c:idx val="6"/>
          <c:order val="6"/>
          <c:tx>
            <c:strRef>
              <c:f>[1]Referentieniveau!$R$11</c:f>
              <c:strCache>
                <c:ptCount val="1"/>
                <c:pt idx="0">
                  <c:v>E8</c:v>
                </c:pt>
              </c:strCache>
            </c:strRef>
          </c:tx>
          <c:spPr>
            <a:solidFill>
              <a:srgbClr val="CCFFCC"/>
            </a:solidFill>
            <a:ln>
              <a:noFill/>
            </a:ln>
            <a:effectLst>
              <a:outerShdw blurRad="40000" dist="23000" dir="5400000" rotWithShape="0">
                <a:srgbClr val="000000">
                  <a:alpha val="35000"/>
                </a:srgbClr>
              </a:outerShdw>
            </a:effectLst>
          </c:spPr>
          <c:invertIfNegative val="0"/>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B-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D-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F-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41-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43-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([1]Referentieniveau!$S$11:$T$11,[1]Referentieniveau!$W$11:$X$11,[1]Referentieniveau!$AA$11:$AB$11)</c:f>
              <c:numCache>
                <c:formatCode>General</c:formatCode>
                <c:ptCount val="6"/>
                <c:pt idx="0">
                  <c:v>0.96499999999999997</c:v>
                </c:pt>
                <c:pt idx="1">
                  <c:v>0.65</c:v>
                </c:pt>
                <c:pt idx="2">
                  <c:v>0.96499999999999997</c:v>
                </c:pt>
                <c:pt idx="3">
                  <c:v>0.65</c:v>
                </c:pt>
                <c:pt idx="4">
                  <c:v>0.96499999999999997</c:v>
                </c:pt>
                <c:pt idx="5">
                  <c:v>0.45</c:v>
                </c:pt>
              </c:numCache>
            </c:numRef>
          </c:val>
          <c:extLst>
            <c:ext xmlns:c16="http://schemas.microsoft.com/office/drawing/2014/chart" uri="{C3380CC4-5D6E-409C-BE32-E72D297353CC}">
              <c16:uniqueId val="{00000044-1469-4FA1-B7C1-F0F7CC95DF51}"/>
            </c:ext>
          </c:extLst>
        </c:ser>
        <c:dLbls>
          <c:dLblPos val="outEnd"/>
          <c:showLegendKey val="0"/>
          <c:showVal val="1"/>
          <c:showCatName val="0"/>
          <c:showSerName val="0"/>
          <c:showPercent val="0"/>
          <c:showBubbleSize val="0"/>
        </c:dLbls>
        <c:gapWidth val="24"/>
        <c:overlap val="-24"/>
        <c:axId val="1495336520"/>
        <c:axId val="1495338816"/>
      </c:barChart>
      <c:catAx>
        <c:axId val="1495336520"/>
        <c:scaling>
          <c:orientation val="minMax"/>
        </c:scaling>
        <c:delete val="1"/>
        <c:axPos val="b"/>
        <c:numFmt formatCode="General" sourceLinked="1"/>
        <c:majorTickMark val="out"/>
        <c:minorTickMark val="none"/>
        <c:tickLblPos val="nextTo"/>
        <c:crossAx val="1495338816"/>
        <c:crosses val="autoZero"/>
        <c:auto val="1"/>
        <c:lblAlgn val="ctr"/>
        <c:lblOffset val="100"/>
        <c:noMultiLvlLbl val="0"/>
      </c:catAx>
      <c:valAx>
        <c:axId val="14953388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nl-NL"/>
          </a:p>
        </c:txPr>
        <c:crossAx val="1495336520"/>
        <c:crosses val="autoZero"/>
        <c:crossBetween val="between"/>
      </c:valAx>
      <c:spPr>
        <a:noFill/>
        <a:ln>
          <a:noFill/>
        </a:ln>
        <a:effectLst/>
      </c:spPr>
    </c:plotArea>
    <c:plotVisOnly val="1"/>
    <c:dispBlanksAs val="gap"/>
    <c:showDLblsOverMax val="0"/>
  </c:chart>
  <c:spPr>
    <a:solidFill>
      <a:schemeClr val="bg1"/>
    </a:solidFill>
    <a:ln w="38100" cap="flat" cmpd="sng" algn="ctr">
      <a:solidFill>
        <a:srgbClr val="0070C0"/>
      </a:solidFill>
      <a:round/>
    </a:ln>
    <a:effectLst/>
  </c:spPr>
  <c:txPr>
    <a:bodyPr/>
    <a:lstStyle/>
    <a:p>
      <a:pPr>
        <a:defRPr sz="1100">
          <a:solidFill>
            <a:sysClr val="windowText" lastClr="000000"/>
          </a:solidFill>
        </a:defRPr>
      </a:pPr>
      <a:endParaRPr lang="nl-NL"/>
    </a:p>
  </c:txPr>
  <c:printSettings>
    <c:headerFooter/>
    <c:pageMargins b="0.75" l="0.7" r="0.7" t="0.75" header="0.3" footer="0.3"/>
    <c:pageSetup paperSize="9" orientation="landscape" horizontalDpi="-3"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DFB3-4345-B966-5CFB643032E0}"/>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DFB3-4345-B966-5CFB643032E0}"/>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DFB3-4345-B966-5CFB643032E0}"/>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DFB3-4345-B966-5CFB643032E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LIJV!$R$48:$R$51</c:f>
              <c:numCache>
                <c:formatCode>General</c:formatCode>
                <c:ptCount val="4"/>
                <c:pt idx="0">
                  <c:v>1</c:v>
                </c:pt>
                <c:pt idx="1">
                  <c:v>13</c:v>
                </c:pt>
                <c:pt idx="2">
                  <c:v>0</c:v>
                </c:pt>
                <c:pt idx="3">
                  <c:v>3</c:v>
                </c:pt>
              </c:numCache>
            </c:numRef>
          </c:val>
          <c:extLst>
            <c:ext xmlns:c16="http://schemas.microsoft.com/office/drawing/2014/chart" uri="{C3380CC4-5D6E-409C-BE32-E72D297353CC}">
              <c16:uniqueId val="{00000008-DFB3-4345-B966-5CFB643032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49967577582214"/>
          <c:y val="0.13544790943685231"/>
          <c:w val="0.57382417786012041"/>
          <c:h val="0.74126223583754158"/>
        </c:manualLayout>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64A9-44D8-AF54-643D04C2B5E6}"/>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64A9-44D8-AF54-643D04C2B5E6}"/>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64A9-44D8-AF54-643D04C2B5E6}"/>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64A9-44D8-AF54-643D04C2B5E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LIJV!$S$48:$S$51</c:f>
              <c:numCache>
                <c:formatCode>General</c:formatCode>
                <c:ptCount val="4"/>
                <c:pt idx="0">
                  <c:v>4</c:v>
                </c:pt>
                <c:pt idx="1">
                  <c:v>13</c:v>
                </c:pt>
                <c:pt idx="2">
                  <c:v>0</c:v>
                </c:pt>
                <c:pt idx="3">
                  <c:v>0</c:v>
                </c:pt>
              </c:numCache>
            </c:numRef>
          </c:val>
          <c:extLst>
            <c:ext xmlns:c16="http://schemas.microsoft.com/office/drawing/2014/chart" uri="{C3380CC4-5D6E-409C-BE32-E72D297353CC}">
              <c16:uniqueId val="{00000008-64A9-44D8-AF54-643D04C2B5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1E43-49E1-9C1A-27D978B5B79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1E43-49E1-9C1A-27D978B5B79A}"/>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1E43-49E1-9C1A-27D978B5B79A}"/>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1E43-49E1-9C1A-27D978B5B79A}"/>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1E43-49E1-9C1A-27D978B5B79A}"/>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1E43-49E1-9C1A-27D978B5B79A}"/>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1E43-49E1-9C1A-27D978B5B79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1E43-49E1-9C1A-27D978B5B79A}"/>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1E43-49E1-9C1A-27D978B5B79A}"/>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1E43-49E1-9C1A-27D978B5B79A}"/>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1E43-49E1-9C1A-27D978B5B79A}"/>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1E43-49E1-9C1A-27D978B5B79A}"/>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1E43-49E1-9C1A-27D978B5B79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1E43-49E1-9C1A-27D978B5B79A}"/>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1E43-49E1-9C1A-27D978B5B79A}"/>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1E43-49E1-9C1A-27D978B5B79A}"/>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1E43-49E1-9C1A-27D978B5B79A}"/>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1E43-49E1-9C1A-27D978B5B79A}"/>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1E43-49E1-9C1A-27D978B5B79A}"/>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1E43-49E1-9C1A-27D978B5B79A}"/>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1E43-49E1-9C1A-27D978B5B79A}"/>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1E43-49E1-9C1A-27D978B5B79A}"/>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1E43-49E1-9C1A-27D978B5B79A}"/>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1E43-49E1-9C1A-27D978B5B79A}"/>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1E43-49E1-9C1A-27D978B5B79A}"/>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1E43-49E1-9C1A-27D978B5B79A}"/>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1E43-49E1-9C1A-27D978B5B79A}"/>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D518-44A4-9039-F2606427EFF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D518-44A4-9039-F2606427EFF5}"/>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D518-44A4-9039-F2606427EFF5}"/>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D518-44A4-9039-F2606427EFF5}"/>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D518-44A4-9039-F2606427EFF5}"/>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D518-44A4-9039-F2606427EFF5}"/>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D518-44A4-9039-F2606427EFF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D518-44A4-9039-F2606427EFF5}"/>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D518-44A4-9039-F2606427EFF5}"/>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D518-44A4-9039-F2606427EFF5}"/>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D518-44A4-9039-F2606427EFF5}"/>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D518-44A4-9039-F2606427EFF5}"/>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D518-44A4-9039-F2606427EFF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D518-44A4-9039-F2606427EFF5}"/>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D518-44A4-9039-F2606427EFF5}"/>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D518-44A4-9039-F2606427EFF5}"/>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D518-44A4-9039-F2606427EFF5}"/>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D518-44A4-9039-F2606427EFF5}"/>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D518-44A4-9039-F2606427EFF5}"/>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D518-44A4-9039-F2606427EFF5}"/>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D518-44A4-9039-F2606427EFF5}"/>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D518-44A4-9039-F2606427EFF5}"/>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D518-44A4-9039-F2606427EFF5}"/>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D518-44A4-9039-F2606427EFF5}"/>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D518-44A4-9039-F2606427EFF5}"/>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D518-44A4-9039-F2606427EFF5}"/>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D518-44A4-9039-F2606427EFF5}"/>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AEA4-4D4F-87AC-FB3A1A25E84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AEA4-4D4F-87AC-FB3A1A25E84B}"/>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AEA4-4D4F-87AC-FB3A1A25E84B}"/>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AEA4-4D4F-87AC-FB3A1A25E84B}"/>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AEA4-4D4F-87AC-FB3A1A25E84B}"/>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AEA4-4D4F-87AC-FB3A1A25E84B}"/>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AEA4-4D4F-87AC-FB3A1A25E84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AEA4-4D4F-87AC-FB3A1A25E84B}"/>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AEA4-4D4F-87AC-FB3A1A25E84B}"/>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AEA4-4D4F-87AC-FB3A1A25E84B}"/>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AEA4-4D4F-87AC-FB3A1A25E84B}"/>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AEA4-4D4F-87AC-FB3A1A25E84B}"/>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AEA4-4D4F-87AC-FB3A1A25E84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AEA4-4D4F-87AC-FB3A1A25E84B}"/>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AEA4-4D4F-87AC-FB3A1A25E84B}"/>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AEA4-4D4F-87AC-FB3A1A25E84B}"/>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AEA4-4D4F-87AC-FB3A1A25E84B}"/>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AEA4-4D4F-87AC-FB3A1A25E84B}"/>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AEA4-4D4F-87AC-FB3A1A25E84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AEA4-4D4F-87AC-FB3A1A25E84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AEA4-4D4F-87AC-FB3A1A25E84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AEA4-4D4F-87AC-FB3A1A25E84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AEA4-4D4F-87AC-FB3A1A25E84B}"/>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AEA4-4D4F-87AC-FB3A1A25E84B}"/>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AEA4-4D4F-87AC-FB3A1A25E84B}"/>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AEA4-4D4F-87AC-FB3A1A25E84B}"/>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AEA4-4D4F-87AC-FB3A1A25E84B}"/>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ECF1-4D2F-88F8-7AE37EB4C41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ECF1-4D2F-88F8-7AE37EB4C417}"/>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ECF1-4D2F-88F8-7AE37EB4C417}"/>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ECF1-4D2F-88F8-7AE37EB4C417}"/>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ECF1-4D2F-88F8-7AE37EB4C417}"/>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ECF1-4D2F-88F8-7AE37EB4C417}"/>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ECF1-4D2F-88F8-7AE37EB4C41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ECF1-4D2F-88F8-7AE37EB4C417}"/>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ECF1-4D2F-88F8-7AE37EB4C417}"/>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ECF1-4D2F-88F8-7AE37EB4C417}"/>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ECF1-4D2F-88F8-7AE37EB4C417}"/>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ECF1-4D2F-88F8-7AE37EB4C417}"/>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ECF1-4D2F-88F8-7AE37EB4C41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ECF1-4D2F-88F8-7AE37EB4C417}"/>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ECF1-4D2F-88F8-7AE37EB4C417}"/>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ECF1-4D2F-88F8-7AE37EB4C417}"/>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ECF1-4D2F-88F8-7AE37EB4C417}"/>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ECF1-4D2F-88F8-7AE37EB4C417}"/>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ECF1-4D2F-88F8-7AE37EB4C417}"/>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ECF1-4D2F-88F8-7AE37EB4C417}"/>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ECF1-4D2F-88F8-7AE37EB4C417}"/>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ECF1-4D2F-88F8-7AE37EB4C417}"/>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ECF1-4D2F-88F8-7AE37EB4C417}"/>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ECF1-4D2F-88F8-7AE37EB4C417}"/>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ECF1-4D2F-88F8-7AE37EB4C417}"/>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ECF1-4D2F-88F8-7AE37EB4C417}"/>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ECF1-4D2F-88F8-7AE37EB4C417}"/>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BA9B-4518-9876-A78EF887FB2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BA9B-4518-9876-A78EF887FB22}"/>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BA9B-4518-9876-A78EF887FB22}"/>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BA9B-4518-9876-A78EF887FB22}"/>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BA9B-4518-9876-A78EF887FB22}"/>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BA9B-4518-9876-A78EF887FB22}"/>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BA9B-4518-9876-A78EF887FB2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BA9B-4518-9876-A78EF887FB22}"/>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BA9B-4518-9876-A78EF887FB22}"/>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BA9B-4518-9876-A78EF887FB22}"/>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BA9B-4518-9876-A78EF887FB22}"/>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BA9B-4518-9876-A78EF887FB22}"/>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BA9B-4518-9876-A78EF887FB2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BA9B-4518-9876-A78EF887FB22}"/>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BA9B-4518-9876-A78EF887FB22}"/>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BA9B-4518-9876-A78EF887FB22}"/>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BA9B-4518-9876-A78EF887FB22}"/>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BA9B-4518-9876-A78EF887FB22}"/>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BA9B-4518-9876-A78EF887FB22}"/>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BA9B-4518-9876-A78EF887FB22}"/>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BA9B-4518-9876-A78EF887FB22}"/>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BA9B-4518-9876-A78EF887FB22}"/>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BA9B-4518-9876-A78EF887FB22}"/>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BA9B-4518-9876-A78EF887FB22}"/>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BA9B-4518-9876-A78EF887FB22}"/>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BA9B-4518-9876-A78EF887FB22}"/>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BA9B-4518-9876-A78EF887FB22}"/>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89F4-4E0B-B627-C9AE03FCB2FF}"/>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89F4-4E0B-B627-C9AE03FCB2FF}"/>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89F4-4E0B-B627-C9AE03FCB2FF}"/>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89F4-4E0B-B627-C9AE03FCB2FF}"/>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89F4-4E0B-B627-C9AE03FCB2FF}"/>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89F4-4E0B-B627-C9AE03FCB2FF}"/>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89F4-4E0B-B627-C9AE03FCB2FF}"/>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89F4-4E0B-B627-C9AE03FCB2FF}"/>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89F4-4E0B-B627-C9AE03FCB2FF}"/>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89F4-4E0B-B627-C9AE03FCB2FF}"/>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89F4-4E0B-B627-C9AE03FCB2FF}"/>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89F4-4E0B-B627-C9AE03FCB2FF}"/>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89F4-4E0B-B627-C9AE03FCB2FF}"/>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89F4-4E0B-B627-C9AE03FCB2FF}"/>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89F4-4E0B-B627-C9AE03FCB2FF}"/>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89F4-4E0B-B627-C9AE03FCB2FF}"/>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89F4-4E0B-B627-C9AE03FCB2FF}"/>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89F4-4E0B-B627-C9AE03FCB2FF}"/>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89F4-4E0B-B627-C9AE03FCB2FF}"/>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89F4-4E0B-B627-C9AE03FCB2FF}"/>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89F4-4E0B-B627-C9AE03FCB2FF}"/>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89F4-4E0B-B627-C9AE03FCB2FF}"/>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89F4-4E0B-B627-C9AE03FCB2FF}"/>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89F4-4E0B-B627-C9AE03FCB2FF}"/>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89F4-4E0B-B627-C9AE03FCB2FF}"/>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89F4-4E0B-B627-C9AE03FCB2FF}"/>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89F4-4E0B-B627-C9AE03FCB2FF}"/>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'VERWIJZING - VO'!$AP$4</c:f>
              <c:strCache>
                <c:ptCount val="1"/>
                <c:pt idx="0">
                  <c:v>Groep 8</c:v>
                </c:pt>
              </c:strCache>
            </c:strRef>
          </c:tx>
          <c:spPr>
            <a:solidFill>
              <a:srgbClr val="00FF00">
                <a:alpha val="50196"/>
              </a:srgbClr>
            </a:solidFill>
            <a:ln w="38100">
              <a:solidFill>
                <a:schemeClr val="accent1"/>
              </a:solidFill>
            </a:ln>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'VERWIJZING - VO'!$AM$5:$AM$15</c:f>
              <c:strCache>
                <c:ptCount val="9"/>
                <c:pt idx="0">
                  <c:v>PRO/BB</c:v>
                </c:pt>
                <c:pt idx="2">
                  <c:v>BB/KB</c:v>
                </c:pt>
                <c:pt idx="4">
                  <c:v>KB/TL</c:v>
                </c:pt>
                <c:pt idx="6">
                  <c:v>TL/HAVO</c:v>
                </c:pt>
                <c:pt idx="8">
                  <c:v>HAVO/VWO</c:v>
                </c:pt>
              </c:strCache>
            </c:strRef>
          </c:cat>
          <c:val>
            <c:numRef>
              <c:f>'VERWIJZING - VO'!$AP$5:$AP$15</c:f>
              <c:numCache>
                <c:formatCode>0%</c:formatCode>
                <c:ptCount val="11"/>
                <c:pt idx="0">
                  <c:v>0</c:v>
                </c:pt>
                <c:pt idx="2">
                  <c:v>0</c:v>
                </c:pt>
                <c:pt idx="4">
                  <c:v>0.16666666666666666</c:v>
                </c:pt>
                <c:pt idx="6">
                  <c:v>0</c:v>
                </c:pt>
                <c:pt idx="8">
                  <c:v>0.83333333333333326</c:v>
                </c:pt>
              </c:numCache>
            </c:numRef>
          </c:val>
          <c:extLst>
            <c:ext xmlns:c14="http://schemas.microsoft.com/office/drawing/2007/8/2/chart" uri="{6F2FDCE9-48DA-4B69-8628-5D25D57E5C99}">
              <c14:invertSolidFillFmt>
                <c14:spPr xmlns:c14="http://schemas.microsoft.com/office/drawing/2007/8/2/chart">
                  <a:solidFill>
                    <a:srgbClr val="FFFFFF"/>
                  </a:solidFill>
                  <a:ln w="38100">
                    <a:solidFill>
                      <a:schemeClr val="accent1"/>
                    </a:solidFill>
                  </a:ln>
                  <a:effectLst/>
                </c14:spPr>
              </c14:invertSolidFillFmt>
            </c:ext>
            <c:ext xmlns:c16="http://schemas.microsoft.com/office/drawing/2014/chart" uri="{C3380CC4-5D6E-409C-BE32-E72D297353CC}">
              <c16:uniqueId val="{00000000-E03A-410A-BA9A-18A849651733}"/>
            </c:ext>
          </c:extLst>
        </c:ser>
        <c:dLbls>
          <c:showLegendKey val="0"/>
          <c:showVal val="0"/>
          <c:showCatName val="0"/>
          <c:showSerName val="0"/>
          <c:showPercent val="0"/>
          <c:showBubbleSize val="0"/>
        </c:dLbls>
        <c:gapWidth val="0"/>
        <c:axId val="461400240"/>
        <c:axId val="461401416"/>
      </c:barChart>
      <c:barChart>
        <c:barDir val="col"/>
        <c:grouping val="clustered"/>
        <c:varyColors val="0"/>
        <c:ser>
          <c:idx val="1"/>
          <c:order val="1"/>
          <c:tx>
            <c:strRef>
              <c:f>'VERWIJZING - VO'!$AR$4</c:f>
              <c:strCache>
                <c:ptCount val="1"/>
                <c:pt idx="0">
                  <c:v>Landelijk</c:v>
                </c:pt>
              </c:strCache>
            </c:strRef>
          </c:tx>
          <c:spPr>
            <a:solidFill>
              <a:srgbClr val="FF0000">
                <a:alpha val="50000"/>
              </a:srgbClr>
            </a:solidFill>
            <a:ln w="381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'VERWIJZING - VO'!$AL$5:$AL$14</c:f>
              <c:strCache>
                <c:ptCount val="10"/>
                <c:pt idx="0">
                  <c:v>PRO</c:v>
                </c:pt>
                <c:pt idx="1">
                  <c:v>BB</c:v>
                </c:pt>
                <c:pt idx="2">
                  <c:v>BB/KB</c:v>
                </c:pt>
                <c:pt idx="3">
                  <c:v>KB</c:v>
                </c:pt>
                <c:pt idx="4">
                  <c:v>KB/TL</c:v>
                </c:pt>
                <c:pt idx="5">
                  <c:v>TL</c:v>
                </c:pt>
                <c:pt idx="6">
                  <c:v>TL/HAVO</c:v>
                </c:pt>
                <c:pt idx="7">
                  <c:v>HAVO</c:v>
                </c:pt>
                <c:pt idx="8">
                  <c:v>HAVO/VWO</c:v>
                </c:pt>
                <c:pt idx="9">
                  <c:v>VWO</c:v>
                </c:pt>
              </c:strCache>
            </c:strRef>
          </c:cat>
          <c:val>
            <c:numRef>
              <c:f>'VERWIJZING - VO'!$AR$5:$AR$14</c:f>
              <c:numCache>
                <c:formatCode>0%</c:formatCode>
                <c:ptCount val="10"/>
                <c:pt idx="0">
                  <c:v>0.08</c:v>
                </c:pt>
                <c:pt idx="2">
                  <c:v>0.13</c:v>
                </c:pt>
                <c:pt idx="4">
                  <c:v>0.24</c:v>
                </c:pt>
                <c:pt idx="6">
                  <c:v>0.27</c:v>
                </c:pt>
                <c:pt idx="8">
                  <c:v>0.28000000000000003</c:v>
                </c:pt>
              </c:numCache>
            </c:numRef>
          </c:val>
          <c:extLst>
            <c:ext xmlns:c16="http://schemas.microsoft.com/office/drawing/2014/chart" uri="{C3380CC4-5D6E-409C-BE32-E72D297353CC}">
              <c16:uniqueId val="{00000001-E03A-410A-BA9A-18A849651733}"/>
            </c:ext>
          </c:extLst>
        </c:ser>
        <c:dLbls>
          <c:showLegendKey val="0"/>
          <c:showVal val="0"/>
          <c:showCatName val="0"/>
          <c:showSerName val="0"/>
          <c:showPercent val="0"/>
          <c:showBubbleSize val="0"/>
        </c:dLbls>
        <c:gapWidth val="0"/>
        <c:overlap val="21"/>
        <c:axId val="461393968"/>
        <c:axId val="461396320"/>
      </c:barChart>
      <c:catAx>
        <c:axId val="46140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nl-NL"/>
          </a:p>
        </c:txPr>
        <c:crossAx val="461401416"/>
        <c:crosses val="autoZero"/>
        <c:auto val="1"/>
        <c:lblAlgn val="ctr"/>
        <c:lblOffset val="100"/>
        <c:noMultiLvlLbl val="0"/>
      </c:catAx>
      <c:valAx>
        <c:axId val="461401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nl-NL"/>
          </a:p>
        </c:txPr>
        <c:crossAx val="461400240"/>
        <c:crosses val="autoZero"/>
        <c:crossBetween val="between"/>
      </c:valAx>
      <c:valAx>
        <c:axId val="461396320"/>
        <c:scaling>
          <c:orientation val="minMax"/>
        </c:scaling>
        <c:delete val="1"/>
        <c:axPos val="r"/>
        <c:numFmt formatCode="0%" sourceLinked="1"/>
        <c:majorTickMark val="out"/>
        <c:minorTickMark val="none"/>
        <c:tickLblPos val="nextTo"/>
        <c:crossAx val="461393968"/>
        <c:crosses val="max"/>
        <c:crossBetween val="between"/>
      </c:valAx>
      <c:catAx>
        <c:axId val="461393968"/>
        <c:scaling>
          <c:orientation val="minMax"/>
        </c:scaling>
        <c:delete val="1"/>
        <c:axPos val="b"/>
        <c:numFmt formatCode="General" sourceLinked="1"/>
        <c:majorTickMark val="out"/>
        <c:minorTickMark val="none"/>
        <c:tickLblPos val="nextTo"/>
        <c:crossAx val="461396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nl-NL"/>
        </a:p>
      </c:txPr>
    </c:legend>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multiLvlStrRef>
              <c:f>Referentieniveau!$AH$4:$AI$45</c:f>
              <c:multiLvlStrCache>
                <c:ptCount val="42"/>
                <c:lvl>
                  <c:pt idx="0">
                    <c:v>B6</c:v>
                  </c:pt>
                  <c:pt idx="1">
                    <c:v>M6</c:v>
                  </c:pt>
                  <c:pt idx="2">
                    <c:v>B7</c:v>
                  </c:pt>
                  <c:pt idx="3">
                    <c:v>M7</c:v>
                  </c:pt>
                  <c:pt idx="4">
                    <c:v>B8</c:v>
                  </c:pt>
                  <c:pt idx="5">
                    <c:v>M8</c:v>
                  </c:pt>
                  <c:pt idx="6">
                    <c:v>E8</c:v>
                  </c:pt>
                  <c:pt idx="7">
                    <c:v>B6</c:v>
                  </c:pt>
                  <c:pt idx="8">
                    <c:v>M6</c:v>
                  </c:pt>
                  <c:pt idx="9">
                    <c:v>B7</c:v>
                  </c:pt>
                  <c:pt idx="10">
                    <c:v>M7</c:v>
                  </c:pt>
                  <c:pt idx="11">
                    <c:v>B8</c:v>
                  </c:pt>
                  <c:pt idx="12">
                    <c:v>M8</c:v>
                  </c:pt>
                  <c:pt idx="13">
                    <c:v>E8</c:v>
                  </c:pt>
                  <c:pt idx="14">
                    <c:v>B6</c:v>
                  </c:pt>
                  <c:pt idx="15">
                    <c:v>M6</c:v>
                  </c:pt>
                  <c:pt idx="16">
                    <c:v>B7</c:v>
                  </c:pt>
                  <c:pt idx="17">
                    <c:v>M7</c:v>
                  </c:pt>
                  <c:pt idx="18">
                    <c:v>B8</c:v>
                  </c:pt>
                  <c:pt idx="19">
                    <c:v>M8</c:v>
                  </c:pt>
                  <c:pt idx="20">
                    <c:v>E8</c:v>
                  </c:pt>
                  <c:pt idx="21">
                    <c:v>B6</c:v>
                  </c:pt>
                  <c:pt idx="22">
                    <c:v>M6</c:v>
                  </c:pt>
                  <c:pt idx="23">
                    <c:v>B7</c:v>
                  </c:pt>
                  <c:pt idx="24">
                    <c:v>M7</c:v>
                  </c:pt>
                  <c:pt idx="25">
                    <c:v>B8</c:v>
                  </c:pt>
                  <c:pt idx="26">
                    <c:v>M8</c:v>
                  </c:pt>
                  <c:pt idx="27">
                    <c:v>E8</c:v>
                  </c:pt>
                  <c:pt idx="28">
                    <c:v>B6</c:v>
                  </c:pt>
                  <c:pt idx="29">
                    <c:v>M6</c:v>
                  </c:pt>
                  <c:pt idx="30">
                    <c:v>B7</c:v>
                  </c:pt>
                  <c:pt idx="31">
                    <c:v>M7</c:v>
                  </c:pt>
                  <c:pt idx="32">
                    <c:v>B8</c:v>
                  </c:pt>
                  <c:pt idx="33">
                    <c:v>M8</c:v>
                  </c:pt>
                  <c:pt idx="34">
                    <c:v>E8</c:v>
                  </c:pt>
                  <c:pt idx="35">
                    <c:v>B6</c:v>
                  </c:pt>
                  <c:pt idx="36">
                    <c:v>M6</c:v>
                  </c:pt>
                  <c:pt idx="37">
                    <c:v>B7</c:v>
                  </c:pt>
                  <c:pt idx="38">
                    <c:v>M7</c:v>
                  </c:pt>
                  <c:pt idx="39">
                    <c:v>B8</c:v>
                  </c:pt>
                  <c:pt idx="40">
                    <c:v>M8</c:v>
                  </c:pt>
                  <c:pt idx="41">
                    <c:v>E8</c:v>
                  </c:pt>
                </c:lvl>
                <c:lvl>
                  <c:pt idx="0">
                    <c:v>1F</c:v>
                  </c:pt>
                  <c:pt idx="7">
                    <c:v>2F</c:v>
                  </c:pt>
                  <c:pt idx="14">
                    <c:v>1F</c:v>
                  </c:pt>
                  <c:pt idx="20">
                    <c:v>2F</c:v>
                  </c:pt>
                  <c:pt idx="28">
                    <c:v>1F</c:v>
                  </c:pt>
                  <c:pt idx="35">
                    <c:v>1S</c:v>
                  </c:pt>
                </c:lvl>
              </c:multiLvlStrCache>
            </c:multiLvlStrRef>
          </c:cat>
          <c:val>
            <c:numRef>
              <c:f>Referentieniveau!$AJ$4:$AJ$45</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4AC-4CE0-9920-4DB2DD7BECA6}"/>
            </c:ext>
          </c:extLst>
        </c:ser>
        <c:dLbls>
          <c:showLegendKey val="0"/>
          <c:showVal val="0"/>
          <c:showCatName val="0"/>
          <c:showSerName val="0"/>
          <c:showPercent val="0"/>
          <c:showBubbleSize val="0"/>
        </c:dLbls>
        <c:gapWidth val="219"/>
        <c:overlap val="-27"/>
        <c:axId val="943720032"/>
        <c:axId val="943718720"/>
      </c:barChart>
      <c:catAx>
        <c:axId val="94372003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nl-NL"/>
          </a:p>
        </c:txPr>
        <c:crossAx val="943718720"/>
        <c:crosses val="autoZero"/>
        <c:auto val="1"/>
        <c:lblAlgn val="ctr"/>
        <c:lblOffset val="100"/>
        <c:noMultiLvlLbl val="0"/>
      </c:catAx>
      <c:valAx>
        <c:axId val="943718720"/>
        <c:scaling>
          <c:orientation val="minMax"/>
        </c:scaling>
        <c:delete val="1"/>
        <c:axPos val="l"/>
        <c:numFmt formatCode="General" sourceLinked="1"/>
        <c:majorTickMark val="out"/>
        <c:minorTickMark val="none"/>
        <c:tickLblPos val="nextTo"/>
        <c:crossAx val="9437200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sz="1200" b="0">
          <a:solidFill>
            <a:sysClr val="windowText" lastClr="000000"/>
          </a:solidFill>
        </a:defRPr>
      </a:pPr>
      <a:endParaRPr lang="nl-N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periode'!$N$51</c:f>
              <c:numCache>
                <c:formatCode>0%</c:formatCode>
                <c:ptCount val="1"/>
                <c:pt idx="0">
                  <c:v>0.42307692307692307</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1395144"/>
        <c:axId val="461394752"/>
      </c:barChart>
      <c:valAx>
        <c:axId val="461394752"/>
        <c:scaling>
          <c:orientation val="minMax"/>
          <c:max val="1"/>
        </c:scaling>
        <c:delete val="1"/>
        <c:axPos val="t"/>
        <c:numFmt formatCode="0%" sourceLinked="1"/>
        <c:majorTickMark val="out"/>
        <c:minorTickMark val="none"/>
        <c:tickLblPos val="nextTo"/>
        <c:crossAx val="461395144"/>
        <c:crosses val="max"/>
        <c:crossBetween val="between"/>
      </c:valAx>
      <c:catAx>
        <c:axId val="461395144"/>
        <c:scaling>
          <c:orientation val="minMax"/>
        </c:scaling>
        <c:delete val="1"/>
        <c:axPos val="l"/>
        <c:majorTickMark val="out"/>
        <c:minorTickMark val="none"/>
        <c:tickLblPos val="nextTo"/>
        <c:crossAx val="46139475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90B5-4373-B1E3-7D4A3AB5F2E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90B5-4373-B1E3-7D4A3AB5F2EB}"/>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90B5-4373-B1E3-7D4A3AB5F2EB}"/>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90B5-4373-B1E3-7D4A3AB5F2EB}"/>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90B5-4373-B1E3-7D4A3AB5F2EB}"/>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90B5-4373-B1E3-7D4A3AB5F2EB}"/>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90B5-4373-B1E3-7D4A3AB5F2E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90B5-4373-B1E3-7D4A3AB5F2EB}"/>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90B5-4373-B1E3-7D4A3AB5F2EB}"/>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90B5-4373-B1E3-7D4A3AB5F2EB}"/>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90B5-4373-B1E3-7D4A3AB5F2EB}"/>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90B5-4373-B1E3-7D4A3AB5F2EB}"/>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90B5-4373-B1E3-7D4A3AB5F2E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90B5-4373-B1E3-7D4A3AB5F2EB}"/>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90B5-4373-B1E3-7D4A3AB5F2EB}"/>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90B5-4373-B1E3-7D4A3AB5F2EB}"/>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90B5-4373-B1E3-7D4A3AB5F2EB}"/>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90B5-4373-B1E3-7D4A3AB5F2EB}"/>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90B5-4373-B1E3-7D4A3AB5F2E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90B5-4373-B1E3-7D4A3AB5F2E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90B5-4373-B1E3-7D4A3AB5F2E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90B5-4373-B1E3-7D4A3AB5F2E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90B5-4373-B1E3-7D4A3AB5F2EB}"/>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90B5-4373-B1E3-7D4A3AB5F2EB}"/>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90B5-4373-B1E3-7D4A3AB5F2EB}"/>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90B5-4373-B1E3-7D4A3AB5F2EB}"/>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90B5-4373-B1E3-7D4A3AB5F2EB}"/>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1399456"/>
        <c:axId val="461397888"/>
      </c:barChart>
      <c:valAx>
        <c:axId val="461397888"/>
        <c:scaling>
          <c:orientation val="minMax"/>
          <c:max val="1"/>
        </c:scaling>
        <c:delete val="1"/>
        <c:axPos val="t"/>
        <c:numFmt formatCode="0%" sourceLinked="1"/>
        <c:majorTickMark val="out"/>
        <c:minorTickMark val="none"/>
        <c:tickLblPos val="nextTo"/>
        <c:crossAx val="461399456"/>
        <c:crosses val="max"/>
        <c:crossBetween val="between"/>
      </c:valAx>
      <c:catAx>
        <c:axId val="461399456"/>
        <c:scaling>
          <c:orientation val="minMax"/>
        </c:scaling>
        <c:delete val="1"/>
        <c:axPos val="l"/>
        <c:majorTickMark val="out"/>
        <c:minorTickMark val="none"/>
        <c:tickLblPos val="nextTo"/>
        <c:crossAx val="46139788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80B1-4428-BE2E-4F739D7861C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80B1-4428-BE2E-4F739D7861CA}"/>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80B1-4428-BE2E-4F739D7861CA}"/>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80B1-4428-BE2E-4F739D7861CA}"/>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80B1-4428-BE2E-4F739D7861CA}"/>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80B1-4428-BE2E-4F739D7861CA}"/>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80B1-4428-BE2E-4F739D7861C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80B1-4428-BE2E-4F739D7861CA}"/>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80B1-4428-BE2E-4F739D7861CA}"/>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80B1-4428-BE2E-4F739D7861CA}"/>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80B1-4428-BE2E-4F739D7861CA}"/>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80B1-4428-BE2E-4F739D7861CA}"/>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80B1-4428-BE2E-4F739D7861C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80B1-4428-BE2E-4F739D7861CA}"/>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80B1-4428-BE2E-4F739D7861CA}"/>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80B1-4428-BE2E-4F739D7861CA}"/>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80B1-4428-BE2E-4F739D7861CA}"/>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80B1-4428-BE2E-4F739D7861CA}"/>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80B1-4428-BE2E-4F739D7861CA}"/>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80B1-4428-BE2E-4F739D7861CA}"/>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80B1-4428-BE2E-4F739D7861CA}"/>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80B1-4428-BE2E-4F739D7861CA}"/>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80B1-4428-BE2E-4F739D7861CA}"/>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80B1-4428-BE2E-4F739D7861CA}"/>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80B1-4428-BE2E-4F739D7861CA}"/>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80B1-4428-BE2E-4F739D7861CA}"/>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80B1-4428-BE2E-4F739D7861CA}"/>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periode'!$N$51</c:f>
              <c:numCache>
                <c:formatCode>0%</c:formatCode>
                <c:ptCount val="1"/>
                <c:pt idx="0">
                  <c:v>0.19230769230769232</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569408"/>
        <c:axId val="464570584"/>
      </c:barChart>
      <c:valAx>
        <c:axId val="464570584"/>
        <c:scaling>
          <c:orientation val="minMax"/>
          <c:max val="1"/>
        </c:scaling>
        <c:delete val="1"/>
        <c:axPos val="t"/>
        <c:numFmt formatCode="0%" sourceLinked="1"/>
        <c:majorTickMark val="out"/>
        <c:minorTickMark val="none"/>
        <c:tickLblPos val="nextTo"/>
        <c:crossAx val="464569408"/>
        <c:crosses val="max"/>
        <c:crossBetween val="between"/>
      </c:valAx>
      <c:catAx>
        <c:axId val="464569408"/>
        <c:scaling>
          <c:orientation val="minMax"/>
        </c:scaling>
        <c:delete val="1"/>
        <c:axPos val="l"/>
        <c:majorTickMark val="out"/>
        <c:minorTickMark val="none"/>
        <c:tickLblPos val="nextTo"/>
        <c:crossAx val="464570584"/>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73EF-49F1-A687-F0747F7DE60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73EF-49F1-A687-F0747F7DE602}"/>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73EF-49F1-A687-F0747F7DE602}"/>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73EF-49F1-A687-F0747F7DE602}"/>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73EF-49F1-A687-F0747F7DE602}"/>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73EF-49F1-A687-F0747F7DE602}"/>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73EF-49F1-A687-F0747F7DE60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73EF-49F1-A687-F0747F7DE602}"/>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73EF-49F1-A687-F0747F7DE602}"/>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73EF-49F1-A687-F0747F7DE602}"/>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73EF-49F1-A687-F0747F7DE602}"/>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73EF-49F1-A687-F0747F7DE602}"/>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73EF-49F1-A687-F0747F7DE60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73EF-49F1-A687-F0747F7DE602}"/>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73EF-49F1-A687-F0747F7DE602}"/>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73EF-49F1-A687-F0747F7DE602}"/>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73EF-49F1-A687-F0747F7DE602}"/>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73EF-49F1-A687-F0747F7DE602}"/>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73EF-49F1-A687-F0747F7DE602}"/>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73EF-49F1-A687-F0747F7DE602}"/>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73EF-49F1-A687-F0747F7DE602}"/>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73EF-49F1-A687-F0747F7DE602}"/>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73EF-49F1-A687-F0747F7DE602}"/>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73EF-49F1-A687-F0747F7DE602}"/>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73EF-49F1-A687-F0747F7DE602}"/>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73EF-49F1-A687-F0747F7DE602}"/>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73EF-49F1-A687-F0747F7DE602}"/>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periode'!$N$51</c:f>
              <c:numCache>
                <c:formatCode>0%</c:formatCode>
                <c:ptCount val="1"/>
                <c:pt idx="0">
                  <c:v>0.53846153846153855</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568624"/>
        <c:axId val="464567448"/>
      </c:barChart>
      <c:valAx>
        <c:axId val="464567448"/>
        <c:scaling>
          <c:orientation val="minMax"/>
          <c:max val="1"/>
        </c:scaling>
        <c:delete val="1"/>
        <c:axPos val="t"/>
        <c:numFmt formatCode="0%" sourceLinked="1"/>
        <c:majorTickMark val="out"/>
        <c:minorTickMark val="none"/>
        <c:tickLblPos val="nextTo"/>
        <c:crossAx val="464568624"/>
        <c:crosses val="max"/>
        <c:crossBetween val="between"/>
      </c:valAx>
      <c:catAx>
        <c:axId val="464568624"/>
        <c:scaling>
          <c:orientation val="minMax"/>
        </c:scaling>
        <c:delete val="1"/>
        <c:axPos val="l"/>
        <c:majorTickMark val="out"/>
        <c:minorTickMark val="none"/>
        <c:tickLblPos val="nextTo"/>
        <c:crossAx val="46456744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vorige jaar'!$H$12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vorige jaar'!$H$14</c:f>
              <c:numCache>
                <c:formatCode>General</c:formatCode>
                <c:ptCount val="1"/>
                <c:pt idx="0">
                  <c:v>6.2</c:v>
                </c:pt>
              </c:numCache>
            </c:numRef>
          </c:val>
          <c:extLst>
            <c:ext xmlns:c16="http://schemas.microsoft.com/office/drawing/2014/chart" uri="{C3380CC4-5D6E-409C-BE32-E72D297353CC}">
              <c16:uniqueId val="{00000000-4FA4-4C3C-8EB6-82C79E8BCC1C}"/>
            </c:ext>
          </c:extLst>
        </c:ser>
        <c:ser>
          <c:idx val="3"/>
          <c:order val="1"/>
          <c:tx>
            <c:strRef>
              <c:f>'OPP vorige jaar'!$I$12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jaar'!$I$14</c:f>
              <c:numCache>
                <c:formatCode>General</c:formatCode>
                <c:ptCount val="1"/>
                <c:pt idx="0">
                  <c:v>10</c:v>
                </c:pt>
              </c:numCache>
            </c:numRef>
          </c:val>
          <c:extLst>
            <c:ext xmlns:c16="http://schemas.microsoft.com/office/drawing/2014/chart" uri="{C3380CC4-5D6E-409C-BE32-E72D297353CC}">
              <c16:uniqueId val="{00000003-4FA4-4C3C-8EB6-82C79E8BCC1C}"/>
            </c:ext>
          </c:extLst>
        </c:ser>
        <c:ser>
          <c:idx val="4"/>
          <c:order val="2"/>
          <c:tx>
            <c:strRef>
              <c:f>'OPP vorige jaar'!$J$12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vorige jaar'!$J$14</c:f>
              <c:numCache>
                <c:formatCode>General</c:formatCode>
                <c:ptCount val="1"/>
                <c:pt idx="0">
                  <c:v>9.6</c:v>
                </c:pt>
              </c:numCache>
            </c:numRef>
          </c:val>
          <c:extLst>
            <c:ext xmlns:c16="http://schemas.microsoft.com/office/drawing/2014/chart" uri="{C3380CC4-5D6E-409C-BE32-E72D297353CC}">
              <c16:uniqueId val="{00000004-4FA4-4C3C-8EB6-82C79E8BCC1C}"/>
            </c:ext>
          </c:extLst>
        </c:ser>
        <c:ser>
          <c:idx val="7"/>
          <c:order val="3"/>
          <c:tx>
            <c:strRef>
              <c:f>'OPP vorige jaar'!$K$12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jaar'!$K$14</c:f>
              <c:numCache>
                <c:formatCode>General</c:formatCode>
                <c:ptCount val="1"/>
                <c:pt idx="0">
                  <c:v>10</c:v>
                </c:pt>
              </c:numCache>
            </c:numRef>
          </c:val>
          <c:extLst>
            <c:ext xmlns:c16="http://schemas.microsoft.com/office/drawing/2014/chart" uri="{C3380CC4-5D6E-409C-BE32-E72D297353CC}">
              <c16:uniqueId val="{00000007-4FA4-4C3C-8EB6-82C79E8BCC1C}"/>
            </c:ext>
          </c:extLst>
        </c:ser>
        <c:ser>
          <c:idx val="8"/>
          <c:order val="4"/>
          <c:tx>
            <c:strRef>
              <c:f>'OPP vorige jaar'!$L$12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vorige jaar'!$L$14</c:f>
              <c:numCache>
                <c:formatCode>General</c:formatCode>
                <c:ptCount val="1"/>
                <c:pt idx="0">
                  <c:v>6.4</c:v>
                </c:pt>
              </c:numCache>
            </c:numRef>
          </c:val>
          <c:extLst>
            <c:ext xmlns:c16="http://schemas.microsoft.com/office/drawing/2014/chart" uri="{C3380CC4-5D6E-409C-BE32-E72D297353CC}">
              <c16:uniqueId val="{00000008-4FA4-4C3C-8EB6-82C79E8BCC1C}"/>
            </c:ext>
          </c:extLst>
        </c:ser>
        <c:ser>
          <c:idx val="11"/>
          <c:order val="5"/>
          <c:tx>
            <c:strRef>
              <c:f>'OPP vorige jaar'!$M$12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jaar'!$M$14</c:f>
              <c:numCache>
                <c:formatCode>General</c:formatCode>
                <c:ptCount val="1"/>
                <c:pt idx="0">
                  <c:v>10</c:v>
                </c:pt>
              </c:numCache>
            </c:numRef>
          </c:val>
          <c:extLst>
            <c:ext xmlns:c16="http://schemas.microsoft.com/office/drawing/2014/chart" uri="{C3380CC4-5D6E-409C-BE32-E72D297353CC}">
              <c16:uniqueId val="{0000000B-4FA4-4C3C-8EB6-82C79E8BCC1C}"/>
            </c:ext>
          </c:extLst>
        </c:ser>
        <c:ser>
          <c:idx val="12"/>
          <c:order val="6"/>
          <c:tx>
            <c:strRef>
              <c:f>'OPP vorige jaar'!$N$12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vorige jaar'!$N$14</c:f>
              <c:numCache>
                <c:formatCode>General</c:formatCode>
                <c:ptCount val="1"/>
                <c:pt idx="0">
                  <c:v>5.6</c:v>
                </c:pt>
              </c:numCache>
            </c:numRef>
          </c:val>
          <c:extLst>
            <c:ext xmlns:c16="http://schemas.microsoft.com/office/drawing/2014/chart" uri="{C3380CC4-5D6E-409C-BE32-E72D297353CC}">
              <c16:uniqueId val="{0000000C-4FA4-4C3C-8EB6-82C79E8BCC1C}"/>
            </c:ext>
          </c:extLst>
        </c:ser>
        <c:ser>
          <c:idx val="15"/>
          <c:order val="7"/>
          <c:tx>
            <c:strRef>
              <c:f>'OPP vorige jaar'!$O$12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jaar'!$O$14</c:f>
              <c:numCache>
                <c:formatCode>General</c:formatCode>
                <c:ptCount val="1"/>
                <c:pt idx="0">
                  <c:v>10</c:v>
                </c:pt>
              </c:numCache>
            </c:numRef>
          </c:val>
          <c:extLst>
            <c:ext xmlns:c16="http://schemas.microsoft.com/office/drawing/2014/chart" uri="{C3380CC4-5D6E-409C-BE32-E72D297353CC}">
              <c16:uniqueId val="{0000000F-4FA4-4C3C-8EB6-82C79E8BCC1C}"/>
            </c:ext>
          </c:extLst>
        </c:ser>
        <c:ser>
          <c:idx val="16"/>
          <c:order val="8"/>
          <c:tx>
            <c:strRef>
              <c:f>'OPP vorige jaar'!$P$12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vorige jaar'!$P$14</c:f>
              <c:numCache>
                <c:formatCode>General</c:formatCode>
                <c:ptCount val="1"/>
                <c:pt idx="0">
                  <c:v>6.2</c:v>
                </c:pt>
              </c:numCache>
            </c:numRef>
          </c:val>
          <c:extLst>
            <c:ext xmlns:c16="http://schemas.microsoft.com/office/drawing/2014/chart" uri="{C3380CC4-5D6E-409C-BE32-E72D297353CC}">
              <c16:uniqueId val="{00000010-4FA4-4C3C-8EB6-82C79E8BCC1C}"/>
            </c:ext>
          </c:extLst>
        </c:ser>
        <c:ser>
          <c:idx val="19"/>
          <c:order val="9"/>
          <c:tx>
            <c:strRef>
              <c:f>'OPP vorige jaar'!$Q$12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jaar'!$Q$14</c:f>
              <c:numCache>
                <c:formatCode>General</c:formatCode>
                <c:ptCount val="1"/>
                <c:pt idx="0">
                  <c:v>10</c:v>
                </c:pt>
              </c:numCache>
            </c:numRef>
          </c:val>
          <c:extLst>
            <c:ext xmlns:c16="http://schemas.microsoft.com/office/drawing/2014/chart" uri="{C3380CC4-5D6E-409C-BE32-E72D297353CC}">
              <c16:uniqueId val="{00000013-4FA4-4C3C-8EB6-82C79E8BCC1C}"/>
            </c:ext>
          </c:extLst>
        </c:ser>
        <c:dLbls>
          <c:showLegendKey val="0"/>
          <c:showVal val="0"/>
          <c:showCatName val="0"/>
          <c:showSerName val="0"/>
          <c:showPercent val="0"/>
          <c:showBubbleSize val="0"/>
        </c:dLbls>
        <c:gapWidth val="5"/>
        <c:overlap val="-10"/>
        <c:axId val="453709536"/>
        <c:axId val="374846856"/>
      </c:barChart>
      <c:barChart>
        <c:barDir val="bar"/>
        <c:grouping val="clustered"/>
        <c:varyColors val="0"/>
        <c:ser>
          <c:idx val="20"/>
          <c:order val="10"/>
          <c:tx>
            <c:strRef>
              <c:f>'OPP vorige jaar'!$R$12</c:f>
              <c:strCache>
                <c:ptCount val="1"/>
                <c:pt idx="0">
                  <c:v>gemiddeld</c:v>
                </c:pt>
              </c:strCache>
            </c:strRef>
          </c:tx>
          <c:spPr>
            <a:noFill/>
            <a:ln w="127000">
              <a:solidFill>
                <a:srgbClr val="002060"/>
              </a:solidFill>
            </a:ln>
            <a:effectLst/>
          </c:spPr>
          <c:invertIfNegative val="0"/>
          <c:val>
            <c:numRef>
              <c:f>'OPP vorige jaar'!$R$14</c:f>
              <c:numCache>
                <c:formatCode>0.0</c:formatCode>
                <c:ptCount val="1"/>
                <c:pt idx="0">
                  <c:v>6.8000000000000016</c:v>
                </c:pt>
              </c:numCache>
            </c:numRef>
          </c:val>
          <c:extLst>
            <c:ext xmlns:c16="http://schemas.microsoft.com/office/drawing/2014/chart" uri="{C3380CC4-5D6E-409C-BE32-E72D297353CC}">
              <c16:uniqueId val="{00000014-4FA4-4C3C-8EB6-82C79E8BCC1C}"/>
            </c:ext>
          </c:extLst>
        </c:ser>
        <c:dLbls>
          <c:showLegendKey val="0"/>
          <c:showVal val="0"/>
          <c:showCatName val="0"/>
          <c:showSerName val="0"/>
          <c:showPercent val="0"/>
          <c:showBubbleSize val="0"/>
        </c:dLbls>
        <c:gapWidth val="0"/>
        <c:axId val="374843720"/>
        <c:axId val="374841368"/>
      </c:barChart>
      <c:catAx>
        <c:axId val="453709536"/>
        <c:scaling>
          <c:orientation val="maxMin"/>
        </c:scaling>
        <c:delete val="1"/>
        <c:axPos val="l"/>
        <c:numFmt formatCode="General" sourceLinked="1"/>
        <c:majorTickMark val="none"/>
        <c:minorTickMark val="none"/>
        <c:tickLblPos val="nextTo"/>
        <c:crossAx val="374846856"/>
        <c:crosses val="autoZero"/>
        <c:auto val="1"/>
        <c:lblAlgn val="ctr"/>
        <c:lblOffset val="100"/>
        <c:noMultiLvlLbl val="0"/>
      </c:catAx>
      <c:valAx>
        <c:axId val="374846856"/>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53709536"/>
        <c:crosses val="autoZero"/>
        <c:crossBetween val="between"/>
      </c:valAx>
      <c:valAx>
        <c:axId val="374841368"/>
        <c:scaling>
          <c:orientation val="minMax"/>
        </c:scaling>
        <c:delete val="1"/>
        <c:axPos val="b"/>
        <c:numFmt formatCode="0.0" sourceLinked="1"/>
        <c:majorTickMark val="out"/>
        <c:minorTickMark val="none"/>
        <c:tickLblPos val="nextTo"/>
        <c:crossAx val="374843720"/>
        <c:crosses val="autoZero"/>
        <c:crossBetween val="between"/>
      </c:valAx>
      <c:catAx>
        <c:axId val="374843720"/>
        <c:scaling>
          <c:orientation val="minMax"/>
        </c:scaling>
        <c:delete val="1"/>
        <c:axPos val="l"/>
        <c:majorTickMark val="out"/>
        <c:minorTickMark val="none"/>
        <c:tickLblPos val="nextTo"/>
        <c:crossAx val="374841368"/>
        <c:crosses val="autoZero"/>
        <c:auto val="1"/>
        <c:lblAlgn val="ctr"/>
        <c:lblOffset val="100"/>
        <c:noMultiLvlLbl val="0"/>
      </c:catAx>
      <c:spPr>
        <a:noFill/>
        <a:ln>
          <a:noFill/>
        </a:ln>
        <a:effectLst/>
      </c:spPr>
    </c:plotArea>
    <c:legend>
      <c:legendPos val="tr"/>
      <c:legendEntry>
        <c:idx val="10"/>
        <c:delete val="1"/>
      </c:legendEntry>
      <c:layout>
        <c:manualLayout>
          <c:xMode val="edge"/>
          <c:yMode val="edge"/>
          <c:x val="0.81625471420178031"/>
          <c:y val="1.9578416681915373E-2"/>
          <c:w val="0.17664980662463922"/>
          <c:h val="0.95194283878514885"/>
        </c:manualLayout>
      </c:layout>
      <c:overlay val="1"/>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442B-45BE-BF59-39BD21D45DA1}"/>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442B-45BE-BF59-39BD21D45DA1}"/>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442B-45BE-BF59-39BD21D45DA1}"/>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442B-45BE-BF59-39BD21D45DA1}"/>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442B-45BE-BF59-39BD21D45DA1}"/>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442B-45BE-BF59-39BD21D45DA1}"/>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442B-45BE-BF59-39BD21D45DA1}"/>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442B-45BE-BF59-39BD21D45DA1}"/>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442B-45BE-BF59-39BD21D45DA1}"/>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442B-45BE-BF59-39BD21D45DA1}"/>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442B-45BE-BF59-39BD21D45DA1}"/>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442B-45BE-BF59-39BD21D45DA1}"/>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442B-45BE-BF59-39BD21D45DA1}"/>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442B-45BE-BF59-39BD21D45DA1}"/>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442B-45BE-BF59-39BD21D45DA1}"/>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442B-45BE-BF59-39BD21D45DA1}"/>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442B-45BE-BF59-39BD21D45DA1}"/>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442B-45BE-BF59-39BD21D45DA1}"/>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442B-45BE-BF59-39BD21D45DA1}"/>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442B-45BE-BF59-39BD21D45DA1}"/>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442B-45BE-BF59-39BD21D45DA1}"/>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442B-45BE-BF59-39BD21D45DA1}"/>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442B-45BE-BF59-39BD21D45DA1}"/>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442B-45BE-BF59-39BD21D45DA1}"/>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442B-45BE-BF59-39BD21D45DA1}"/>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442B-45BE-BF59-39BD21D45DA1}"/>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442B-45BE-BF59-39BD21D45DA1}"/>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Pt>
            <c:idx val="0"/>
            <c:invertIfNegative val="0"/>
            <c:bubble3D val="0"/>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1-66E6-4554-8C07-D8022E993FE5}"/>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periode'!$N$51</c:f>
              <c:numCache>
                <c:formatCode>0%</c:formatCode>
                <c:ptCount val="1"/>
                <c:pt idx="0">
                  <c:v>0.65384615384615397</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569016"/>
        <c:axId val="464568232"/>
      </c:barChart>
      <c:valAx>
        <c:axId val="464568232"/>
        <c:scaling>
          <c:orientation val="minMax"/>
          <c:max val="1"/>
        </c:scaling>
        <c:delete val="1"/>
        <c:axPos val="t"/>
        <c:numFmt formatCode="0%" sourceLinked="1"/>
        <c:majorTickMark val="out"/>
        <c:minorTickMark val="none"/>
        <c:tickLblPos val="nextTo"/>
        <c:crossAx val="464569016"/>
        <c:crosses val="max"/>
        <c:crossBetween val="between"/>
      </c:valAx>
      <c:catAx>
        <c:axId val="464569016"/>
        <c:scaling>
          <c:orientation val="minMax"/>
        </c:scaling>
        <c:delete val="1"/>
        <c:axPos val="l"/>
        <c:majorTickMark val="out"/>
        <c:minorTickMark val="none"/>
        <c:tickLblPos val="nextTo"/>
        <c:crossAx val="46456823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2B62-4442-BED0-2B0F5FA7181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2B62-4442-BED0-2B0F5FA71810}"/>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2B62-4442-BED0-2B0F5FA71810}"/>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2B62-4442-BED0-2B0F5FA71810}"/>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2B62-4442-BED0-2B0F5FA71810}"/>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2B62-4442-BED0-2B0F5FA71810}"/>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2B62-4442-BED0-2B0F5FA7181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2B62-4442-BED0-2B0F5FA71810}"/>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2B62-4442-BED0-2B0F5FA71810}"/>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2B62-4442-BED0-2B0F5FA71810}"/>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2B62-4442-BED0-2B0F5FA71810}"/>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2B62-4442-BED0-2B0F5FA71810}"/>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2B62-4442-BED0-2B0F5FA7181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2B62-4442-BED0-2B0F5FA71810}"/>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2B62-4442-BED0-2B0F5FA71810}"/>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2B62-4442-BED0-2B0F5FA71810}"/>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2B62-4442-BED0-2B0F5FA71810}"/>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2B62-4442-BED0-2B0F5FA71810}"/>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2B62-4442-BED0-2B0F5FA71810}"/>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2B62-4442-BED0-2B0F5FA71810}"/>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2B62-4442-BED0-2B0F5FA71810}"/>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2B62-4442-BED0-2B0F5FA71810}"/>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2B62-4442-BED0-2B0F5FA71810}"/>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2B62-4442-BED0-2B0F5FA71810}"/>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2B62-4442-BED0-2B0F5FA71810}"/>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2B62-4442-BED0-2B0F5FA71810}"/>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2B62-4442-BED0-2B0F5FA71810}"/>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periode'!$N$51</c:f>
              <c:numCache>
                <c:formatCode>0%</c:formatCode>
                <c:ptCount val="1"/>
                <c:pt idx="0">
                  <c:v>0.73076923076923073</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780976"/>
        <c:axId val="464775488"/>
      </c:barChart>
      <c:valAx>
        <c:axId val="464775488"/>
        <c:scaling>
          <c:orientation val="minMax"/>
          <c:max val="1"/>
        </c:scaling>
        <c:delete val="1"/>
        <c:axPos val="t"/>
        <c:numFmt formatCode="0%" sourceLinked="1"/>
        <c:majorTickMark val="out"/>
        <c:minorTickMark val="none"/>
        <c:tickLblPos val="nextTo"/>
        <c:crossAx val="464780976"/>
        <c:crosses val="max"/>
        <c:crossBetween val="between"/>
      </c:valAx>
      <c:catAx>
        <c:axId val="464780976"/>
        <c:scaling>
          <c:orientation val="minMax"/>
        </c:scaling>
        <c:delete val="1"/>
        <c:axPos val="l"/>
        <c:majorTickMark val="out"/>
        <c:minorTickMark val="none"/>
        <c:tickLblPos val="nextTo"/>
        <c:crossAx val="46477548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1763-4FED-A999-1933B203EEF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1763-4FED-A999-1933B203EEF0}"/>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1763-4FED-A999-1933B203EEF0}"/>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1763-4FED-A999-1933B203EEF0}"/>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1763-4FED-A999-1933B203EEF0}"/>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1763-4FED-A999-1933B203EEF0}"/>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1763-4FED-A999-1933B203EEF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1763-4FED-A999-1933B203EEF0}"/>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1763-4FED-A999-1933B203EEF0}"/>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1763-4FED-A999-1933B203EEF0}"/>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1763-4FED-A999-1933B203EEF0}"/>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1763-4FED-A999-1933B203EEF0}"/>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1763-4FED-A999-1933B203EEF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1763-4FED-A999-1933B203EEF0}"/>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1763-4FED-A999-1933B203EEF0}"/>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1763-4FED-A999-1933B203EEF0}"/>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1763-4FED-A999-1933B203EEF0}"/>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1763-4FED-A999-1933B203EEF0}"/>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1763-4FED-A999-1933B203EEF0}"/>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1763-4FED-A999-1933B203EEF0}"/>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1763-4FED-A999-1933B203EEF0}"/>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1763-4FED-A999-1933B203EEF0}"/>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1763-4FED-A999-1933B203EEF0}"/>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1763-4FED-A999-1933B203EEF0}"/>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1763-4FED-A999-1933B203EEF0}"/>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1763-4FED-A999-1933B203EEF0}"/>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1763-4FED-A999-1933B203EEF0}"/>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periode'!$N$51</c:f>
              <c:numCache>
                <c:formatCode>0%</c:formatCode>
                <c:ptCount val="1"/>
                <c:pt idx="0">
                  <c:v>0.65384615384615385</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782544"/>
        <c:axId val="464780192"/>
      </c:barChart>
      <c:valAx>
        <c:axId val="464780192"/>
        <c:scaling>
          <c:orientation val="minMax"/>
          <c:max val="1"/>
        </c:scaling>
        <c:delete val="1"/>
        <c:axPos val="t"/>
        <c:numFmt formatCode="0%" sourceLinked="1"/>
        <c:majorTickMark val="out"/>
        <c:minorTickMark val="none"/>
        <c:tickLblPos val="nextTo"/>
        <c:crossAx val="464782544"/>
        <c:crosses val="max"/>
        <c:crossBetween val="between"/>
      </c:valAx>
      <c:catAx>
        <c:axId val="464782544"/>
        <c:scaling>
          <c:orientation val="minMax"/>
        </c:scaling>
        <c:delete val="1"/>
        <c:axPos val="l"/>
        <c:majorTickMark val="out"/>
        <c:minorTickMark val="none"/>
        <c:tickLblPos val="nextTo"/>
        <c:crossAx val="46478019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2D38-4929-B1FC-793B821397A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2D38-4929-B1FC-793B821397A7}"/>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2D38-4929-B1FC-793B821397A7}"/>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2D38-4929-B1FC-793B821397A7}"/>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2D38-4929-B1FC-793B821397A7}"/>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2D38-4929-B1FC-793B821397A7}"/>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2D38-4929-B1FC-793B821397A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2D38-4929-B1FC-793B821397A7}"/>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2D38-4929-B1FC-793B821397A7}"/>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2D38-4929-B1FC-793B821397A7}"/>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2D38-4929-B1FC-793B821397A7}"/>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2D38-4929-B1FC-793B821397A7}"/>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2D38-4929-B1FC-793B821397A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2D38-4929-B1FC-793B821397A7}"/>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2D38-4929-B1FC-793B821397A7}"/>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2D38-4929-B1FC-793B821397A7}"/>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2D38-4929-B1FC-793B821397A7}"/>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2D38-4929-B1FC-793B821397A7}"/>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2D38-4929-B1FC-793B821397A7}"/>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2D38-4929-B1FC-793B821397A7}"/>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2D38-4929-B1FC-793B821397A7}"/>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2D38-4929-B1FC-793B821397A7}"/>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2D38-4929-B1FC-793B821397A7}"/>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2D38-4929-B1FC-793B821397A7}"/>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2D38-4929-B1FC-793B821397A7}"/>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2D38-4929-B1FC-793B821397A7}"/>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2D38-4929-B1FC-793B821397A7}"/>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1e periode'!$H$12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1e periode'!$H$14</c:f>
              <c:numCache>
                <c:formatCode>General</c:formatCode>
                <c:ptCount val="1"/>
                <c:pt idx="0">
                  <c:v>6.2</c:v>
                </c:pt>
              </c:numCache>
            </c:numRef>
          </c:val>
          <c:extLst>
            <c:ext xmlns:c16="http://schemas.microsoft.com/office/drawing/2014/chart" uri="{C3380CC4-5D6E-409C-BE32-E72D297353CC}">
              <c16:uniqueId val="{00000000-78D4-48C8-BDC6-38F979565F25}"/>
            </c:ext>
          </c:extLst>
        </c:ser>
        <c:ser>
          <c:idx val="1"/>
          <c:order val="1"/>
          <c:tx>
            <c:strRef>
              <c:f>'OPP 1e periode'!$I$12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1e periode'!$I$14</c:f>
              <c:numCache>
                <c:formatCode>General</c:formatCode>
                <c:ptCount val="1"/>
                <c:pt idx="0">
                  <c:v>7.6</c:v>
                </c:pt>
              </c:numCache>
            </c:numRef>
          </c:val>
          <c:extLst>
            <c:ext xmlns:c16="http://schemas.microsoft.com/office/drawing/2014/chart" uri="{C3380CC4-5D6E-409C-BE32-E72D297353CC}">
              <c16:uniqueId val="{00000001-78D4-48C8-BDC6-38F979565F25}"/>
            </c:ext>
          </c:extLst>
        </c:ser>
        <c:ser>
          <c:idx val="3"/>
          <c:order val="2"/>
          <c:tx>
            <c:strRef>
              <c:f>'OPP 1e periode'!$J$12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periode'!$J$14</c:f>
              <c:numCache>
                <c:formatCode>General</c:formatCode>
                <c:ptCount val="1"/>
                <c:pt idx="0">
                  <c:v>10</c:v>
                </c:pt>
              </c:numCache>
            </c:numRef>
          </c:val>
          <c:extLst>
            <c:ext xmlns:c16="http://schemas.microsoft.com/office/drawing/2014/chart" uri="{C3380CC4-5D6E-409C-BE32-E72D297353CC}">
              <c16:uniqueId val="{00000003-78D4-48C8-BDC6-38F979565F25}"/>
            </c:ext>
          </c:extLst>
        </c:ser>
        <c:ser>
          <c:idx val="4"/>
          <c:order val="3"/>
          <c:tx>
            <c:strRef>
              <c:f>'OPP 1e periode'!$K$12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1e periode'!$K$14</c:f>
              <c:numCache>
                <c:formatCode>General</c:formatCode>
                <c:ptCount val="1"/>
                <c:pt idx="0">
                  <c:v>9.6</c:v>
                </c:pt>
              </c:numCache>
            </c:numRef>
          </c:val>
          <c:extLst>
            <c:ext xmlns:c16="http://schemas.microsoft.com/office/drawing/2014/chart" uri="{C3380CC4-5D6E-409C-BE32-E72D297353CC}">
              <c16:uniqueId val="{00000004-78D4-48C8-BDC6-38F979565F25}"/>
            </c:ext>
          </c:extLst>
        </c:ser>
        <c:ser>
          <c:idx val="5"/>
          <c:order val="4"/>
          <c:tx>
            <c:strRef>
              <c:f>'OPP 1e periode'!$L$12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1e periode'!$L$14</c:f>
              <c:numCache>
                <c:formatCode>General</c:formatCode>
                <c:ptCount val="1"/>
                <c:pt idx="0">
                  <c:v>9.6</c:v>
                </c:pt>
              </c:numCache>
            </c:numRef>
          </c:val>
          <c:extLst>
            <c:ext xmlns:c16="http://schemas.microsoft.com/office/drawing/2014/chart" uri="{C3380CC4-5D6E-409C-BE32-E72D297353CC}">
              <c16:uniqueId val="{00000005-78D4-48C8-BDC6-38F979565F25}"/>
            </c:ext>
          </c:extLst>
        </c:ser>
        <c:ser>
          <c:idx val="7"/>
          <c:order val="5"/>
          <c:tx>
            <c:strRef>
              <c:f>'OPP 1e periode'!$M$12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periode'!$M$14</c:f>
              <c:numCache>
                <c:formatCode>General</c:formatCode>
                <c:ptCount val="1"/>
                <c:pt idx="0">
                  <c:v>10</c:v>
                </c:pt>
              </c:numCache>
            </c:numRef>
          </c:val>
          <c:extLst>
            <c:ext xmlns:c16="http://schemas.microsoft.com/office/drawing/2014/chart" uri="{C3380CC4-5D6E-409C-BE32-E72D297353CC}">
              <c16:uniqueId val="{00000007-78D4-48C8-BDC6-38F979565F25}"/>
            </c:ext>
          </c:extLst>
        </c:ser>
        <c:ser>
          <c:idx val="8"/>
          <c:order val="6"/>
          <c:tx>
            <c:strRef>
              <c:f>'OPP 1e periode'!$N$12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1e periode'!$N$14</c:f>
              <c:numCache>
                <c:formatCode>General</c:formatCode>
                <c:ptCount val="1"/>
                <c:pt idx="0">
                  <c:v>6.4</c:v>
                </c:pt>
              </c:numCache>
            </c:numRef>
          </c:val>
          <c:extLst>
            <c:ext xmlns:c16="http://schemas.microsoft.com/office/drawing/2014/chart" uri="{C3380CC4-5D6E-409C-BE32-E72D297353CC}">
              <c16:uniqueId val="{00000008-78D4-48C8-BDC6-38F979565F25}"/>
            </c:ext>
          </c:extLst>
        </c:ser>
        <c:ser>
          <c:idx val="9"/>
          <c:order val="7"/>
          <c:tx>
            <c:strRef>
              <c:f>'OPP 1e periode'!$O$12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1e periode'!$O$14</c:f>
              <c:numCache>
                <c:formatCode>General</c:formatCode>
                <c:ptCount val="1"/>
                <c:pt idx="0">
                  <c:v>4</c:v>
                </c:pt>
              </c:numCache>
            </c:numRef>
          </c:val>
          <c:extLst>
            <c:ext xmlns:c16="http://schemas.microsoft.com/office/drawing/2014/chart" uri="{C3380CC4-5D6E-409C-BE32-E72D297353CC}">
              <c16:uniqueId val="{00000009-78D4-48C8-BDC6-38F979565F25}"/>
            </c:ext>
          </c:extLst>
        </c:ser>
        <c:ser>
          <c:idx val="11"/>
          <c:order val="8"/>
          <c:tx>
            <c:strRef>
              <c:f>'OPP 1e periode'!$P$12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periode'!$P$14</c:f>
              <c:numCache>
                <c:formatCode>General</c:formatCode>
                <c:ptCount val="1"/>
                <c:pt idx="0">
                  <c:v>10</c:v>
                </c:pt>
              </c:numCache>
            </c:numRef>
          </c:val>
          <c:extLst>
            <c:ext xmlns:c16="http://schemas.microsoft.com/office/drawing/2014/chart" uri="{C3380CC4-5D6E-409C-BE32-E72D297353CC}">
              <c16:uniqueId val="{0000000B-78D4-48C8-BDC6-38F979565F25}"/>
            </c:ext>
          </c:extLst>
        </c:ser>
        <c:ser>
          <c:idx val="12"/>
          <c:order val="9"/>
          <c:tx>
            <c:strRef>
              <c:f>'OPP 1e periode'!$Q$12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1e periode'!$Q$14</c:f>
              <c:numCache>
                <c:formatCode>General</c:formatCode>
                <c:ptCount val="1"/>
                <c:pt idx="0">
                  <c:v>5.6</c:v>
                </c:pt>
              </c:numCache>
            </c:numRef>
          </c:val>
          <c:extLst>
            <c:ext xmlns:c16="http://schemas.microsoft.com/office/drawing/2014/chart" uri="{C3380CC4-5D6E-409C-BE32-E72D297353CC}">
              <c16:uniqueId val="{0000000C-78D4-48C8-BDC6-38F979565F25}"/>
            </c:ext>
          </c:extLst>
        </c:ser>
        <c:ser>
          <c:idx val="13"/>
          <c:order val="10"/>
          <c:tx>
            <c:strRef>
              <c:f>'OPP 1e periode'!$R$12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1e periode'!$R$14</c:f>
              <c:numCache>
                <c:formatCode>General</c:formatCode>
                <c:ptCount val="1"/>
                <c:pt idx="0">
                  <c:v>5.2</c:v>
                </c:pt>
              </c:numCache>
            </c:numRef>
          </c:val>
          <c:extLst>
            <c:ext xmlns:c16="http://schemas.microsoft.com/office/drawing/2014/chart" uri="{C3380CC4-5D6E-409C-BE32-E72D297353CC}">
              <c16:uniqueId val="{0000000D-78D4-48C8-BDC6-38F979565F25}"/>
            </c:ext>
          </c:extLst>
        </c:ser>
        <c:ser>
          <c:idx val="15"/>
          <c:order val="11"/>
          <c:tx>
            <c:strRef>
              <c:f>'OPP 1e periode'!$S$12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periode'!$S$14</c:f>
              <c:numCache>
                <c:formatCode>General</c:formatCode>
                <c:ptCount val="1"/>
                <c:pt idx="0">
                  <c:v>10</c:v>
                </c:pt>
              </c:numCache>
            </c:numRef>
          </c:val>
          <c:extLst>
            <c:ext xmlns:c16="http://schemas.microsoft.com/office/drawing/2014/chart" uri="{C3380CC4-5D6E-409C-BE32-E72D297353CC}">
              <c16:uniqueId val="{0000000F-78D4-48C8-BDC6-38F979565F25}"/>
            </c:ext>
          </c:extLst>
        </c:ser>
        <c:ser>
          <c:idx val="16"/>
          <c:order val="12"/>
          <c:tx>
            <c:strRef>
              <c:f>'OPP 1e periode'!$T$12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1e periode'!$T$14</c:f>
              <c:numCache>
                <c:formatCode>General</c:formatCode>
                <c:ptCount val="1"/>
                <c:pt idx="0">
                  <c:v>6.2</c:v>
                </c:pt>
              </c:numCache>
            </c:numRef>
          </c:val>
          <c:extLst>
            <c:ext xmlns:c16="http://schemas.microsoft.com/office/drawing/2014/chart" uri="{C3380CC4-5D6E-409C-BE32-E72D297353CC}">
              <c16:uniqueId val="{00000010-78D4-48C8-BDC6-38F979565F25}"/>
            </c:ext>
          </c:extLst>
        </c:ser>
        <c:ser>
          <c:idx val="17"/>
          <c:order val="13"/>
          <c:tx>
            <c:strRef>
              <c:f>'OPP 1e periode'!$U$12</c:f>
              <c:strCache>
                <c:ptCount val="1"/>
                <c:pt idx="0">
                  <c:v>HR - 1e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1e periode'!$U$14</c:f>
              <c:numCache>
                <c:formatCode>General</c:formatCode>
                <c:ptCount val="1"/>
                <c:pt idx="0">
                  <c:v>6.6</c:v>
                </c:pt>
              </c:numCache>
            </c:numRef>
          </c:val>
          <c:extLst>
            <c:ext xmlns:c16="http://schemas.microsoft.com/office/drawing/2014/chart" uri="{C3380CC4-5D6E-409C-BE32-E72D297353CC}">
              <c16:uniqueId val="{00000011-78D4-48C8-BDC6-38F979565F25}"/>
            </c:ext>
          </c:extLst>
        </c:ser>
        <c:ser>
          <c:idx val="19"/>
          <c:order val="14"/>
          <c:tx>
            <c:strRef>
              <c:f>'OPP 1e periode'!$V$12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periode'!$V$14</c:f>
              <c:numCache>
                <c:formatCode>General</c:formatCode>
                <c:ptCount val="1"/>
                <c:pt idx="0">
                  <c:v>10</c:v>
                </c:pt>
              </c:numCache>
            </c:numRef>
          </c:val>
          <c:extLst>
            <c:ext xmlns:c16="http://schemas.microsoft.com/office/drawing/2014/chart" uri="{C3380CC4-5D6E-409C-BE32-E72D297353CC}">
              <c16:uniqueId val="{00000013-78D4-48C8-BDC6-38F979565F25}"/>
            </c:ext>
          </c:extLst>
        </c:ser>
        <c:dLbls>
          <c:showLegendKey val="0"/>
          <c:showVal val="0"/>
          <c:showCatName val="0"/>
          <c:showSerName val="0"/>
          <c:showPercent val="0"/>
          <c:showBubbleSize val="0"/>
        </c:dLbls>
        <c:gapWidth val="5"/>
        <c:overlap val="-10"/>
        <c:axId val="374842544"/>
        <c:axId val="374844504"/>
      </c:barChart>
      <c:barChart>
        <c:barDir val="bar"/>
        <c:grouping val="clustered"/>
        <c:varyColors val="0"/>
        <c:ser>
          <c:idx val="20"/>
          <c:order val="15"/>
          <c:tx>
            <c:strRef>
              <c:f>'OPP 1e periode'!$W$12</c:f>
              <c:strCache>
                <c:ptCount val="1"/>
                <c:pt idx="0">
                  <c:v>gemiddeld</c:v>
                </c:pt>
              </c:strCache>
            </c:strRef>
          </c:tx>
          <c:spPr>
            <a:noFill/>
            <a:ln w="127000">
              <a:solidFill>
                <a:srgbClr val="002060"/>
              </a:solidFill>
            </a:ln>
            <a:effectLst/>
          </c:spPr>
          <c:invertIfNegative val="0"/>
          <c:val>
            <c:numRef>
              <c:f>'OPP 1e periode'!$W$14</c:f>
              <c:numCache>
                <c:formatCode>0.0</c:formatCode>
                <c:ptCount val="1"/>
                <c:pt idx="0">
                  <c:v>6.7</c:v>
                </c:pt>
              </c:numCache>
            </c:numRef>
          </c:val>
          <c:extLst>
            <c:ext xmlns:c16="http://schemas.microsoft.com/office/drawing/2014/chart" uri="{C3380CC4-5D6E-409C-BE32-E72D297353CC}">
              <c16:uniqueId val="{00000014-78D4-48C8-BDC6-38F979565F25}"/>
            </c:ext>
          </c:extLst>
        </c:ser>
        <c:dLbls>
          <c:showLegendKey val="0"/>
          <c:showVal val="0"/>
          <c:showCatName val="0"/>
          <c:showSerName val="0"/>
          <c:showPercent val="0"/>
          <c:showBubbleSize val="0"/>
        </c:dLbls>
        <c:gapWidth val="0"/>
        <c:axId val="374845680"/>
        <c:axId val="374845288"/>
      </c:barChart>
      <c:catAx>
        <c:axId val="374842544"/>
        <c:scaling>
          <c:orientation val="maxMin"/>
        </c:scaling>
        <c:delete val="1"/>
        <c:axPos val="l"/>
        <c:numFmt formatCode="General" sourceLinked="1"/>
        <c:majorTickMark val="none"/>
        <c:minorTickMark val="none"/>
        <c:tickLblPos val="nextTo"/>
        <c:crossAx val="374844504"/>
        <c:crosses val="autoZero"/>
        <c:auto val="1"/>
        <c:lblAlgn val="ctr"/>
        <c:lblOffset val="100"/>
        <c:noMultiLvlLbl val="0"/>
      </c:catAx>
      <c:valAx>
        <c:axId val="374844504"/>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74842544"/>
        <c:crosses val="autoZero"/>
        <c:crossBetween val="between"/>
      </c:valAx>
      <c:valAx>
        <c:axId val="374845288"/>
        <c:scaling>
          <c:orientation val="minMax"/>
        </c:scaling>
        <c:delete val="1"/>
        <c:axPos val="b"/>
        <c:numFmt formatCode="0.0" sourceLinked="1"/>
        <c:majorTickMark val="out"/>
        <c:minorTickMark val="none"/>
        <c:tickLblPos val="nextTo"/>
        <c:crossAx val="374845680"/>
        <c:crosses val="autoZero"/>
        <c:crossBetween val="between"/>
      </c:valAx>
      <c:catAx>
        <c:axId val="374845680"/>
        <c:scaling>
          <c:orientation val="minMax"/>
        </c:scaling>
        <c:delete val="1"/>
        <c:axPos val="l"/>
        <c:majorTickMark val="out"/>
        <c:minorTickMark val="none"/>
        <c:tickLblPos val="nextTo"/>
        <c:crossAx val="374845288"/>
        <c:crosses val="autoZero"/>
        <c:auto val="1"/>
        <c:lblAlgn val="ctr"/>
        <c:lblOffset val="100"/>
        <c:noMultiLvlLbl val="0"/>
      </c:catAx>
      <c:spPr>
        <a:noFill/>
        <a:ln>
          <a:noFill/>
        </a:ln>
        <a:effectLst/>
      </c:spPr>
    </c:plotArea>
    <c:legend>
      <c:legendPos val="tr"/>
      <c:legendEntry>
        <c:idx val="3"/>
        <c:txPr>
          <a:bodyPr rot="0" spcFirstLastPara="1" vertOverflow="ellipsis" vert="horz" wrap="square" anchor="ctr" anchorCtr="1"/>
          <a:lstStyle/>
          <a:p>
            <a:pPr>
              <a:defRPr sz="1800" b="0" i="0" u="none" strike="noStrike" kern="1200" baseline="0">
                <a:solidFill>
                  <a:schemeClr val="tx1"/>
                </a:solidFill>
                <a:latin typeface="+mn-lt"/>
                <a:ea typeface="+mn-ea"/>
                <a:cs typeface="Arial" panose="020B0604020202020204" pitchFamily="34" charset="0"/>
              </a:defRPr>
            </a:pPr>
            <a:endParaRPr lang="nl-NL"/>
          </a:p>
        </c:txPr>
      </c:legendEntry>
      <c:legendEntry>
        <c:idx val="15"/>
        <c:delete val="1"/>
      </c:legendEntry>
      <c:layout>
        <c:manualLayout>
          <c:xMode val="edge"/>
          <c:yMode val="edge"/>
          <c:x val="0.8137589533608186"/>
          <c:y val="1.2728093637124896E-2"/>
          <c:w val="0.17664980662463922"/>
          <c:h val="0.96253124570371573"/>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Arial" panose="020B0604020202020204" pitchFamily="34" charset="0"/>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horizontalDpi="-3"/>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periode'!$N$51</c:f>
              <c:numCache>
                <c:formatCode>0%</c:formatCode>
                <c:ptCount val="1"/>
                <c:pt idx="0">
                  <c:v>0.88461538461538469</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5875800"/>
        <c:axId val="465876192"/>
      </c:barChart>
      <c:valAx>
        <c:axId val="465876192"/>
        <c:scaling>
          <c:orientation val="minMax"/>
          <c:max val="1"/>
        </c:scaling>
        <c:delete val="1"/>
        <c:axPos val="t"/>
        <c:numFmt formatCode="0%" sourceLinked="1"/>
        <c:majorTickMark val="out"/>
        <c:minorTickMark val="none"/>
        <c:tickLblPos val="nextTo"/>
        <c:crossAx val="465875800"/>
        <c:crosses val="max"/>
        <c:crossBetween val="between"/>
      </c:valAx>
      <c:catAx>
        <c:axId val="465875800"/>
        <c:scaling>
          <c:orientation val="minMax"/>
        </c:scaling>
        <c:delete val="1"/>
        <c:axPos val="l"/>
        <c:majorTickMark val="out"/>
        <c:minorTickMark val="none"/>
        <c:tickLblPos val="nextTo"/>
        <c:crossAx val="46587619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E964-4A9C-8867-D3CB9001589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E964-4A9C-8867-D3CB90015892}"/>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E964-4A9C-8867-D3CB90015892}"/>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E964-4A9C-8867-D3CB90015892}"/>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E964-4A9C-8867-D3CB90015892}"/>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E964-4A9C-8867-D3CB90015892}"/>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E964-4A9C-8867-D3CB9001589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E964-4A9C-8867-D3CB90015892}"/>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E964-4A9C-8867-D3CB90015892}"/>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E964-4A9C-8867-D3CB90015892}"/>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E964-4A9C-8867-D3CB90015892}"/>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E964-4A9C-8867-D3CB90015892}"/>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E964-4A9C-8867-D3CB9001589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E964-4A9C-8867-D3CB90015892}"/>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E964-4A9C-8867-D3CB90015892}"/>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E964-4A9C-8867-D3CB90015892}"/>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E964-4A9C-8867-D3CB90015892}"/>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E964-4A9C-8867-D3CB90015892}"/>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E964-4A9C-8867-D3CB90015892}"/>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E964-4A9C-8867-D3CB90015892}"/>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E964-4A9C-8867-D3CB90015892}"/>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E964-4A9C-8867-D3CB90015892}"/>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E964-4A9C-8867-D3CB90015892}"/>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E964-4A9C-8867-D3CB90015892}"/>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E964-4A9C-8867-D3CB90015892}"/>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E964-4A9C-8867-D3CB90015892}"/>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E964-4A9C-8867-D3CB90015892}"/>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periode'!$R$51</c:f>
              <c:numCache>
                <c:formatCode>0%</c:formatCode>
                <c:ptCount val="1"/>
                <c:pt idx="0">
                  <c:v>0.53846153846153844</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5872272"/>
        <c:axId val="465874624"/>
      </c:barChart>
      <c:valAx>
        <c:axId val="465874624"/>
        <c:scaling>
          <c:orientation val="minMax"/>
          <c:max val="1"/>
        </c:scaling>
        <c:delete val="1"/>
        <c:axPos val="t"/>
        <c:numFmt formatCode="0%" sourceLinked="1"/>
        <c:majorTickMark val="out"/>
        <c:minorTickMark val="none"/>
        <c:tickLblPos val="nextTo"/>
        <c:crossAx val="465872272"/>
        <c:crosses val="max"/>
        <c:crossBetween val="between"/>
      </c:valAx>
      <c:catAx>
        <c:axId val="465872272"/>
        <c:scaling>
          <c:orientation val="minMax"/>
        </c:scaling>
        <c:delete val="1"/>
        <c:axPos val="l"/>
        <c:majorTickMark val="out"/>
        <c:minorTickMark val="none"/>
        <c:tickLblPos val="nextTo"/>
        <c:crossAx val="465874624"/>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B62E-4591-9EA9-71E384261024}"/>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B62E-4591-9EA9-71E384261024}"/>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B62E-4591-9EA9-71E384261024}"/>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B62E-4591-9EA9-71E384261024}"/>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B62E-4591-9EA9-71E384261024}"/>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B62E-4591-9EA9-71E384261024}"/>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B62E-4591-9EA9-71E384261024}"/>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B62E-4591-9EA9-71E384261024}"/>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B62E-4591-9EA9-71E384261024}"/>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B62E-4591-9EA9-71E384261024}"/>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B62E-4591-9EA9-71E384261024}"/>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B62E-4591-9EA9-71E384261024}"/>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B62E-4591-9EA9-71E384261024}"/>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B62E-4591-9EA9-71E384261024}"/>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B62E-4591-9EA9-71E384261024}"/>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B62E-4591-9EA9-71E384261024}"/>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B62E-4591-9EA9-71E384261024}"/>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B62E-4591-9EA9-71E384261024}"/>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B62E-4591-9EA9-71E384261024}"/>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B62E-4591-9EA9-71E384261024}"/>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B62E-4591-9EA9-71E384261024}"/>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B62E-4591-9EA9-71E384261024}"/>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B62E-4591-9EA9-71E384261024}"/>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B62E-4591-9EA9-71E384261024}"/>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B62E-4591-9EA9-71E384261024}"/>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B62E-4591-9EA9-71E384261024}"/>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B62E-4591-9EA9-71E384261024}"/>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periode'!$R$51</c:f>
              <c:numCache>
                <c:formatCode>0%</c:formatCode>
                <c:ptCount val="1"/>
                <c:pt idx="0">
                  <c:v>0.57692307692307687</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5871880"/>
        <c:axId val="465871488"/>
      </c:barChart>
      <c:valAx>
        <c:axId val="465871488"/>
        <c:scaling>
          <c:orientation val="minMax"/>
          <c:max val="1"/>
        </c:scaling>
        <c:delete val="1"/>
        <c:axPos val="t"/>
        <c:numFmt formatCode="0%" sourceLinked="1"/>
        <c:majorTickMark val="out"/>
        <c:minorTickMark val="none"/>
        <c:tickLblPos val="nextTo"/>
        <c:crossAx val="465871880"/>
        <c:crosses val="max"/>
        <c:crossBetween val="between"/>
      </c:valAx>
      <c:catAx>
        <c:axId val="465871880"/>
        <c:scaling>
          <c:orientation val="minMax"/>
        </c:scaling>
        <c:delete val="1"/>
        <c:axPos val="l"/>
        <c:majorTickMark val="out"/>
        <c:minorTickMark val="none"/>
        <c:tickLblPos val="nextTo"/>
        <c:crossAx val="46587148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A3AE-4864-B828-228680199A1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1E-A3AE-4864-B828-228680199A1B}"/>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A3AE-4864-B828-228680199A1B}"/>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20-A3AE-4864-B828-228680199A1B}"/>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21-A3AE-4864-B828-228680199A1B}"/>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22-A3AE-4864-B828-228680199A1B}"/>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A3AE-4864-B828-228680199A1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41-A3AE-4864-B828-228680199A1B}"/>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A3AE-4864-B828-228680199A1B}"/>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43-A3AE-4864-B828-228680199A1B}"/>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44-A3AE-4864-B828-228680199A1B}"/>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45-A3AE-4864-B828-228680199A1B}"/>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A3AE-4864-B828-228680199A1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64-A3AE-4864-B828-228680199A1B}"/>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A3AE-4864-B828-228680199A1B}"/>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66-A3AE-4864-B828-228680199A1B}"/>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67-A3AE-4864-B828-228680199A1B}"/>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68-A3AE-4864-B828-228680199A1B}"/>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A3AE-4864-B828-228680199A1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A3AE-4864-B828-228680199A1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A3AE-4864-B828-228680199A1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A3AE-4864-B828-228680199A1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2.2000000000000002</c:v>
                </c:pt>
                <c:pt idx="1">
                  <c:v>3.1</c:v>
                </c:pt>
                <c:pt idx="2">
                  <c:v>0</c:v>
                </c:pt>
                <c:pt idx="3">
                  <c:v>3.7</c:v>
                </c:pt>
                <c:pt idx="4">
                  <c:v>3.7</c:v>
                </c:pt>
                <c:pt idx="5">
                  <c:v>4.7</c:v>
                </c:pt>
                <c:pt idx="6">
                  <c:v>2.9</c:v>
                </c:pt>
                <c:pt idx="7">
                  <c:v>2.2000000000000002</c:v>
                </c:pt>
                <c:pt idx="8">
                  <c:v>2.9</c:v>
                </c:pt>
                <c:pt idx="9">
                  <c:v>3.2</c:v>
                </c:pt>
                <c:pt idx="10">
                  <c:v>3.6</c:v>
                </c:pt>
                <c:pt idx="11">
                  <c:v>3.6</c:v>
                </c:pt>
                <c:pt idx="12">
                  <c:v>3.6</c:v>
                </c:pt>
                <c:pt idx="13">
                  <c:v>3.3</c:v>
                </c:pt>
                <c:pt idx="14">
                  <c:v>3.7</c:v>
                </c:pt>
              </c:numCache>
            </c:numRef>
          </c:val>
          <c:extLst>
            <c:ext xmlns:c16="http://schemas.microsoft.com/office/drawing/2014/chart" uri="{C3380CC4-5D6E-409C-BE32-E72D297353CC}">
              <c16:uniqueId val="{0000008D-A3AE-4864-B828-228680199A1B}"/>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A3AE-4864-B828-228680199A1B}"/>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1.4</c:v>
                </c:pt>
                <c:pt idx="1">
                  <c:v>1.6</c:v>
                </c:pt>
                <c:pt idx="2">
                  <c:v>0</c:v>
                </c:pt>
                <c:pt idx="3">
                  <c:v>2.2999999999999998</c:v>
                </c:pt>
                <c:pt idx="4">
                  <c:v>1.9</c:v>
                </c:pt>
                <c:pt idx="5">
                  <c:v>2.5</c:v>
                </c:pt>
                <c:pt idx="6">
                  <c:v>1.7</c:v>
                </c:pt>
                <c:pt idx="7">
                  <c:v>0.8</c:v>
                </c:pt>
                <c:pt idx="8">
                  <c:v>1.6</c:v>
                </c:pt>
                <c:pt idx="9">
                  <c:v>2.2000000000000002</c:v>
                </c:pt>
                <c:pt idx="10">
                  <c:v>2.2999999999999998</c:v>
                </c:pt>
                <c:pt idx="11">
                  <c:v>2.9</c:v>
                </c:pt>
                <c:pt idx="12">
                  <c:v>1.1000000000000001</c:v>
                </c:pt>
                <c:pt idx="13">
                  <c:v>1.4</c:v>
                </c:pt>
                <c:pt idx="14">
                  <c:v>2.1</c:v>
                </c:pt>
              </c:numCache>
            </c:numRef>
          </c:val>
          <c:extLst>
            <c:ext xmlns:c16="http://schemas.microsoft.com/office/drawing/2014/chart" uri="{C3380CC4-5D6E-409C-BE32-E72D297353CC}">
              <c16:uniqueId val="{0000008F-A3AE-4864-B828-228680199A1B}"/>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numCache>
            </c:numRef>
          </c:val>
          <c:extLst>
            <c:ext xmlns:c16="http://schemas.microsoft.com/office/drawing/2014/chart" uri="{C3380CC4-5D6E-409C-BE32-E72D297353CC}">
              <c16:uniqueId val="{00000090-A3AE-4864-B828-228680199A1B}"/>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numCache>
            </c:numRef>
          </c:val>
          <c:extLst>
            <c:ext xmlns:c16="http://schemas.microsoft.com/office/drawing/2014/chart" uri="{C3380CC4-5D6E-409C-BE32-E72D297353CC}">
              <c16:uniqueId val="{00000091-A3AE-4864-B828-228680199A1B}"/>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6477346069447"/>
          <c:y val="2.7403486552041386E-2"/>
          <c:w val="0.67177198915709313"/>
          <c:h val="0.95260929826867224"/>
        </c:manualLayout>
      </c:layout>
      <c:barChart>
        <c:barDir val="col"/>
        <c:grouping val="clustered"/>
        <c:varyColors val="0"/>
        <c:ser>
          <c:idx val="0"/>
          <c:order val="0"/>
          <c:tx>
            <c:strRef>
              <c:f>DIVERSITEIT!$AI$7</c:f>
              <c:strCache>
                <c:ptCount val="1"/>
                <c:pt idx="0">
                  <c:v>DQ</c:v>
                </c:pt>
              </c:strCache>
            </c:strRef>
          </c:tx>
          <c:spPr>
            <a:gradFill rotWithShape="0">
              <a:gsLst>
                <a:gs pos="0">
                  <a:srgbClr val="CC99FF"/>
                </a:gs>
                <a:gs pos="50000">
                  <a:srgbClr val="FFFFFF"/>
                </a:gs>
                <a:gs pos="100000">
                  <a:srgbClr val="CC99FF"/>
                </a:gs>
              </a:gsLst>
              <a:lin ang="0" scaled="1"/>
            </a:gradFill>
            <a:ln w="12700">
              <a:solidFill>
                <a:srgbClr val="000000"/>
              </a:solidFill>
              <a:prstDash val="solid"/>
            </a:ln>
          </c:spPr>
          <c:invertIfNegative val="0"/>
          <c:dLbls>
            <c:spPr>
              <a:noFill/>
              <a:ln w="25400">
                <a:noFill/>
              </a:ln>
            </c:spPr>
            <c:txPr>
              <a:bodyPr/>
              <a:lstStyle/>
              <a:p>
                <a:pPr>
                  <a:defRPr sz="14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DIVERSITEIT!$AI$9</c:f>
              <c:numCache>
                <c:formatCode>0.00</c:formatCode>
                <c:ptCount val="1"/>
                <c:pt idx="0">
                  <c:v>1.0302083333333334</c:v>
                </c:pt>
              </c:numCache>
            </c:numRef>
          </c:val>
          <c:extLst>
            <c:ext xmlns:c16="http://schemas.microsoft.com/office/drawing/2014/chart" uri="{C3380CC4-5D6E-409C-BE32-E72D297353CC}">
              <c16:uniqueId val="{00000000-E722-45C7-8CDF-A7B623F8A121}"/>
            </c:ext>
          </c:extLst>
        </c:ser>
        <c:dLbls>
          <c:showLegendKey val="0"/>
          <c:showVal val="0"/>
          <c:showCatName val="0"/>
          <c:showSerName val="0"/>
          <c:showPercent val="0"/>
          <c:showBubbleSize val="0"/>
        </c:dLbls>
        <c:gapWidth val="20"/>
        <c:axId val="468030224"/>
        <c:axId val="468024736"/>
      </c:barChart>
      <c:barChart>
        <c:barDir val="col"/>
        <c:grouping val="clustered"/>
        <c:varyColors val="0"/>
        <c:ser>
          <c:idx val="1"/>
          <c:order val="1"/>
          <c:tx>
            <c:strRef>
              <c:f>DIVERSITEIT!$AJ$4</c:f>
              <c:strCache>
                <c:ptCount val="1"/>
                <c:pt idx="0">
                  <c:v>1,2</c:v>
                </c:pt>
              </c:strCache>
            </c:strRef>
          </c:tx>
          <c:spPr>
            <a:noFill/>
            <a:ln w="44450">
              <a:solidFill>
                <a:srgbClr val="990099"/>
              </a:solidFill>
              <a:prstDash val="solid"/>
            </a:ln>
          </c:spPr>
          <c:invertIfNegative val="1"/>
          <c:val>
            <c:numRef>
              <c:f>DIVERSITEIT!$AJ$6</c:f>
              <c:numCache>
                <c:formatCode>General</c:formatCode>
                <c:ptCount val="1"/>
                <c:pt idx="0">
                  <c:v>1.2</c:v>
                </c:pt>
              </c:numCache>
            </c:numRef>
          </c:val>
          <c:extLst>
            <c:ext xmlns:c16="http://schemas.microsoft.com/office/drawing/2014/chart" uri="{C3380CC4-5D6E-409C-BE32-E72D297353CC}">
              <c16:uniqueId val="{00000001-E722-45C7-8CDF-A7B623F8A121}"/>
            </c:ext>
          </c:extLst>
        </c:ser>
        <c:dLbls>
          <c:showLegendKey val="0"/>
          <c:showVal val="0"/>
          <c:showCatName val="0"/>
          <c:showSerName val="0"/>
          <c:showPercent val="0"/>
          <c:showBubbleSize val="0"/>
        </c:dLbls>
        <c:gapWidth val="20"/>
        <c:axId val="468025128"/>
        <c:axId val="468027480"/>
      </c:barChart>
      <c:catAx>
        <c:axId val="468030224"/>
        <c:scaling>
          <c:orientation val="minMax"/>
        </c:scaling>
        <c:delete val="1"/>
        <c:axPos val="b"/>
        <c:majorTickMark val="out"/>
        <c:minorTickMark val="none"/>
        <c:tickLblPos val="none"/>
        <c:crossAx val="468024736"/>
        <c:crosses val="autoZero"/>
        <c:auto val="1"/>
        <c:lblAlgn val="ctr"/>
        <c:lblOffset val="100"/>
        <c:noMultiLvlLbl val="0"/>
      </c:catAx>
      <c:valAx>
        <c:axId val="468024736"/>
        <c:scaling>
          <c:orientation val="minMax"/>
          <c:max val="2"/>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nl-NL"/>
          </a:p>
        </c:txPr>
        <c:crossAx val="468030224"/>
        <c:crosses val="autoZero"/>
        <c:crossBetween val="between"/>
      </c:valAx>
      <c:catAx>
        <c:axId val="468025128"/>
        <c:scaling>
          <c:orientation val="minMax"/>
        </c:scaling>
        <c:delete val="1"/>
        <c:axPos val="b"/>
        <c:majorTickMark val="out"/>
        <c:minorTickMark val="none"/>
        <c:tickLblPos val="none"/>
        <c:crossAx val="468027480"/>
        <c:crosses val="autoZero"/>
        <c:auto val="1"/>
        <c:lblAlgn val="ctr"/>
        <c:lblOffset val="100"/>
        <c:noMultiLvlLbl val="0"/>
      </c:catAx>
      <c:valAx>
        <c:axId val="468027480"/>
        <c:scaling>
          <c:orientation val="minMax"/>
        </c:scaling>
        <c:delete val="1"/>
        <c:axPos val="r"/>
        <c:numFmt formatCode="General" sourceLinked="1"/>
        <c:majorTickMark val="out"/>
        <c:minorTickMark val="none"/>
        <c:tickLblPos val="none"/>
        <c:crossAx val="468025128"/>
        <c:crosses val="max"/>
        <c:crossBetween val="between"/>
      </c:valAx>
      <c:spPr>
        <a:blipFill>
          <a:blip xmlns:r="http://schemas.openxmlformats.org/officeDocument/2006/relationships" r:embed="rId1"/>
          <a:tile tx="0" ty="0" sx="100000" sy="100000" flip="none" algn="tl"/>
        </a:blipFill>
        <a:ln w="12700">
          <a:solidFill>
            <a:srgbClr val="80808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133" r="0.75000000000000133"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2e periode'!$H$12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periode'!$H$14</c:f>
              <c:numCache>
                <c:formatCode>General</c:formatCode>
                <c:ptCount val="1"/>
                <c:pt idx="0">
                  <c:v>5.2</c:v>
                </c:pt>
              </c:numCache>
            </c:numRef>
          </c:val>
          <c:extLst>
            <c:ext xmlns:c16="http://schemas.microsoft.com/office/drawing/2014/chart" uri="{C3380CC4-5D6E-409C-BE32-E72D297353CC}">
              <c16:uniqueId val="{00000000-600F-4C61-9D9C-E7C6C7F5805C}"/>
            </c:ext>
          </c:extLst>
        </c:ser>
        <c:ser>
          <c:idx val="1"/>
          <c:order val="1"/>
          <c:tx>
            <c:strRef>
              <c:f>'OPP 2e periode'!$I$12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periode'!$I$14</c:f>
              <c:numCache>
                <c:formatCode>General</c:formatCode>
                <c:ptCount val="1"/>
                <c:pt idx="0">
                  <c:v>8</c:v>
                </c:pt>
              </c:numCache>
            </c:numRef>
          </c:val>
          <c:extLst>
            <c:ext xmlns:c16="http://schemas.microsoft.com/office/drawing/2014/chart" uri="{C3380CC4-5D6E-409C-BE32-E72D297353CC}">
              <c16:uniqueId val="{00000001-600F-4C61-9D9C-E7C6C7F5805C}"/>
            </c:ext>
          </c:extLst>
        </c:ser>
        <c:ser>
          <c:idx val="2"/>
          <c:order val="2"/>
          <c:tx>
            <c:strRef>
              <c:f>'OPP 2e periode'!$J$12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periode'!$J$14</c:f>
              <c:numCache>
                <c:formatCode>General</c:formatCode>
                <c:ptCount val="1"/>
                <c:pt idx="0">
                  <c:v>0</c:v>
                </c:pt>
              </c:numCache>
            </c:numRef>
          </c:val>
          <c:extLst>
            <c:ext xmlns:c16="http://schemas.microsoft.com/office/drawing/2014/chart" uri="{C3380CC4-5D6E-409C-BE32-E72D297353CC}">
              <c16:uniqueId val="{00000002-600F-4C61-9D9C-E7C6C7F5805C}"/>
            </c:ext>
          </c:extLst>
        </c:ser>
        <c:ser>
          <c:idx val="3"/>
          <c:order val="3"/>
          <c:tx>
            <c:strRef>
              <c:f>'OPP 2e periode'!$K$12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periode'!$K$14</c:f>
              <c:numCache>
                <c:formatCode>General</c:formatCode>
                <c:ptCount val="1"/>
                <c:pt idx="0">
                  <c:v>10</c:v>
                </c:pt>
              </c:numCache>
            </c:numRef>
          </c:val>
          <c:extLst>
            <c:ext xmlns:c16="http://schemas.microsoft.com/office/drawing/2014/chart" uri="{C3380CC4-5D6E-409C-BE32-E72D297353CC}">
              <c16:uniqueId val="{00000003-600F-4C61-9D9C-E7C6C7F5805C}"/>
            </c:ext>
          </c:extLst>
        </c:ser>
        <c:ser>
          <c:idx val="4"/>
          <c:order val="4"/>
          <c:tx>
            <c:strRef>
              <c:f>'OPP 2e periode'!$L$12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periode'!$L$14</c:f>
              <c:numCache>
                <c:formatCode>General</c:formatCode>
                <c:ptCount val="1"/>
                <c:pt idx="0">
                  <c:v>10</c:v>
                </c:pt>
              </c:numCache>
            </c:numRef>
          </c:val>
          <c:extLst>
            <c:ext xmlns:c16="http://schemas.microsoft.com/office/drawing/2014/chart" uri="{C3380CC4-5D6E-409C-BE32-E72D297353CC}">
              <c16:uniqueId val="{00000004-600F-4C61-9D9C-E7C6C7F5805C}"/>
            </c:ext>
          </c:extLst>
        </c:ser>
        <c:ser>
          <c:idx val="5"/>
          <c:order val="5"/>
          <c:tx>
            <c:strRef>
              <c:f>'OPP 2e periode'!$M$12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periode'!$M$14</c:f>
              <c:numCache>
                <c:formatCode>General</c:formatCode>
                <c:ptCount val="1"/>
                <c:pt idx="0">
                  <c:v>8.4</c:v>
                </c:pt>
              </c:numCache>
            </c:numRef>
          </c:val>
          <c:extLst>
            <c:ext xmlns:c16="http://schemas.microsoft.com/office/drawing/2014/chart" uri="{C3380CC4-5D6E-409C-BE32-E72D297353CC}">
              <c16:uniqueId val="{00000005-600F-4C61-9D9C-E7C6C7F5805C}"/>
            </c:ext>
          </c:extLst>
        </c:ser>
        <c:ser>
          <c:idx val="6"/>
          <c:order val="6"/>
          <c:tx>
            <c:strRef>
              <c:f>'OPP 2e periode'!$N$12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periode'!$N$14</c:f>
              <c:numCache>
                <c:formatCode>General</c:formatCode>
                <c:ptCount val="1"/>
                <c:pt idx="0">
                  <c:v>9.4</c:v>
                </c:pt>
              </c:numCache>
            </c:numRef>
          </c:val>
          <c:extLst>
            <c:ext xmlns:c16="http://schemas.microsoft.com/office/drawing/2014/chart" uri="{C3380CC4-5D6E-409C-BE32-E72D297353CC}">
              <c16:uniqueId val="{00000006-600F-4C61-9D9C-E7C6C7F5805C}"/>
            </c:ext>
          </c:extLst>
        </c:ser>
        <c:ser>
          <c:idx val="7"/>
          <c:order val="7"/>
          <c:tx>
            <c:strRef>
              <c:f>'OPP 2e periode'!$O$12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periode'!$O$14</c:f>
              <c:numCache>
                <c:formatCode>General</c:formatCode>
                <c:ptCount val="1"/>
                <c:pt idx="0">
                  <c:v>10</c:v>
                </c:pt>
              </c:numCache>
            </c:numRef>
          </c:val>
          <c:extLst>
            <c:ext xmlns:c16="http://schemas.microsoft.com/office/drawing/2014/chart" uri="{C3380CC4-5D6E-409C-BE32-E72D297353CC}">
              <c16:uniqueId val="{00000007-600F-4C61-9D9C-E7C6C7F5805C}"/>
            </c:ext>
          </c:extLst>
        </c:ser>
        <c:ser>
          <c:idx val="8"/>
          <c:order val="8"/>
          <c:tx>
            <c:strRef>
              <c:f>'OPP 2e periode'!$P$12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periode'!$P$14</c:f>
              <c:numCache>
                <c:formatCode>General</c:formatCode>
                <c:ptCount val="1"/>
                <c:pt idx="0">
                  <c:v>8.4</c:v>
                </c:pt>
              </c:numCache>
            </c:numRef>
          </c:val>
          <c:extLst>
            <c:ext xmlns:c16="http://schemas.microsoft.com/office/drawing/2014/chart" uri="{C3380CC4-5D6E-409C-BE32-E72D297353CC}">
              <c16:uniqueId val="{00000008-600F-4C61-9D9C-E7C6C7F5805C}"/>
            </c:ext>
          </c:extLst>
        </c:ser>
        <c:ser>
          <c:idx val="9"/>
          <c:order val="9"/>
          <c:tx>
            <c:strRef>
              <c:f>'OPP 2e periode'!$Q$12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periode'!$Q$14</c:f>
              <c:numCache>
                <c:formatCode>General</c:formatCode>
                <c:ptCount val="1"/>
                <c:pt idx="0">
                  <c:v>6.2</c:v>
                </c:pt>
              </c:numCache>
            </c:numRef>
          </c:val>
          <c:extLst>
            <c:ext xmlns:c16="http://schemas.microsoft.com/office/drawing/2014/chart" uri="{C3380CC4-5D6E-409C-BE32-E72D297353CC}">
              <c16:uniqueId val="{00000009-600F-4C61-9D9C-E7C6C7F5805C}"/>
            </c:ext>
          </c:extLst>
        </c:ser>
        <c:ser>
          <c:idx val="10"/>
          <c:order val="10"/>
          <c:tx>
            <c:strRef>
              <c:f>'OPP 2e periode'!$R$12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periode'!$R$14</c:f>
              <c:numCache>
                <c:formatCode>General</c:formatCode>
                <c:ptCount val="1"/>
                <c:pt idx="0">
                  <c:v>9.1999999999999993</c:v>
                </c:pt>
              </c:numCache>
            </c:numRef>
          </c:val>
          <c:extLst>
            <c:ext xmlns:c16="http://schemas.microsoft.com/office/drawing/2014/chart" uri="{C3380CC4-5D6E-409C-BE32-E72D297353CC}">
              <c16:uniqueId val="{0000000A-600F-4C61-9D9C-E7C6C7F5805C}"/>
            </c:ext>
          </c:extLst>
        </c:ser>
        <c:ser>
          <c:idx val="11"/>
          <c:order val="11"/>
          <c:tx>
            <c:strRef>
              <c:f>'OPP 2e periode'!$S$12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periode'!$S$14</c:f>
              <c:numCache>
                <c:formatCode>General</c:formatCode>
                <c:ptCount val="1"/>
                <c:pt idx="0">
                  <c:v>10</c:v>
                </c:pt>
              </c:numCache>
            </c:numRef>
          </c:val>
          <c:extLst>
            <c:ext xmlns:c16="http://schemas.microsoft.com/office/drawing/2014/chart" uri="{C3380CC4-5D6E-409C-BE32-E72D297353CC}">
              <c16:uniqueId val="{0000000B-600F-4C61-9D9C-E7C6C7F5805C}"/>
            </c:ext>
          </c:extLst>
        </c:ser>
        <c:ser>
          <c:idx val="12"/>
          <c:order val="12"/>
          <c:tx>
            <c:strRef>
              <c:f>'OPP 2e periode'!$T$12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2e periode'!$T$14</c:f>
              <c:numCache>
                <c:formatCode>General</c:formatCode>
                <c:ptCount val="1"/>
                <c:pt idx="0">
                  <c:v>6.4</c:v>
                </c:pt>
              </c:numCache>
            </c:numRef>
          </c:val>
          <c:extLst>
            <c:ext xmlns:c16="http://schemas.microsoft.com/office/drawing/2014/chart" uri="{C3380CC4-5D6E-409C-BE32-E72D297353CC}">
              <c16:uniqueId val="{0000000C-600F-4C61-9D9C-E7C6C7F5805C}"/>
            </c:ext>
          </c:extLst>
        </c:ser>
        <c:ser>
          <c:idx val="13"/>
          <c:order val="13"/>
          <c:tx>
            <c:strRef>
              <c:f>'OPP 2e periode'!$U$12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2e periode'!$U$14</c:f>
              <c:numCache>
                <c:formatCode>General</c:formatCode>
                <c:ptCount val="1"/>
                <c:pt idx="0">
                  <c:v>6</c:v>
                </c:pt>
              </c:numCache>
            </c:numRef>
          </c:val>
          <c:extLst>
            <c:ext xmlns:c16="http://schemas.microsoft.com/office/drawing/2014/chart" uri="{C3380CC4-5D6E-409C-BE32-E72D297353CC}">
              <c16:uniqueId val="{0000000D-600F-4C61-9D9C-E7C6C7F5805C}"/>
            </c:ext>
          </c:extLst>
        </c:ser>
        <c:ser>
          <c:idx val="14"/>
          <c:order val="14"/>
          <c:tx>
            <c:strRef>
              <c:f>'OPP 2e periode'!$V$12</c:f>
              <c:strCache>
                <c:ptCount val="1"/>
                <c:pt idx="0">
                  <c:v>R&amp;W - 2e periode</c:v>
                </c:pt>
              </c:strCache>
            </c:strRef>
          </c:tx>
          <c:spPr>
            <a:solidFill>
              <a:srgbClr val="FF0000"/>
            </a:solidFill>
            <a:ln>
              <a:noFill/>
            </a:ln>
            <a:effectLst/>
          </c:spPr>
          <c:invertIfNegative val="0"/>
          <c:val>
            <c:numRef>
              <c:f>'OPP 2e periode'!$V$14</c:f>
              <c:numCache>
                <c:formatCode>General</c:formatCode>
                <c:ptCount val="1"/>
                <c:pt idx="0">
                  <c:v>8.8000000000000007</c:v>
                </c:pt>
              </c:numCache>
            </c:numRef>
          </c:val>
          <c:extLst>
            <c:ext xmlns:c16="http://schemas.microsoft.com/office/drawing/2014/chart" uri="{C3380CC4-5D6E-409C-BE32-E72D297353CC}">
              <c16:uniqueId val="{0000000E-600F-4C61-9D9C-E7C6C7F5805C}"/>
            </c:ext>
          </c:extLst>
        </c:ser>
        <c:ser>
          <c:idx val="15"/>
          <c:order val="15"/>
          <c:tx>
            <c:strRef>
              <c:f>'OPP 2e periode'!$W$12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periode'!$W$14</c:f>
              <c:numCache>
                <c:formatCode>General</c:formatCode>
                <c:ptCount val="1"/>
                <c:pt idx="0">
                  <c:v>10</c:v>
                </c:pt>
              </c:numCache>
            </c:numRef>
          </c:val>
          <c:extLst>
            <c:ext xmlns:c16="http://schemas.microsoft.com/office/drawing/2014/chart" uri="{C3380CC4-5D6E-409C-BE32-E72D297353CC}">
              <c16:uniqueId val="{0000000F-600F-4C61-9D9C-E7C6C7F5805C}"/>
            </c:ext>
          </c:extLst>
        </c:ser>
        <c:ser>
          <c:idx val="16"/>
          <c:order val="16"/>
          <c:tx>
            <c:strRef>
              <c:f>'OPP 2e periode'!$X$12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periode'!$X$14</c:f>
              <c:numCache>
                <c:formatCode>General</c:formatCode>
                <c:ptCount val="1"/>
                <c:pt idx="0">
                  <c:v>1.6</c:v>
                </c:pt>
              </c:numCache>
            </c:numRef>
          </c:val>
          <c:extLst>
            <c:ext xmlns:c16="http://schemas.microsoft.com/office/drawing/2014/chart" uri="{C3380CC4-5D6E-409C-BE32-E72D297353CC}">
              <c16:uniqueId val="{00000010-600F-4C61-9D9C-E7C6C7F5805C}"/>
            </c:ext>
          </c:extLst>
        </c:ser>
        <c:ser>
          <c:idx val="17"/>
          <c:order val="17"/>
          <c:tx>
            <c:strRef>
              <c:f>'OPP 2e periode'!$Y$12</c:f>
              <c:strCache>
                <c:ptCount val="1"/>
                <c:pt idx="0">
                  <c:v>HR - 1e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periode'!$Y$14</c:f>
              <c:numCache>
                <c:formatCode>General</c:formatCode>
                <c:ptCount val="1"/>
                <c:pt idx="0">
                  <c:v>2.8</c:v>
                </c:pt>
              </c:numCache>
            </c:numRef>
          </c:val>
          <c:extLst>
            <c:ext xmlns:c16="http://schemas.microsoft.com/office/drawing/2014/chart" uri="{C3380CC4-5D6E-409C-BE32-E72D297353CC}">
              <c16:uniqueId val="{00000011-600F-4C61-9D9C-E7C6C7F5805C}"/>
            </c:ext>
          </c:extLst>
        </c:ser>
        <c:ser>
          <c:idx val="18"/>
          <c:order val="18"/>
          <c:tx>
            <c:strRef>
              <c:f>'OPP 2e periode'!$Z$12</c:f>
              <c:strCache>
                <c:ptCount val="1"/>
                <c:pt idx="0">
                  <c:v>HR - 2e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periode'!$Z$14</c:f>
              <c:numCache>
                <c:formatCode>General</c:formatCode>
                <c:ptCount val="1"/>
                <c:pt idx="0">
                  <c:v>0.6</c:v>
                </c:pt>
              </c:numCache>
            </c:numRef>
          </c:val>
          <c:extLst>
            <c:ext xmlns:c16="http://schemas.microsoft.com/office/drawing/2014/chart" uri="{C3380CC4-5D6E-409C-BE32-E72D297353CC}">
              <c16:uniqueId val="{00000012-600F-4C61-9D9C-E7C6C7F5805C}"/>
            </c:ext>
          </c:extLst>
        </c:ser>
        <c:ser>
          <c:idx val="19"/>
          <c:order val="19"/>
          <c:tx>
            <c:strRef>
              <c:f>'OPP 2e periode'!$AA$12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periode'!$AA$14</c:f>
              <c:numCache>
                <c:formatCode>General</c:formatCode>
                <c:ptCount val="1"/>
                <c:pt idx="0">
                  <c:v>10</c:v>
                </c:pt>
              </c:numCache>
            </c:numRef>
          </c:val>
          <c:extLst>
            <c:ext xmlns:c16="http://schemas.microsoft.com/office/drawing/2014/chart" uri="{C3380CC4-5D6E-409C-BE32-E72D297353CC}">
              <c16:uniqueId val="{00000013-600F-4C61-9D9C-E7C6C7F5805C}"/>
            </c:ext>
          </c:extLst>
        </c:ser>
        <c:dLbls>
          <c:showLegendKey val="0"/>
          <c:showVal val="0"/>
          <c:showCatName val="0"/>
          <c:showSerName val="0"/>
          <c:showPercent val="0"/>
          <c:showBubbleSize val="0"/>
        </c:dLbls>
        <c:gapWidth val="5"/>
        <c:overlap val="-10"/>
        <c:axId val="374846464"/>
        <c:axId val="374847248"/>
      </c:barChart>
      <c:barChart>
        <c:barDir val="bar"/>
        <c:grouping val="clustered"/>
        <c:varyColors val="0"/>
        <c:ser>
          <c:idx val="20"/>
          <c:order val="20"/>
          <c:tx>
            <c:strRef>
              <c:f>'OPP 2e periode'!$AB$12</c:f>
              <c:strCache>
                <c:ptCount val="1"/>
                <c:pt idx="0">
                  <c:v>gemiddeld</c:v>
                </c:pt>
              </c:strCache>
            </c:strRef>
          </c:tx>
          <c:spPr>
            <a:noFill/>
            <a:ln w="127000">
              <a:solidFill>
                <a:srgbClr val="002060"/>
              </a:solidFill>
            </a:ln>
            <a:effectLst/>
          </c:spPr>
          <c:invertIfNegative val="0"/>
          <c:val>
            <c:numRef>
              <c:f>'OPP 2e periode'!$AB$14</c:f>
              <c:numCache>
                <c:formatCode>0.0</c:formatCode>
                <c:ptCount val="1"/>
                <c:pt idx="0">
                  <c:v>6.4999999999999991</c:v>
                </c:pt>
              </c:numCache>
            </c:numRef>
          </c:val>
          <c:extLst>
            <c:ext xmlns:c16="http://schemas.microsoft.com/office/drawing/2014/chart" uri="{C3380CC4-5D6E-409C-BE32-E72D297353CC}">
              <c16:uniqueId val="{00000014-600F-4C61-9D9C-E7C6C7F5805C}"/>
            </c:ext>
          </c:extLst>
        </c:ser>
        <c:dLbls>
          <c:showLegendKey val="0"/>
          <c:showVal val="0"/>
          <c:showCatName val="0"/>
          <c:showSerName val="0"/>
          <c:showPercent val="0"/>
          <c:showBubbleSize val="0"/>
        </c:dLbls>
        <c:gapWidth val="0"/>
        <c:axId val="456740592"/>
        <c:axId val="374847640"/>
      </c:barChart>
      <c:catAx>
        <c:axId val="374846464"/>
        <c:scaling>
          <c:orientation val="maxMin"/>
        </c:scaling>
        <c:delete val="1"/>
        <c:axPos val="l"/>
        <c:numFmt formatCode="General" sourceLinked="1"/>
        <c:majorTickMark val="none"/>
        <c:minorTickMark val="none"/>
        <c:tickLblPos val="nextTo"/>
        <c:crossAx val="374847248"/>
        <c:crosses val="autoZero"/>
        <c:auto val="1"/>
        <c:lblAlgn val="ctr"/>
        <c:lblOffset val="100"/>
        <c:noMultiLvlLbl val="0"/>
      </c:catAx>
      <c:valAx>
        <c:axId val="374847248"/>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74846464"/>
        <c:crosses val="autoZero"/>
        <c:crossBetween val="between"/>
      </c:valAx>
      <c:valAx>
        <c:axId val="374847640"/>
        <c:scaling>
          <c:orientation val="minMax"/>
        </c:scaling>
        <c:delete val="1"/>
        <c:axPos val="b"/>
        <c:numFmt formatCode="0.0" sourceLinked="1"/>
        <c:majorTickMark val="out"/>
        <c:minorTickMark val="none"/>
        <c:tickLblPos val="nextTo"/>
        <c:crossAx val="456740592"/>
        <c:crosses val="autoZero"/>
        <c:crossBetween val="between"/>
      </c:valAx>
      <c:catAx>
        <c:axId val="456740592"/>
        <c:scaling>
          <c:orientation val="minMax"/>
        </c:scaling>
        <c:delete val="1"/>
        <c:axPos val="l"/>
        <c:majorTickMark val="out"/>
        <c:minorTickMark val="none"/>
        <c:tickLblPos val="nextTo"/>
        <c:crossAx val="374847640"/>
        <c:crosses val="autoZero"/>
        <c:auto val="1"/>
        <c:lblAlgn val="ctr"/>
        <c:lblOffset val="100"/>
        <c:noMultiLvlLbl val="0"/>
      </c:catAx>
      <c:spPr>
        <a:noFill/>
        <a:ln>
          <a:noFill/>
        </a:ln>
        <a:effectLst/>
      </c:spPr>
    </c:plotArea>
    <c:legend>
      <c:legendPos val="tr"/>
      <c:legendEntry>
        <c:idx val="20"/>
        <c:delete val="1"/>
      </c:legendEntry>
      <c:layout>
        <c:manualLayout>
          <c:xMode val="edge"/>
          <c:yMode val="edge"/>
          <c:x val="0.81872383709045715"/>
          <c:y val="1.3691933649105157E-2"/>
          <c:w val="0.17664980662463922"/>
          <c:h val="0.96479217061658673"/>
        </c:manualLayout>
      </c:layout>
      <c:overlay val="1"/>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74185078907985"/>
          <c:y val="1.8166797690271623E-2"/>
          <c:w val="0.71443354063060582"/>
          <c:h val="0.97064342943397097"/>
        </c:manualLayout>
      </c:layout>
      <c:barChart>
        <c:barDir val="col"/>
        <c:grouping val="clustered"/>
        <c:varyColors val="0"/>
        <c:ser>
          <c:idx val="5"/>
          <c:order val="0"/>
          <c:tx>
            <c:v>VWO</c:v>
          </c:tx>
          <c:spPr>
            <a:solidFill>
              <a:srgbClr val="000080"/>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5</c:v>
              </c:pt>
            </c:numLit>
          </c:val>
          <c:extLst>
            <c:ext xmlns:c16="http://schemas.microsoft.com/office/drawing/2014/chart" uri="{C3380CC4-5D6E-409C-BE32-E72D297353CC}">
              <c16:uniqueId val="{00000000-1089-4AC2-BB88-E9D7A9AD1D28}"/>
            </c:ext>
          </c:extLst>
        </c:ser>
        <c:ser>
          <c:idx val="4"/>
          <c:order val="1"/>
          <c:tx>
            <c:v>HAVO</c:v>
          </c:tx>
          <c:spPr>
            <a:solidFill>
              <a:srgbClr val="0000FF"/>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4.2</c:v>
              </c:pt>
            </c:numLit>
          </c:val>
          <c:extLst>
            <c:ext xmlns:c16="http://schemas.microsoft.com/office/drawing/2014/chart" uri="{C3380CC4-5D6E-409C-BE32-E72D297353CC}">
              <c16:uniqueId val="{00000001-1089-4AC2-BB88-E9D7A9AD1D28}"/>
            </c:ext>
          </c:extLst>
        </c:ser>
        <c:ser>
          <c:idx val="3"/>
          <c:order val="2"/>
          <c:tx>
            <c:v>GTL</c:v>
          </c:tx>
          <c:spPr>
            <a:solidFill>
              <a:srgbClr val="CCFFFF"/>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3.3</c:v>
              </c:pt>
            </c:numLit>
          </c:val>
          <c:extLst>
            <c:ext xmlns:c16="http://schemas.microsoft.com/office/drawing/2014/chart" uri="{C3380CC4-5D6E-409C-BE32-E72D297353CC}">
              <c16:uniqueId val="{00000002-1089-4AC2-BB88-E9D7A9AD1D28}"/>
            </c:ext>
          </c:extLst>
        </c:ser>
        <c:ser>
          <c:idx val="2"/>
          <c:order val="3"/>
          <c:tx>
            <c:v>KBL</c:v>
          </c:tx>
          <c:spPr>
            <a:solidFill>
              <a:srgbClr val="CCFFCC"/>
            </a:solidFill>
            <a:ln w="12700">
              <a:solidFill>
                <a:srgbClr val="000000"/>
              </a:solidFill>
              <a:prstDash val="solid"/>
            </a:ln>
          </c:spPr>
          <c:invertIfNegative val="0"/>
          <c:dPt>
            <c:idx val="0"/>
            <c:invertIfNegative val="0"/>
            <c:bubble3D val="0"/>
            <c:spPr>
              <a:solidFill>
                <a:srgbClr val="00FF00"/>
              </a:solidFill>
              <a:ln w="12700">
                <a:solidFill>
                  <a:srgbClr val="000000"/>
                </a:solidFill>
                <a:prstDash val="solid"/>
              </a:ln>
            </c:spPr>
            <c:extLst>
              <c:ext xmlns:c16="http://schemas.microsoft.com/office/drawing/2014/chart" uri="{C3380CC4-5D6E-409C-BE32-E72D297353CC}">
                <c16:uniqueId val="{00000004-1089-4AC2-BB88-E9D7A9AD1D28}"/>
              </c:ext>
            </c:extLst>
          </c:dPt>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2.4</c:v>
              </c:pt>
            </c:numLit>
          </c:val>
          <c:extLst>
            <c:ext xmlns:c16="http://schemas.microsoft.com/office/drawing/2014/chart" uri="{C3380CC4-5D6E-409C-BE32-E72D297353CC}">
              <c16:uniqueId val="{00000005-1089-4AC2-BB88-E9D7A9AD1D28}"/>
            </c:ext>
          </c:extLst>
        </c:ser>
        <c:ser>
          <c:idx val="1"/>
          <c:order val="4"/>
          <c:tx>
            <c:v>BBL</c:v>
          </c:tx>
          <c:spPr>
            <a:solidFill>
              <a:srgbClr val="FFFF99"/>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1.5</c:v>
              </c:pt>
            </c:numLit>
          </c:val>
          <c:extLst>
            <c:ext xmlns:c16="http://schemas.microsoft.com/office/drawing/2014/chart" uri="{C3380CC4-5D6E-409C-BE32-E72D297353CC}">
              <c16:uniqueId val="{00000006-1089-4AC2-BB88-E9D7A9AD1D28}"/>
            </c:ext>
          </c:extLst>
        </c:ser>
        <c:ser>
          <c:idx val="0"/>
          <c:order val="5"/>
          <c:tx>
            <c:v>PRO</c:v>
          </c:tx>
          <c:spPr>
            <a:solidFill>
              <a:srgbClr val="FFFFCC"/>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0.5</c:v>
              </c:pt>
            </c:numLit>
          </c:val>
          <c:extLst>
            <c:ext xmlns:c16="http://schemas.microsoft.com/office/drawing/2014/chart" uri="{C3380CC4-5D6E-409C-BE32-E72D297353CC}">
              <c16:uniqueId val="{00000007-1089-4AC2-BB88-E9D7A9AD1D28}"/>
            </c:ext>
          </c:extLst>
        </c:ser>
        <c:dLbls>
          <c:showLegendKey val="0"/>
          <c:showVal val="0"/>
          <c:showCatName val="0"/>
          <c:showSerName val="1"/>
          <c:showPercent val="0"/>
          <c:showBubbleSize val="0"/>
        </c:dLbls>
        <c:gapWidth val="0"/>
        <c:overlap val="100"/>
        <c:axId val="456738632"/>
        <c:axId val="456735888"/>
      </c:barChart>
      <c:catAx>
        <c:axId val="456738632"/>
        <c:scaling>
          <c:orientation val="minMax"/>
        </c:scaling>
        <c:delete val="1"/>
        <c:axPos val="b"/>
        <c:majorTickMark val="out"/>
        <c:minorTickMark val="none"/>
        <c:tickLblPos val="none"/>
        <c:crossAx val="456735888"/>
        <c:crosses val="autoZero"/>
        <c:auto val="1"/>
        <c:lblAlgn val="ctr"/>
        <c:lblOffset val="100"/>
        <c:noMultiLvlLbl val="0"/>
      </c:catAx>
      <c:valAx>
        <c:axId val="456735888"/>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noFill/>
                <a:latin typeface="Arial"/>
                <a:ea typeface="Arial"/>
                <a:cs typeface="Arial"/>
              </a:defRPr>
            </a:pPr>
            <a:endParaRPr lang="nl-NL"/>
          </a:p>
        </c:txPr>
        <c:crossAx val="456738632"/>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21117037544187E-2"/>
          <c:y val="1.615819252168315E-2"/>
          <c:w val="0.788556309785862"/>
          <c:h val="0.96768361495663369"/>
        </c:manualLayout>
      </c:layout>
      <c:barChart>
        <c:barDir val="col"/>
        <c:grouping val="clustered"/>
        <c:varyColors val="0"/>
        <c:ser>
          <c:idx val="0"/>
          <c:order val="0"/>
          <c:tx>
            <c:strRef>
              <c:f>ONTW.PERSPECTIEF!$K$12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31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ONTW.PERSPECTIEF!$K$13</c:f>
              <c:numCache>
                <c:formatCode>0.0</c:formatCode>
                <c:ptCount val="1"/>
                <c:pt idx="0">
                  <c:v>3.7</c:v>
                </c:pt>
              </c:numCache>
            </c:numRef>
          </c:val>
          <c:extLst>
            <c:ext xmlns:c16="http://schemas.microsoft.com/office/drawing/2014/chart" uri="{C3380CC4-5D6E-409C-BE32-E72D297353CC}">
              <c16:uniqueId val="{00000000-5C69-4280-8DC7-CA9C54A4A38C}"/>
            </c:ext>
          </c:extLst>
        </c:ser>
        <c:ser>
          <c:idx val="1"/>
          <c:order val="1"/>
          <c:tx>
            <c:strRef>
              <c:f>ONTW.PERSPECTIEF!$L$12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ONTW.PERSPECTIEF!$L$13</c:f>
              <c:numCache>
                <c:formatCode>0.0</c:formatCode>
                <c:ptCount val="1"/>
                <c:pt idx="0">
                  <c:v>4.3</c:v>
                </c:pt>
              </c:numCache>
            </c:numRef>
          </c:val>
          <c:extLst>
            <c:ext xmlns:c16="http://schemas.microsoft.com/office/drawing/2014/chart" uri="{C3380CC4-5D6E-409C-BE32-E72D297353CC}">
              <c16:uniqueId val="{00000001-5C69-4280-8DC7-CA9C54A4A38C}"/>
            </c:ext>
          </c:extLst>
        </c:ser>
        <c:ser>
          <c:idx val="2"/>
          <c:order val="2"/>
          <c:tx>
            <c:strRef>
              <c:f>ONTW.PERSPECTIEF!$M$12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ONTW.PERSPECTIEF!$M$13</c:f>
              <c:numCache>
                <c:formatCode>0.0</c:formatCode>
                <c:ptCount val="1"/>
                <c:pt idx="0">
                  <c:v>0</c:v>
                </c:pt>
              </c:numCache>
            </c:numRef>
          </c:val>
          <c:extLst>
            <c:ext xmlns:c16="http://schemas.microsoft.com/office/drawing/2014/chart" uri="{C3380CC4-5D6E-409C-BE32-E72D297353CC}">
              <c16:uniqueId val="{00000002-5C69-4280-8DC7-CA9C54A4A38C}"/>
            </c:ext>
          </c:extLst>
        </c:ser>
        <c:ser>
          <c:idx val="3"/>
          <c:order val="3"/>
          <c:tx>
            <c:strRef>
              <c:f>ONTW.PERSPECTIEF!$N$12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ONTW.PERSPECTIEF!$N$13</c:f>
              <c:numCache>
                <c:formatCode>0.0</c:formatCode>
                <c:ptCount val="1"/>
                <c:pt idx="0">
                  <c:v>4.4000000000000004</c:v>
                </c:pt>
              </c:numCache>
            </c:numRef>
          </c:val>
          <c:extLst>
            <c:ext xmlns:c16="http://schemas.microsoft.com/office/drawing/2014/chart" uri="{C3380CC4-5D6E-409C-BE32-E72D297353CC}">
              <c16:uniqueId val="{00000003-5C69-4280-8DC7-CA9C54A4A38C}"/>
            </c:ext>
          </c:extLst>
        </c:ser>
        <c:ser>
          <c:idx val="4"/>
          <c:order val="4"/>
          <c:tx>
            <c:strRef>
              <c:f>ONTW.PERSPECTIEF!$O$12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ONTW.PERSPECTIEF!$O$13</c:f>
              <c:numCache>
                <c:formatCode>0.0</c:formatCode>
                <c:ptCount val="1"/>
                <c:pt idx="0">
                  <c:v>4.2</c:v>
                </c:pt>
              </c:numCache>
            </c:numRef>
          </c:val>
          <c:extLst>
            <c:ext xmlns:c16="http://schemas.microsoft.com/office/drawing/2014/chart" uri="{C3380CC4-5D6E-409C-BE32-E72D297353CC}">
              <c16:uniqueId val="{00000004-5C69-4280-8DC7-CA9C54A4A38C}"/>
            </c:ext>
          </c:extLst>
        </c:ser>
        <c:ser>
          <c:idx val="5"/>
          <c:order val="5"/>
          <c:tx>
            <c:strRef>
              <c:f>ONTW.PERSPECTIEF!$P$12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ONTW.PERSPECTIEF!$P$13</c:f>
              <c:numCache>
                <c:formatCode>0.0</c:formatCode>
                <c:ptCount val="1"/>
                <c:pt idx="0">
                  <c:v>4.7</c:v>
                </c:pt>
              </c:numCache>
            </c:numRef>
          </c:val>
          <c:extLst>
            <c:ext xmlns:c16="http://schemas.microsoft.com/office/drawing/2014/chart" uri="{C3380CC4-5D6E-409C-BE32-E72D297353CC}">
              <c16:uniqueId val="{00000005-5C69-4280-8DC7-CA9C54A4A38C}"/>
            </c:ext>
          </c:extLst>
        </c:ser>
        <c:ser>
          <c:idx val="6"/>
          <c:order val="6"/>
          <c:tx>
            <c:strRef>
              <c:f>ONTW.PERSPECTIEF!$Q$12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ONTW.PERSPECTIEF!$Q$13</c:f>
              <c:numCache>
                <c:formatCode>0.0</c:formatCode>
                <c:ptCount val="1"/>
                <c:pt idx="0">
                  <c:v>2.9</c:v>
                </c:pt>
              </c:numCache>
            </c:numRef>
          </c:val>
          <c:extLst>
            <c:ext xmlns:c16="http://schemas.microsoft.com/office/drawing/2014/chart" uri="{C3380CC4-5D6E-409C-BE32-E72D297353CC}">
              <c16:uniqueId val="{00000006-5C69-4280-8DC7-CA9C54A4A38C}"/>
            </c:ext>
          </c:extLst>
        </c:ser>
        <c:ser>
          <c:idx val="7"/>
          <c:order val="7"/>
          <c:tx>
            <c:strRef>
              <c:f>ONTW.PERSPECTIEF!$R$12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ONTW.PERSPECTIEF!$R$13</c:f>
              <c:numCache>
                <c:formatCode>0.0</c:formatCode>
                <c:ptCount val="1"/>
                <c:pt idx="0">
                  <c:v>1.7</c:v>
                </c:pt>
              </c:numCache>
            </c:numRef>
          </c:val>
          <c:extLst>
            <c:ext xmlns:c16="http://schemas.microsoft.com/office/drawing/2014/chart" uri="{C3380CC4-5D6E-409C-BE32-E72D297353CC}">
              <c16:uniqueId val="{00000007-5C69-4280-8DC7-CA9C54A4A38C}"/>
            </c:ext>
          </c:extLst>
        </c:ser>
        <c:ser>
          <c:idx val="8"/>
          <c:order val="8"/>
          <c:tx>
            <c:strRef>
              <c:f>ONTW.PERSPECTIEF!$S$12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8-5C69-4280-8DC7-CA9C54A4A38C}"/>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ONTW.PERSPECTIEF!$S$13</c:f>
              <c:numCache>
                <c:formatCode>0.0</c:formatCode>
                <c:ptCount val="1"/>
                <c:pt idx="0">
                  <c:v>4</c:v>
                </c:pt>
              </c:numCache>
            </c:numRef>
          </c:val>
          <c:extLst>
            <c:ext xmlns:c16="http://schemas.microsoft.com/office/drawing/2014/chart" uri="{C3380CC4-5D6E-409C-BE32-E72D297353CC}">
              <c16:uniqueId val="{00000009-5C69-4280-8DC7-CA9C54A4A38C}"/>
            </c:ext>
          </c:extLst>
        </c:ser>
        <c:ser>
          <c:idx val="9"/>
          <c:order val="9"/>
          <c:tx>
            <c:strRef>
              <c:f>ONTW.PERSPECTIEF!$T$12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ONTW.PERSPECTIEF!$T$13</c:f>
              <c:numCache>
                <c:formatCode>0.0</c:formatCode>
                <c:ptCount val="1"/>
                <c:pt idx="0">
                  <c:v>3.7</c:v>
                </c:pt>
              </c:numCache>
            </c:numRef>
          </c:val>
          <c:extLst>
            <c:ext xmlns:c16="http://schemas.microsoft.com/office/drawing/2014/chart" uri="{C3380CC4-5D6E-409C-BE32-E72D297353CC}">
              <c16:uniqueId val="{0000000A-5C69-4280-8DC7-CA9C54A4A38C}"/>
            </c:ext>
          </c:extLst>
        </c:ser>
        <c:ser>
          <c:idx val="10"/>
          <c:order val="10"/>
          <c:tx>
            <c:strRef>
              <c:f>ONTW.PERSPECTIEF!$U$12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ONTW.PERSPECTIEF!$U$13</c:f>
              <c:numCache>
                <c:formatCode>0.0</c:formatCode>
                <c:ptCount val="1"/>
                <c:pt idx="0">
                  <c:v>4.2</c:v>
                </c:pt>
              </c:numCache>
            </c:numRef>
          </c:val>
          <c:extLst>
            <c:ext xmlns:c16="http://schemas.microsoft.com/office/drawing/2014/chart" uri="{C3380CC4-5D6E-409C-BE32-E72D297353CC}">
              <c16:uniqueId val="{0000000B-5C69-4280-8DC7-CA9C54A4A38C}"/>
            </c:ext>
          </c:extLst>
        </c:ser>
        <c:ser>
          <c:idx val="11"/>
          <c:order val="11"/>
          <c:tx>
            <c:strRef>
              <c:f>ONTW.PERSPECTIEF!$V$12</c:f>
              <c:strCache>
                <c:ptCount val="1"/>
                <c:pt idx="0">
                  <c:v>R&amp;W - 2e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ONTW.PERSPECTIEF!$V$13</c:f>
              <c:numCache>
                <c:formatCode>0.0</c:formatCode>
                <c:ptCount val="1"/>
                <c:pt idx="0">
                  <c:v>4.2</c:v>
                </c:pt>
              </c:numCache>
            </c:numRef>
          </c:val>
          <c:extLst>
            <c:ext xmlns:c16="http://schemas.microsoft.com/office/drawing/2014/chart" uri="{C3380CC4-5D6E-409C-BE32-E72D297353CC}">
              <c16:uniqueId val="{0000000C-5C69-4280-8DC7-CA9C54A4A38C}"/>
            </c:ext>
          </c:extLst>
        </c:ser>
        <c:ser>
          <c:idx val="12"/>
          <c:order val="12"/>
          <c:tx>
            <c:strRef>
              <c:f>ONTW.PERSPECTIEF!$W$12</c:f>
              <c:strCache>
                <c:ptCount val="1"/>
                <c:pt idx="0">
                  <c:v>HR - vorig jaar</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ONTW.PERSPECTIEF!$W$13</c:f>
              <c:numCache>
                <c:formatCode>0.0</c:formatCode>
                <c:ptCount val="1"/>
                <c:pt idx="0">
                  <c:v>4.0999999999999996</c:v>
                </c:pt>
              </c:numCache>
            </c:numRef>
          </c:val>
          <c:extLst>
            <c:ext xmlns:c16="http://schemas.microsoft.com/office/drawing/2014/chart" uri="{C3380CC4-5D6E-409C-BE32-E72D297353CC}">
              <c16:uniqueId val="{0000000D-5C69-4280-8DC7-CA9C54A4A38C}"/>
            </c:ext>
          </c:extLst>
        </c:ser>
        <c:ser>
          <c:idx val="13"/>
          <c:order val="13"/>
          <c:tx>
            <c:strRef>
              <c:f>ONTW.PERSPECTIEF!$X$12</c:f>
              <c:strCache>
                <c:ptCount val="1"/>
                <c:pt idx="0">
                  <c:v>HR - 1e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ONTW.PERSPECTIEF!$X$13</c:f>
              <c:numCache>
                <c:formatCode>0.0</c:formatCode>
                <c:ptCount val="1"/>
                <c:pt idx="0">
                  <c:v>4</c:v>
                </c:pt>
              </c:numCache>
            </c:numRef>
          </c:val>
          <c:extLst>
            <c:ext xmlns:c16="http://schemas.microsoft.com/office/drawing/2014/chart" uri="{C3380CC4-5D6E-409C-BE32-E72D297353CC}">
              <c16:uniqueId val="{0000000E-5C69-4280-8DC7-CA9C54A4A38C}"/>
            </c:ext>
          </c:extLst>
        </c:ser>
        <c:ser>
          <c:idx val="14"/>
          <c:order val="14"/>
          <c:tx>
            <c:strRef>
              <c:f>ONTW.PERSPECTIEF!$Y$12</c:f>
              <c:strCache>
                <c:ptCount val="1"/>
                <c:pt idx="0">
                  <c:v>HR - 2e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ONTW.PERSPECTIEF!$Y$13</c:f>
              <c:numCache>
                <c:formatCode>0.0</c:formatCode>
                <c:ptCount val="1"/>
                <c:pt idx="0">
                  <c:v>4.2</c:v>
                </c:pt>
              </c:numCache>
            </c:numRef>
          </c:val>
          <c:extLst>
            <c:ext xmlns:c16="http://schemas.microsoft.com/office/drawing/2014/chart" uri="{C3380CC4-5D6E-409C-BE32-E72D297353CC}">
              <c16:uniqueId val="{0000000F-5C69-4280-8DC7-CA9C54A4A38C}"/>
            </c:ext>
          </c:extLst>
        </c:ser>
        <c:dLbls>
          <c:dLblPos val="inEnd"/>
          <c:showLegendKey val="0"/>
          <c:showVal val="1"/>
          <c:showCatName val="0"/>
          <c:showSerName val="0"/>
          <c:showPercent val="0"/>
          <c:showBubbleSize val="0"/>
        </c:dLbls>
        <c:gapWidth val="10"/>
        <c:overlap val="-2"/>
        <c:axId val="456740200"/>
        <c:axId val="456737848"/>
      </c:barChart>
      <c:barChart>
        <c:barDir val="col"/>
        <c:grouping val="clustered"/>
        <c:varyColors val="0"/>
        <c:ser>
          <c:idx val="15"/>
          <c:order val="15"/>
          <c:tx>
            <c:strRef>
              <c:f>ONTW.PERSPECTIEF!$Z$12</c:f>
              <c:strCache>
                <c:ptCount val="1"/>
                <c:pt idx="0">
                  <c:v>gemiddelde-LVS</c:v>
                </c:pt>
              </c:strCache>
            </c:strRef>
          </c:tx>
          <c:spPr>
            <a:noFill/>
            <a:ln w="76200">
              <a:solidFill>
                <a:srgbClr val="002060"/>
              </a:solidFill>
            </a:ln>
            <a:effectLst/>
          </c:spPr>
          <c:invertIfNegative val="0"/>
          <c:dPt>
            <c:idx val="0"/>
            <c:invertIfNegative val="0"/>
            <c:bubble3D val="0"/>
            <c:spPr>
              <a:noFill/>
              <a:ln w="127000">
                <a:solidFill>
                  <a:srgbClr val="002060"/>
                </a:solidFill>
              </a:ln>
              <a:effectLst/>
            </c:spPr>
            <c:extLst>
              <c:ext xmlns:c16="http://schemas.microsoft.com/office/drawing/2014/chart" uri="{C3380CC4-5D6E-409C-BE32-E72D297353CC}">
                <c16:uniqueId val="{00000011-5C69-4280-8DC7-CA9C54A4A38C}"/>
              </c:ext>
            </c:extLst>
          </c:dPt>
          <c:dLbls>
            <c:spPr>
              <a:solidFill>
                <a:srgbClr val="00206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ONTW.PERSPECTIEF!$Z$13</c:f>
              <c:numCache>
                <c:formatCode>0.0</c:formatCode>
                <c:ptCount val="1"/>
                <c:pt idx="0">
                  <c:v>3.8785714285714294</c:v>
                </c:pt>
              </c:numCache>
            </c:numRef>
          </c:val>
          <c:extLst>
            <c:ext xmlns:c16="http://schemas.microsoft.com/office/drawing/2014/chart" uri="{C3380CC4-5D6E-409C-BE32-E72D297353CC}">
              <c16:uniqueId val="{00000012-5C69-4280-8DC7-CA9C54A4A38C}"/>
            </c:ext>
          </c:extLst>
        </c:ser>
        <c:ser>
          <c:idx val="16"/>
          <c:order val="16"/>
          <c:tx>
            <c:strRef>
              <c:f>ONTW.PERSPECTIEF!$AA$12</c:f>
              <c:strCache>
                <c:ptCount val="1"/>
                <c:pt idx="0">
                  <c:v>aanleg</c:v>
                </c:pt>
              </c:strCache>
            </c:strRef>
          </c:tx>
          <c:spPr>
            <a:solidFill>
              <a:schemeClr val="accent5">
                <a:lumMod val="80000"/>
                <a:lumOff val="20000"/>
              </a:schemeClr>
            </a:solidFill>
            <a:ln w="127000">
              <a:solidFill>
                <a:srgbClr val="FFC000"/>
              </a:solidFill>
            </a:ln>
            <a:effectLst/>
          </c:spPr>
          <c:invertIfNegative val="0"/>
          <c:dPt>
            <c:idx val="0"/>
            <c:invertIfNegative val="0"/>
            <c:bubble3D val="0"/>
            <c:spPr>
              <a:noFill/>
              <a:ln w="127000">
                <a:solidFill>
                  <a:srgbClr val="FFC000"/>
                </a:solidFill>
              </a:ln>
              <a:effectLst/>
            </c:spPr>
            <c:extLst>
              <c:ext xmlns:c16="http://schemas.microsoft.com/office/drawing/2014/chart" uri="{C3380CC4-5D6E-409C-BE32-E72D297353CC}">
                <c16:uniqueId val="{00000014-5C69-4280-8DC7-CA9C54A4A38C}"/>
              </c:ext>
            </c:extLst>
          </c:dPt>
          <c:dLbls>
            <c:delete val="1"/>
          </c:dLbls>
          <c:val>
            <c:numRef>
              <c:f>ONTW.PERSPECTIEF!$AA$13</c:f>
              <c:numCache>
                <c:formatCode>0.0</c:formatCode>
                <c:ptCount val="1"/>
                <c:pt idx="0">
                  <c:v>1.75</c:v>
                </c:pt>
              </c:numCache>
            </c:numRef>
          </c:val>
          <c:extLst>
            <c:ext xmlns:c16="http://schemas.microsoft.com/office/drawing/2014/chart" uri="{C3380CC4-5D6E-409C-BE32-E72D297353CC}">
              <c16:uniqueId val="{00000015-5C69-4280-8DC7-CA9C54A4A38C}"/>
            </c:ext>
          </c:extLst>
        </c:ser>
        <c:dLbls>
          <c:dLblPos val="inEnd"/>
          <c:showLegendKey val="0"/>
          <c:showVal val="1"/>
          <c:showCatName val="0"/>
          <c:showSerName val="0"/>
          <c:showPercent val="0"/>
          <c:showBubbleSize val="0"/>
        </c:dLbls>
        <c:gapWidth val="1"/>
        <c:overlap val="100"/>
        <c:axId val="456736672"/>
        <c:axId val="456739024"/>
      </c:barChart>
      <c:catAx>
        <c:axId val="456740200"/>
        <c:scaling>
          <c:orientation val="minMax"/>
        </c:scaling>
        <c:delete val="1"/>
        <c:axPos val="b"/>
        <c:numFmt formatCode="General" sourceLinked="1"/>
        <c:majorTickMark val="none"/>
        <c:minorTickMark val="none"/>
        <c:tickLblPos val="nextTo"/>
        <c:crossAx val="456737848"/>
        <c:crosses val="autoZero"/>
        <c:auto val="1"/>
        <c:lblAlgn val="ctr"/>
        <c:lblOffset val="100"/>
        <c:noMultiLvlLbl val="0"/>
      </c:catAx>
      <c:valAx>
        <c:axId val="45673784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nl-NL"/>
          </a:p>
        </c:txPr>
        <c:crossAx val="456740200"/>
        <c:crosses val="autoZero"/>
        <c:crossBetween val="between"/>
      </c:valAx>
      <c:valAx>
        <c:axId val="456739024"/>
        <c:scaling>
          <c:orientation val="minMax"/>
        </c:scaling>
        <c:delete val="1"/>
        <c:axPos val="r"/>
        <c:numFmt formatCode="0.0" sourceLinked="1"/>
        <c:majorTickMark val="out"/>
        <c:minorTickMark val="none"/>
        <c:tickLblPos val="nextTo"/>
        <c:crossAx val="456736672"/>
        <c:crosses val="max"/>
        <c:crossBetween val="between"/>
      </c:valAx>
      <c:catAx>
        <c:axId val="456736672"/>
        <c:scaling>
          <c:orientation val="minMax"/>
        </c:scaling>
        <c:delete val="1"/>
        <c:axPos val="b"/>
        <c:majorTickMark val="out"/>
        <c:minorTickMark val="none"/>
        <c:tickLblPos val="nextTo"/>
        <c:crossAx val="456739024"/>
        <c:crosses val="autoZero"/>
        <c:auto val="1"/>
        <c:lblAlgn val="ctr"/>
        <c:lblOffset val="100"/>
        <c:noMultiLvlLbl val="0"/>
      </c:catAx>
      <c:spPr>
        <a:noFill/>
        <a:ln>
          <a:noFill/>
        </a:ln>
        <a:effectLst/>
      </c:spPr>
    </c:plotArea>
    <c:legend>
      <c:legendPos val="r"/>
      <c:layout>
        <c:manualLayout>
          <c:xMode val="edge"/>
          <c:yMode val="edge"/>
          <c:x val="0.84219780523423249"/>
          <c:y val="0.15560767353372496"/>
          <c:w val="0.15248522115086521"/>
          <c:h val="0.82539482607041659"/>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57810630977595E-2"/>
          <c:y val="8.7732974782223111E-2"/>
          <c:w val="0.7928644700132178"/>
          <c:h val="0.7597860686609238"/>
        </c:manualLayout>
      </c:layout>
      <c:barChart>
        <c:barDir val="col"/>
        <c:grouping val="clustered"/>
        <c:varyColors val="0"/>
        <c:ser>
          <c:idx val="0"/>
          <c:order val="0"/>
          <c:spPr>
            <a:gradFill>
              <a:gsLst>
                <a:gs pos="0">
                  <a:srgbClr val="9933FF">
                    <a:shade val="30000"/>
                    <a:satMod val="115000"/>
                  </a:srgbClr>
                </a:gs>
                <a:gs pos="50000">
                  <a:srgbClr val="9933FF">
                    <a:shade val="67500"/>
                    <a:satMod val="115000"/>
                  </a:srgbClr>
                </a:gs>
                <a:gs pos="100000">
                  <a:srgbClr val="9933FF">
                    <a:shade val="100000"/>
                    <a:satMod val="115000"/>
                  </a:srgbClr>
                </a:gs>
              </a:gsLst>
              <a:lin ang="0" scaled="1"/>
            </a:gradFill>
            <a:ln w="9525">
              <a:solidFill>
                <a:schemeClr val="bg1"/>
              </a:solidFill>
            </a:ln>
            <a:effectLst/>
          </c:spPr>
          <c:invertIfNegative val="0"/>
          <c:dPt>
            <c:idx val="0"/>
            <c:invertIfNegative val="0"/>
            <c:bubble3D val="0"/>
            <c:spPr>
              <a:gradFill>
                <a:gsLst>
                  <a:gs pos="0">
                    <a:schemeClr val="bg1">
                      <a:lumMod val="50000"/>
                    </a:schemeClr>
                  </a:gs>
                  <a:gs pos="50000">
                    <a:srgbClr val="FFFF00"/>
                  </a:gs>
                  <a:gs pos="100000">
                    <a:srgbClr val="FFFF00"/>
                  </a:gs>
                </a:gsLst>
                <a:lin ang="0" scaled="1"/>
              </a:gradFill>
              <a:ln w="9525">
                <a:solidFill>
                  <a:schemeClr val="bg1"/>
                </a:solidFill>
              </a:ln>
              <a:effectLst/>
            </c:spPr>
            <c:extLst>
              <c:ext xmlns:c16="http://schemas.microsoft.com/office/drawing/2014/chart" uri="{C3380CC4-5D6E-409C-BE32-E72D297353CC}">
                <c16:uniqueId val="{00000001-7170-4FFF-99FC-3F5B5A8E1FDF}"/>
              </c:ext>
            </c:extLst>
          </c:dPt>
          <c:dPt>
            <c:idx val="1"/>
            <c:invertIfNegative val="0"/>
            <c:bubble3D val="0"/>
            <c:spPr>
              <a:gradFill>
                <a:gsLst>
                  <a:gs pos="0">
                    <a:schemeClr val="bg1">
                      <a:lumMod val="50000"/>
                    </a:schemeClr>
                  </a:gs>
                  <a:gs pos="50000">
                    <a:srgbClr val="FFFF00"/>
                  </a:gs>
                  <a:gs pos="100000">
                    <a:srgbClr val="FFFF00"/>
                  </a:gs>
                </a:gsLst>
                <a:lin ang="0" scaled="1"/>
              </a:gradFill>
              <a:ln w="9525">
                <a:solidFill>
                  <a:schemeClr val="bg1"/>
                </a:solidFill>
              </a:ln>
              <a:effectLst/>
            </c:spPr>
            <c:extLst>
              <c:ext xmlns:c16="http://schemas.microsoft.com/office/drawing/2014/chart" uri="{C3380CC4-5D6E-409C-BE32-E72D297353CC}">
                <c16:uniqueId val="{00000003-7170-4FFF-99FC-3F5B5A8E1FDF}"/>
              </c:ext>
            </c:extLst>
          </c:dPt>
          <c:dPt>
            <c:idx val="2"/>
            <c:invertIfNegative val="0"/>
            <c:bubble3D val="0"/>
            <c:spPr>
              <a:gradFill>
                <a:gsLst>
                  <a:gs pos="0">
                    <a:schemeClr val="bg1">
                      <a:lumMod val="50000"/>
                    </a:schemeClr>
                  </a:gs>
                  <a:gs pos="50000">
                    <a:srgbClr val="FFFF00"/>
                  </a:gs>
                  <a:gs pos="100000">
                    <a:srgbClr val="FFFF00"/>
                  </a:gs>
                </a:gsLst>
                <a:lin ang="0" scaled="1"/>
              </a:gradFill>
              <a:ln w="9525">
                <a:solidFill>
                  <a:schemeClr val="bg1"/>
                </a:solidFill>
              </a:ln>
              <a:effectLst/>
            </c:spPr>
            <c:extLst>
              <c:ext xmlns:c16="http://schemas.microsoft.com/office/drawing/2014/chart" uri="{C3380CC4-5D6E-409C-BE32-E72D297353CC}">
                <c16:uniqueId val="{00000005-7170-4FFF-99FC-3F5B5A8E1FDF}"/>
              </c:ext>
            </c:extLst>
          </c:dPt>
          <c:dPt>
            <c:idx val="6"/>
            <c:invertIfNegative val="0"/>
            <c:bubble3D val="0"/>
            <c:spPr>
              <a:gradFill>
                <a:gsLst>
                  <a:gs pos="0">
                    <a:srgbClr val="00B050"/>
                  </a:gs>
                  <a:gs pos="50000">
                    <a:srgbClr val="00B050"/>
                  </a:gs>
                  <a:gs pos="100000">
                    <a:srgbClr val="00FF00"/>
                  </a:gs>
                </a:gsLst>
                <a:lin ang="0" scaled="1"/>
              </a:gradFill>
              <a:ln w="9525">
                <a:solidFill>
                  <a:schemeClr val="bg1"/>
                </a:solidFill>
              </a:ln>
              <a:effectLst/>
            </c:spPr>
            <c:extLst>
              <c:ext xmlns:c16="http://schemas.microsoft.com/office/drawing/2014/chart" uri="{C3380CC4-5D6E-409C-BE32-E72D297353CC}">
                <c16:uniqueId val="{00000007-7170-4FFF-99FC-3F5B5A8E1FDF}"/>
              </c:ext>
            </c:extLst>
          </c:dPt>
          <c:dPt>
            <c:idx val="7"/>
            <c:invertIfNegative val="0"/>
            <c:bubble3D val="0"/>
            <c:spPr>
              <a:gradFill>
                <a:gsLst>
                  <a:gs pos="0">
                    <a:srgbClr val="00B050"/>
                  </a:gs>
                  <a:gs pos="50000">
                    <a:srgbClr val="00B050"/>
                  </a:gs>
                  <a:gs pos="100000">
                    <a:srgbClr val="00FF00"/>
                  </a:gs>
                </a:gsLst>
                <a:lin ang="0" scaled="1"/>
              </a:gradFill>
              <a:ln w="9525">
                <a:solidFill>
                  <a:schemeClr val="bg1"/>
                </a:solidFill>
              </a:ln>
              <a:effectLst/>
            </c:spPr>
            <c:extLst>
              <c:ext xmlns:c16="http://schemas.microsoft.com/office/drawing/2014/chart" uri="{C3380CC4-5D6E-409C-BE32-E72D297353CC}">
                <c16:uniqueId val="{00000009-7170-4FFF-99FC-3F5B5A8E1FDF}"/>
              </c:ext>
            </c:extLst>
          </c:dPt>
          <c:dPt>
            <c:idx val="8"/>
            <c:invertIfNegative val="0"/>
            <c:bubble3D val="0"/>
            <c:spPr>
              <a:gradFill>
                <a:gsLst>
                  <a:gs pos="0">
                    <a:schemeClr val="bg1">
                      <a:lumMod val="50000"/>
                    </a:schemeClr>
                  </a:gs>
                  <a:gs pos="50000">
                    <a:srgbClr val="00B050"/>
                  </a:gs>
                  <a:gs pos="100000">
                    <a:srgbClr val="00FF00"/>
                  </a:gs>
                </a:gsLst>
                <a:lin ang="0" scaled="1"/>
              </a:gradFill>
              <a:ln w="9525">
                <a:solidFill>
                  <a:schemeClr val="bg1"/>
                </a:solidFill>
              </a:ln>
              <a:effectLst/>
            </c:spPr>
            <c:extLst>
              <c:ext xmlns:c16="http://schemas.microsoft.com/office/drawing/2014/chart" uri="{C3380CC4-5D6E-409C-BE32-E72D297353CC}">
                <c16:uniqueId val="{0000000B-7170-4FFF-99FC-3F5B5A8E1FDF}"/>
              </c:ext>
            </c:extLst>
          </c:dPt>
          <c:dPt>
            <c:idx val="9"/>
            <c:invertIfNegative val="0"/>
            <c:bubble3D val="0"/>
            <c:spPr>
              <a:gradFill>
                <a:gsLst>
                  <a:gs pos="0">
                    <a:srgbClr val="A50021"/>
                  </a:gs>
                  <a:gs pos="50000">
                    <a:srgbClr val="FF0000"/>
                  </a:gs>
                  <a:gs pos="100000">
                    <a:srgbClr val="FF0000"/>
                  </a:gs>
                </a:gsLst>
                <a:lin ang="0" scaled="1"/>
              </a:gradFill>
              <a:ln w="9525">
                <a:solidFill>
                  <a:schemeClr val="bg1"/>
                </a:solidFill>
              </a:ln>
              <a:effectLst/>
            </c:spPr>
            <c:extLst>
              <c:ext xmlns:c16="http://schemas.microsoft.com/office/drawing/2014/chart" uri="{C3380CC4-5D6E-409C-BE32-E72D297353CC}">
                <c16:uniqueId val="{0000000D-7170-4FFF-99FC-3F5B5A8E1FDF}"/>
              </c:ext>
            </c:extLst>
          </c:dPt>
          <c:dPt>
            <c:idx val="10"/>
            <c:invertIfNegative val="0"/>
            <c:bubble3D val="0"/>
            <c:spPr>
              <a:gradFill>
                <a:gsLst>
                  <a:gs pos="0">
                    <a:srgbClr val="A50021"/>
                  </a:gs>
                  <a:gs pos="50000">
                    <a:srgbClr val="FF0000"/>
                  </a:gs>
                  <a:gs pos="100000">
                    <a:srgbClr val="FF0000"/>
                  </a:gs>
                </a:gsLst>
                <a:lin ang="0" scaled="1"/>
              </a:gradFill>
              <a:ln w="9525">
                <a:solidFill>
                  <a:schemeClr val="bg1"/>
                </a:solidFill>
              </a:ln>
              <a:effectLst/>
            </c:spPr>
            <c:extLst>
              <c:ext xmlns:c16="http://schemas.microsoft.com/office/drawing/2014/chart" uri="{C3380CC4-5D6E-409C-BE32-E72D297353CC}">
                <c16:uniqueId val="{0000000F-7170-4FFF-99FC-3F5B5A8E1FDF}"/>
              </c:ext>
            </c:extLst>
          </c:dPt>
          <c:dPt>
            <c:idx val="11"/>
            <c:invertIfNegative val="0"/>
            <c:bubble3D val="0"/>
            <c:spPr>
              <a:gradFill>
                <a:gsLst>
                  <a:gs pos="0">
                    <a:srgbClr val="A50021"/>
                  </a:gs>
                  <a:gs pos="50000">
                    <a:srgbClr val="FF0000"/>
                  </a:gs>
                  <a:gs pos="100000">
                    <a:srgbClr val="FF0000"/>
                  </a:gs>
                </a:gsLst>
                <a:lin ang="0" scaled="1"/>
              </a:gradFill>
              <a:ln w="9525">
                <a:solidFill>
                  <a:schemeClr val="bg1"/>
                </a:solidFill>
              </a:ln>
              <a:effectLst/>
            </c:spPr>
            <c:extLst>
              <c:ext xmlns:c16="http://schemas.microsoft.com/office/drawing/2014/chart" uri="{C3380CC4-5D6E-409C-BE32-E72D297353CC}">
                <c16:uniqueId val="{00000011-7170-4FFF-99FC-3F5B5A8E1FDF}"/>
              </c:ext>
            </c:extLst>
          </c:dPt>
          <c:cat>
            <c:strRef>
              <c:f>ONTW.PERSPECTIEF!$J$53:$U$53</c:f>
              <c:strCache>
                <c:ptCount val="10"/>
                <c:pt idx="0">
                  <c:v>Technisch lezen</c:v>
                </c:pt>
                <c:pt idx="3">
                  <c:v>Spellen</c:v>
                </c:pt>
                <c:pt idx="6">
                  <c:v>Begrijpend lezen</c:v>
                </c:pt>
                <c:pt idx="9">
                  <c:v>Rekenen</c:v>
                </c:pt>
              </c:strCache>
            </c:strRef>
          </c:cat>
          <c:val>
            <c:numRef>
              <c:f>ONTW.PERSPECTIEF!$J$54:$U$54</c:f>
              <c:numCache>
                <c:formatCode>0.0</c:formatCode>
                <c:ptCount val="12"/>
                <c:pt idx="0">
                  <c:v>1</c:v>
                </c:pt>
                <c:pt idx="1">
                  <c:v>1</c:v>
                </c:pt>
                <c:pt idx="2">
                  <c:v>0</c:v>
                </c:pt>
                <c:pt idx="3">
                  <c:v>4</c:v>
                </c:pt>
                <c:pt idx="4">
                  <c:v>4</c:v>
                </c:pt>
                <c:pt idx="5">
                  <c:v>0</c:v>
                </c:pt>
                <c:pt idx="6">
                  <c:v>4</c:v>
                </c:pt>
                <c:pt idx="7">
                  <c:v>4</c:v>
                </c:pt>
                <c:pt idx="8">
                  <c:v>0</c:v>
                </c:pt>
                <c:pt idx="9">
                  <c:v>2</c:v>
                </c:pt>
                <c:pt idx="10">
                  <c:v>2</c:v>
                </c:pt>
                <c:pt idx="11">
                  <c:v>0</c:v>
                </c:pt>
              </c:numCache>
            </c:numRef>
          </c:val>
          <c:extLst>
            <c:ext xmlns:c16="http://schemas.microsoft.com/office/drawing/2014/chart" uri="{C3380CC4-5D6E-409C-BE32-E72D297353CC}">
              <c16:uniqueId val="{00000012-7170-4FFF-99FC-3F5B5A8E1FDF}"/>
            </c:ext>
          </c:extLst>
        </c:ser>
        <c:dLbls>
          <c:showLegendKey val="0"/>
          <c:showVal val="0"/>
          <c:showCatName val="0"/>
          <c:showSerName val="0"/>
          <c:showPercent val="0"/>
          <c:showBubbleSize val="0"/>
        </c:dLbls>
        <c:gapWidth val="1"/>
        <c:overlap val="-27"/>
        <c:axId val="2083370063"/>
        <c:axId val="2083368399"/>
      </c:barChart>
      <c:catAx>
        <c:axId val="2083370063"/>
        <c:scaling>
          <c:orientation val="minMax"/>
        </c:scaling>
        <c:delete val="1"/>
        <c:axPos val="b"/>
        <c:numFmt formatCode="General" sourceLinked="1"/>
        <c:majorTickMark val="none"/>
        <c:minorTickMark val="none"/>
        <c:tickLblPos val="nextTo"/>
        <c:crossAx val="2083368399"/>
        <c:crosses val="autoZero"/>
        <c:auto val="1"/>
        <c:lblAlgn val="ctr"/>
        <c:lblOffset val="100"/>
        <c:noMultiLvlLbl val="0"/>
      </c:catAx>
      <c:valAx>
        <c:axId val="2083368399"/>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crossAx val="2083370063"/>
        <c:crossesAt val="1"/>
        <c:crossBetween val="between"/>
        <c:majorUnit val="1"/>
      </c:valAx>
      <c:spPr>
        <a:noFill/>
        <a:ln w="25400">
          <a:noFill/>
        </a:ln>
        <a:effectLst/>
      </c:spPr>
    </c:plotArea>
    <c:legend>
      <c:legendPos val="b"/>
      <c:legendEntry>
        <c:idx val="0"/>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egendEntry>
        <c:idx val="3"/>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egendEntry>
        <c:idx val="6"/>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egendEntry>
        <c:idx val="9"/>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ayout>
        <c:manualLayout>
          <c:xMode val="edge"/>
          <c:yMode val="edge"/>
          <c:x val="3.7305700351578597E-2"/>
          <c:y val="0.87115262287434814"/>
          <c:w val="0.78615126237552269"/>
          <c:h val="0.1010270750833752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Z$10" lockText="1" noThreeD="1"/>
</file>

<file path=xl/ctrlProps/ctrlProp10.xml><?xml version="1.0" encoding="utf-8"?>
<formControlPr xmlns="http://schemas.microsoft.com/office/spreadsheetml/2009/9/main" objectType="CheckBox" fmlaLink="$Z$17"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checked="Checked" firstButton="1" fmlaLink="$H$29"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checked="Checked" firstButton="1" fmlaLink="$H$30"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Z$19" lockText="1" noThreeD="1"/>
</file>

<file path=xl/ctrlProps/ctrlProp110.xml><?xml version="1.0" encoding="utf-8"?>
<formControlPr xmlns="http://schemas.microsoft.com/office/spreadsheetml/2009/9/main" objectType="Radio" checked="Checked" firstButton="1" fmlaLink="$H$31"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checked="Checked" firstButton="1" fmlaLink="$H$32"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checked="Checked" firstButton="1" fmlaLink="$H$33"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fmlaLink="$Z$20"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checked="Checked" firstButton="1" fmlaLink="$H$34"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checked="Checked" firstButton="1" fmlaLink="$H$35"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fmlaLink="$Z$22" lockText="1" noThreeD="1"/>
</file>

<file path=xl/ctrlProps/ctrlProp130.xml><?xml version="1.0" encoding="utf-8"?>
<formControlPr xmlns="http://schemas.microsoft.com/office/spreadsheetml/2009/9/main" objectType="Radio" checked="Checked" firstButton="1" fmlaLink="$H$36"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checked="Checked" firstButton="1" fmlaLink="$H$37"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checked="Checked" firstButton="1" fmlaLink="$H$38"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fmlaLink="$Z$21"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checked="Checked" firstButton="1" fmlaLink="$H$39"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checked="Checked" firstButton="1" fmlaLink="$H$40"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fmlaLink="$Z$23" lockText="1" noThreeD="1"/>
</file>

<file path=xl/ctrlProps/ctrlProp150.xml><?xml version="1.0" encoding="utf-8"?>
<formControlPr xmlns="http://schemas.microsoft.com/office/spreadsheetml/2009/9/main" objectType="Radio" checked="Checked" firstButton="1" fmlaLink="$H$41"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checked="Checked" firstButton="1" fmlaLink="$H$42"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checked="Checked" firstButton="1" fmlaLink="$H$43"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Z$24"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checked="Checked" firstButton="1" fmlaLink="$H$44"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checked="Checked" firstButton="1" fmlaLink="$H$45"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fmlaLink="$Z$26" lockText="1" noThreeD="1"/>
</file>

<file path=xl/ctrlProps/ctrlProp170.xml><?xml version="1.0" encoding="utf-8"?>
<formControlPr xmlns="http://schemas.microsoft.com/office/spreadsheetml/2009/9/main" objectType="Radio" checked="Checked" firstButton="1" fmlaLink="$H$46"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checked="Checked" firstButton="1" fmlaLink="$H$47"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checked="Checked" firstButton="1" fmlaLink="$H$48"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Z$25"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checked="Checked" firstButton="1" fmlaLink="$H$49"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Z$27"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CheckBox" fmlaLink="$Z$9" lockText="1" noThreeD="1"/>
</file>

<file path=xl/ctrlProps/ctrlProp20.xml><?xml version="1.0" encoding="utf-8"?>
<formControlPr xmlns="http://schemas.microsoft.com/office/spreadsheetml/2009/9/main" objectType="CheckBox" fmlaLink="$Z$28"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Z$30"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CheckBox" fmlaLink="$Z$29"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3.xml><?xml version="1.0" encoding="utf-8"?>
<formControlPr xmlns="http://schemas.microsoft.com/office/spreadsheetml/2009/9/main" objectType="CheckBox" fmlaLink="$Z$31" lockText="1" noThreeD="1"/>
</file>

<file path=xl/ctrlProps/ctrlProp24.xml><?xml version="1.0" encoding="utf-8"?>
<formControlPr xmlns="http://schemas.microsoft.com/office/spreadsheetml/2009/9/main" objectType="CheckBox" fmlaLink="$Z$32" lockText="1" noThreeD="1"/>
</file>

<file path=xl/ctrlProps/ctrlProp25.xml><?xml version="1.0" encoding="utf-8"?>
<formControlPr xmlns="http://schemas.microsoft.com/office/spreadsheetml/2009/9/main" objectType="CheckBox" fmlaLink="$Z$34" lockText="1" noThreeD="1"/>
</file>

<file path=xl/ctrlProps/ctrlProp26.xml><?xml version="1.0" encoding="utf-8"?>
<formControlPr xmlns="http://schemas.microsoft.com/office/spreadsheetml/2009/9/main" objectType="CheckBox" fmlaLink="$Z$33" lockText="1" noThreeD="1"/>
</file>

<file path=xl/ctrlProps/ctrlProp27.xml><?xml version="1.0" encoding="utf-8"?>
<formControlPr xmlns="http://schemas.microsoft.com/office/spreadsheetml/2009/9/main" objectType="CheckBox" fmlaLink="$Z$35" lockText="1" noThreeD="1"/>
</file>

<file path=xl/ctrlProps/ctrlProp28.xml><?xml version="1.0" encoding="utf-8"?>
<formControlPr xmlns="http://schemas.microsoft.com/office/spreadsheetml/2009/9/main" objectType="CheckBox" fmlaLink="$Z$36" lockText="1" noThreeD="1"/>
</file>

<file path=xl/ctrlProps/ctrlProp29.xml><?xml version="1.0" encoding="utf-8"?>
<formControlPr xmlns="http://schemas.microsoft.com/office/spreadsheetml/2009/9/main" objectType="CheckBox" fmlaLink="$Z$38" lockText="1" noThreeD="1"/>
</file>

<file path=xl/ctrlProps/ctrlProp3.xml><?xml version="1.0" encoding="utf-8"?>
<formControlPr xmlns="http://schemas.microsoft.com/office/spreadsheetml/2009/9/main" objectType="CheckBox" fmlaLink="$Z$11" lockText="1" noThreeD="1"/>
</file>

<file path=xl/ctrlProps/ctrlProp30.xml><?xml version="1.0" encoding="utf-8"?>
<formControlPr xmlns="http://schemas.microsoft.com/office/spreadsheetml/2009/9/main" objectType="CheckBox" fmlaLink="$Z$37" lockText="1" noThreeD="1"/>
</file>

<file path=xl/ctrlProps/ctrlProp31.xml><?xml version="1.0" encoding="utf-8"?>
<formControlPr xmlns="http://schemas.microsoft.com/office/spreadsheetml/2009/9/main" objectType="CheckBox" fmlaLink="$Z$39" lockText="1" noThreeD="1"/>
</file>

<file path=xl/ctrlProps/ctrlProp32.xml><?xml version="1.0" encoding="utf-8"?>
<formControlPr xmlns="http://schemas.microsoft.com/office/spreadsheetml/2009/9/main" objectType="CheckBox" fmlaLink="$Z$40" lockText="1" noThreeD="1"/>
</file>

<file path=xl/ctrlProps/ctrlProp33.xml><?xml version="1.0" encoding="utf-8"?>
<formControlPr xmlns="http://schemas.microsoft.com/office/spreadsheetml/2009/9/main" objectType="CheckBox" fmlaLink="$Z$42" lockText="1" noThreeD="1"/>
</file>

<file path=xl/ctrlProps/ctrlProp34.xml><?xml version="1.0" encoding="utf-8"?>
<formControlPr xmlns="http://schemas.microsoft.com/office/spreadsheetml/2009/9/main" objectType="CheckBox" fmlaLink="$Z$41" lockText="1" noThreeD="1"/>
</file>

<file path=xl/ctrlProps/ctrlProp35.xml><?xml version="1.0" encoding="utf-8"?>
<formControlPr xmlns="http://schemas.microsoft.com/office/spreadsheetml/2009/9/main" objectType="CheckBox" fmlaLink="$Z$7" lockText="1" noThreeD="1"/>
</file>

<file path=xl/ctrlProps/ctrlProp36.xml><?xml version="1.0" encoding="utf-8"?>
<formControlPr xmlns="http://schemas.microsoft.com/office/spreadsheetml/2009/9/main" objectType="CheckBox" fmlaLink="$Z$8" lockText="1" noThreeD="1"/>
</file>

<file path=xl/ctrlProps/ctrlProp37.xml><?xml version="1.0" encoding="utf-8"?>
<formControlPr xmlns="http://schemas.microsoft.com/office/spreadsheetml/2009/9/main" objectType="Radio" firstButton="1" fmlaLink="$AB$8"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CheckBox" checked="Checked" fmlaLink="$Z$12"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H$14" lockText="1"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checked="Checked" firstButton="1" fmlaLink="$H$15"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Z$14" lockText="1" noThreeD="1"/>
</file>

<file path=xl/ctrlProps/ctrlProp50.xml><?xml version="1.0" encoding="utf-8"?>
<formControlPr xmlns="http://schemas.microsoft.com/office/spreadsheetml/2009/9/main" objectType="Radio" checked="Checked" firstButton="1" fmlaLink="$H$16"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checked="Checked" firstButton="1" fmlaLink="$H$17"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checked="Checked" firstButton="1" fmlaLink="$H$18"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CheckBox" fmlaLink="$Z$13"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firstButton="1" fmlaLink="$H$19" lockText="1" noThreeD="1"/>
</file>

<file path=xl/ctrlProps/ctrlProp63.xml><?xml version="1.0" encoding="utf-8"?>
<formControlPr xmlns="http://schemas.microsoft.com/office/spreadsheetml/2009/9/main" objectType="Radio" checked="Checked"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checked="Checked" firstButton="1" fmlaLink="$H$20"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Z$15" lockText="1" noThreeD="1"/>
</file>

<file path=xl/ctrlProps/ctrlProp70.xml><?xml version="1.0" encoding="utf-8"?>
<formControlPr xmlns="http://schemas.microsoft.com/office/spreadsheetml/2009/9/main" objectType="Radio" checked="Checked" firstButton="1" fmlaLink="$H$21"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checked="Checked" firstButton="1" fmlaLink="$H$22"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firstButton="1" fmlaLink="$H$23" lockText="1" noThreeD="1"/>
</file>

<file path=xl/ctrlProps/ctrlProp79.xml><?xml version="1.0" encoding="utf-8"?>
<formControlPr xmlns="http://schemas.microsoft.com/office/spreadsheetml/2009/9/main" objectType="Radio" checked="Checked" lockText="1" noThreeD="1"/>
</file>

<file path=xl/ctrlProps/ctrlProp8.xml><?xml version="1.0" encoding="utf-8"?>
<formControlPr xmlns="http://schemas.microsoft.com/office/spreadsheetml/2009/9/main" objectType="CheckBox" fmlaLink="$Z$16"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firstButton="1" fmlaLink="$H$24"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checked="Checked"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checked="Checked" firstButton="1" fmlaLink="$H$25"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fmlaLink="$Z$18" lockText="1" noThreeD="1"/>
</file>

<file path=xl/ctrlProps/ctrlProp90.xml><?xml version="1.0" encoding="utf-8"?>
<formControlPr xmlns="http://schemas.microsoft.com/office/spreadsheetml/2009/9/main" objectType="Radio" firstButton="1" fmlaLink="$H$26" lockText="1" noThreeD="1"/>
</file>

<file path=xl/ctrlProps/ctrlProp91.xml><?xml version="1.0" encoding="utf-8"?>
<formControlPr xmlns="http://schemas.microsoft.com/office/spreadsheetml/2009/9/main" objectType="Radio" checked="Checked"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checked="Checked" firstButton="1" fmlaLink="$H$27"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firstButton="1" fmlaLink="$H$28" lockText="1" noThreeD="1"/>
</file>

<file path=xl/ctrlProps/ctrlProp99.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hyperlink" Target="#ONTW.PERSPECTIEF!A1"/><Relationship Id="rId2" Type="http://schemas.openxmlformats.org/officeDocument/2006/relationships/hyperlink" Target="#BEGINBLAD!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BEGINBLAD!A1"/></Relationships>
</file>

<file path=xl/drawings/_rels/drawing13.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hyperlink" Target="#BEGINBLAD!A1"/></Relationships>
</file>

<file path=xl/drawings/_rels/drawing16.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9.png"/><Relationship Id="rId7" Type="http://schemas.openxmlformats.org/officeDocument/2006/relationships/image" Target="../media/image31.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hyperlink" Target="#BEGINBLAD!A1"/><Relationship Id="rId5" Type="http://schemas.openxmlformats.org/officeDocument/2006/relationships/image" Target="../media/image30.png"/><Relationship Id="rId10" Type="http://schemas.openxmlformats.org/officeDocument/2006/relationships/image" Target="../media/image34.png"/><Relationship Id="rId4" Type="http://schemas.openxmlformats.org/officeDocument/2006/relationships/hyperlink" Target="http://www.meesterharrie.nl" TargetMode="External"/><Relationship Id="rId9" Type="http://schemas.openxmlformats.org/officeDocument/2006/relationships/image" Target="../media/image33.png"/></Relationships>
</file>

<file path=xl/drawings/_rels/drawing17.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18.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19.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2.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info-15'!A1"/><Relationship Id="rId2" Type="http://schemas.openxmlformats.org/officeDocument/2006/relationships/chart" Target="../charts/chart1.xml"/><Relationship Id="rId1" Type="http://schemas.openxmlformats.org/officeDocument/2006/relationships/hyperlink" Target="#BEGINBLAD!A1"/><Relationship Id="rId5" Type="http://schemas.openxmlformats.org/officeDocument/2006/relationships/chart" Target="../charts/chart3.xml"/><Relationship Id="rId4" Type="http://schemas.openxmlformats.org/officeDocument/2006/relationships/chart" Target="../charts/chart2.xml"/></Relationships>
</file>

<file path=xl/drawings/_rels/drawing21.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chart" Target="../charts/chart4.xml"/><Relationship Id="rId5" Type="http://schemas.openxmlformats.org/officeDocument/2006/relationships/hyperlink" Target="#BEGINBLAD!A1"/><Relationship Id="rId4" Type="http://schemas.openxmlformats.org/officeDocument/2006/relationships/hyperlink" Target="#'info-12'!A1"/></Relationships>
</file>

<file path=xl/drawings/_rels/drawing22.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chart" Target="../charts/chart5.xml"/><Relationship Id="rId5" Type="http://schemas.openxmlformats.org/officeDocument/2006/relationships/hyperlink" Target="#BEGINBLAD!A1"/><Relationship Id="rId4" Type="http://schemas.openxmlformats.org/officeDocument/2006/relationships/hyperlink" Target="#'info-12'!A1"/></Relationships>
</file>

<file path=xl/drawings/_rels/drawing2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chart" Target="../charts/chart6.xml"/><Relationship Id="rId5" Type="http://schemas.openxmlformats.org/officeDocument/2006/relationships/hyperlink" Target="#BEGINBLAD!A1"/><Relationship Id="rId4" Type="http://schemas.openxmlformats.org/officeDocument/2006/relationships/hyperlink" Target="#'info-12'!A1"/></Relationships>
</file>

<file path=xl/drawings/_rels/drawing24.xml.rels><?xml version="1.0" encoding="UTF-8" standalone="yes"?>
<Relationships xmlns="http://schemas.openxmlformats.org/package/2006/relationships"><Relationship Id="rId3" Type="http://schemas.openxmlformats.org/officeDocument/2006/relationships/hyperlink" Target="#'info-7'!A1"/><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image" Target="../media/image37.png"/><Relationship Id="rId5" Type="http://schemas.openxmlformats.org/officeDocument/2006/relationships/chart" Target="../charts/chart9.xml"/><Relationship Id="rId4" Type="http://schemas.openxmlformats.org/officeDocument/2006/relationships/hyperlink" Target="#BEGINBLAD!A1"/></Relationships>
</file>

<file path=xl/drawings/_rels/drawing25.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hyperlink" Target="#'info-8'!A1"/><Relationship Id="rId1" Type="http://schemas.openxmlformats.org/officeDocument/2006/relationships/chart" Target="../charts/chart10.xml"/><Relationship Id="rId4" Type="http://schemas.openxmlformats.org/officeDocument/2006/relationships/chart" Target="../charts/chart11.xml"/></Relationships>
</file>

<file path=xl/drawings/_rels/drawing26.xml.rels><?xml version="1.0" encoding="UTF-8" standalone="yes"?>
<Relationships xmlns="http://schemas.openxmlformats.org/package/2006/relationships"><Relationship Id="rId3" Type="http://schemas.openxmlformats.org/officeDocument/2006/relationships/hyperlink" Target="#'info-5'!A1"/><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hyperlink" Target="#Referentieniveau!A1"/><Relationship Id="rId4" Type="http://schemas.openxmlformats.org/officeDocument/2006/relationships/hyperlink" Target="#BEGINBLAD!A1"/></Relationships>
</file>

<file path=xl/drawings/_rels/drawing2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6.xml"/><Relationship Id="rId7" Type="http://schemas.openxmlformats.org/officeDocument/2006/relationships/chart" Target="../charts/chart18.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hyperlink" Target="#BEGINBLAD!A1"/><Relationship Id="rId5" Type="http://schemas.openxmlformats.org/officeDocument/2006/relationships/hyperlink" Target="#'info-11'!A1"/><Relationship Id="rId10" Type="http://schemas.openxmlformats.org/officeDocument/2006/relationships/chart" Target="../charts/chart21.xml"/><Relationship Id="rId4" Type="http://schemas.openxmlformats.org/officeDocument/2006/relationships/chart" Target="../charts/chart17.xml"/><Relationship Id="rId9"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hyperlink" Target="#BEGINBLAD!A1"/></Relationships>
</file>

<file path=xl/drawings/_rels/drawing29.xml.rels><?xml version="1.0" encoding="UTF-8" standalone="yes"?>
<Relationships xmlns="http://schemas.openxmlformats.org/package/2006/relationships"><Relationship Id="rId1" Type="http://schemas.openxmlformats.org/officeDocument/2006/relationships/hyperlink" Target="#BEGINBLAD!A1"/></Relationships>
</file>

<file path=xl/drawings/_rels/drawing3.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hyperlink" Target="#'BASISAANPAK - 1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22.xml"/><Relationship Id="rId5" Type="http://schemas.openxmlformats.org/officeDocument/2006/relationships/hyperlink" Target="#INTENSIEF!A1"/><Relationship Id="rId4" Type="http://schemas.openxmlformats.org/officeDocument/2006/relationships/hyperlink" Target="#'VERRIJKT - 1e periode'!A1"/></Relationships>
</file>

<file path=xl/drawings/_rels/drawing31.xml.rels><?xml version="1.0" encoding="UTF-8" standalone="yes"?>
<Relationships xmlns="http://schemas.openxmlformats.org/package/2006/relationships"><Relationship Id="rId3" Type="http://schemas.openxmlformats.org/officeDocument/2006/relationships/hyperlink" Target="#'BASISAANPAK - 2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23.xml"/><Relationship Id="rId5" Type="http://schemas.openxmlformats.org/officeDocument/2006/relationships/hyperlink" Target="#INTENSIEF!A1"/><Relationship Id="rId4" Type="http://schemas.openxmlformats.org/officeDocument/2006/relationships/hyperlink" Target="#'VERRIJKT - 2e periode'!A1"/></Relationships>
</file>

<file path=xl/drawings/_rels/drawing32.xml.rels><?xml version="1.0" encoding="UTF-8" standalone="yes"?>
<Relationships xmlns="http://schemas.openxmlformats.org/package/2006/relationships"><Relationship Id="rId3" Type="http://schemas.openxmlformats.org/officeDocument/2006/relationships/hyperlink" Target="#BASISAANPAK!A1"/><Relationship Id="rId2" Type="http://schemas.openxmlformats.org/officeDocument/2006/relationships/hyperlink" Target="#BEGINBLAD!A1"/><Relationship Id="rId1" Type="http://schemas.openxmlformats.org/officeDocument/2006/relationships/hyperlink" Target="#'info-8'!A1"/><Relationship Id="rId6" Type="http://schemas.openxmlformats.org/officeDocument/2006/relationships/chart" Target="../charts/chart24.xml"/><Relationship Id="rId5" Type="http://schemas.openxmlformats.org/officeDocument/2006/relationships/hyperlink" Target="#'INTENSIEF - 1e periode'!A1"/><Relationship Id="rId4" Type="http://schemas.openxmlformats.org/officeDocument/2006/relationships/hyperlink" Target="#'VERRIJKT - 1e periode'!A1"/></Relationships>
</file>

<file path=xl/drawings/_rels/drawing33.xml.rels><?xml version="1.0" encoding="UTF-8" standalone="yes"?>
<Relationships xmlns="http://schemas.openxmlformats.org/package/2006/relationships"><Relationship Id="rId3" Type="http://schemas.openxmlformats.org/officeDocument/2006/relationships/hyperlink" Target="#BASISAANPAK!A1"/><Relationship Id="rId2" Type="http://schemas.openxmlformats.org/officeDocument/2006/relationships/hyperlink" Target="#BEGINBLAD!A1"/><Relationship Id="rId1" Type="http://schemas.openxmlformats.org/officeDocument/2006/relationships/hyperlink" Target="#'info-8'!A1"/><Relationship Id="rId6" Type="http://schemas.openxmlformats.org/officeDocument/2006/relationships/chart" Target="../charts/chart25.xml"/><Relationship Id="rId5" Type="http://schemas.openxmlformats.org/officeDocument/2006/relationships/hyperlink" Target="#'INTENSIEF - 2e periode'!A1"/><Relationship Id="rId4" Type="http://schemas.openxmlformats.org/officeDocument/2006/relationships/hyperlink" Target="#'VERRIJKT - 2e periode'!A1"/></Relationships>
</file>

<file path=xl/drawings/_rels/drawing34.xml.rels><?xml version="1.0" encoding="UTF-8" standalone="yes"?>
<Relationships xmlns="http://schemas.openxmlformats.org/package/2006/relationships"><Relationship Id="rId3" Type="http://schemas.openxmlformats.org/officeDocument/2006/relationships/hyperlink" Target="#'BASISAANPAK - 1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26.xml"/><Relationship Id="rId5" Type="http://schemas.openxmlformats.org/officeDocument/2006/relationships/hyperlink" Target="#'INTENSIEF - 1e periode'!A1"/><Relationship Id="rId4" Type="http://schemas.openxmlformats.org/officeDocument/2006/relationships/hyperlink" Target="#VERRIJKT!A1"/></Relationships>
</file>

<file path=xl/drawings/_rels/drawing35.xml.rels><?xml version="1.0" encoding="UTF-8" standalone="yes"?>
<Relationships xmlns="http://schemas.openxmlformats.org/package/2006/relationships"><Relationship Id="rId3" Type="http://schemas.openxmlformats.org/officeDocument/2006/relationships/hyperlink" Target="#'BASISAANPAK - 2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27.xml"/><Relationship Id="rId5" Type="http://schemas.openxmlformats.org/officeDocument/2006/relationships/hyperlink" Target="#'INTENSIEF - 2e periode'!A1"/><Relationship Id="rId4" Type="http://schemas.openxmlformats.org/officeDocument/2006/relationships/hyperlink" Target="#VERRIJKT!A1"/></Relationships>
</file>

<file path=xl/drawings/_rels/drawing36.xml.rels><?xml version="1.0" encoding="UTF-8" standalone="yes"?>
<Relationships xmlns="http://schemas.openxmlformats.org/package/2006/relationships"><Relationship Id="rId13" Type="http://schemas.openxmlformats.org/officeDocument/2006/relationships/hyperlink" Target="#'BEGRIJPEND LEZEN - 1e periode'!A1"/><Relationship Id="rId18" Type="http://schemas.openxmlformats.org/officeDocument/2006/relationships/hyperlink" Target="#'SPELLEN - 1e periode'!A1"/><Relationship Id="rId26" Type="http://schemas.openxmlformats.org/officeDocument/2006/relationships/hyperlink" Target="#NOTITIES!A1"/><Relationship Id="rId39" Type="http://schemas.openxmlformats.org/officeDocument/2006/relationships/hyperlink" Target="#'info-16'!A1"/><Relationship Id="rId21" Type="http://schemas.openxmlformats.org/officeDocument/2006/relationships/hyperlink" Target="#'REKENEN - 1e periode'!A1"/><Relationship Id="rId34" Type="http://schemas.openxmlformats.org/officeDocument/2006/relationships/hyperlink" Target="#'VERWIJZING - VO'!A1"/><Relationship Id="rId7" Type="http://schemas.openxmlformats.org/officeDocument/2006/relationships/hyperlink" Target="#'OPP 1e periode'!A1"/><Relationship Id="rId12" Type="http://schemas.openxmlformats.org/officeDocument/2006/relationships/hyperlink" Target="#'VERRIJKT - 1e periode'!A1"/><Relationship Id="rId17" Type="http://schemas.openxmlformats.org/officeDocument/2006/relationships/hyperlink" Target="#'TECHNISCH LEZEN - 1e periode'!A1"/><Relationship Id="rId25" Type="http://schemas.openxmlformats.org/officeDocument/2006/relationships/hyperlink" Target="#TOETSAFSPRAKEN!A1"/><Relationship Id="rId33" Type="http://schemas.openxmlformats.org/officeDocument/2006/relationships/hyperlink" Target="#Referentieniveau!A1"/><Relationship Id="rId38" Type="http://schemas.openxmlformats.org/officeDocument/2006/relationships/image" Target="../media/image30.png"/><Relationship Id="rId2" Type="http://schemas.openxmlformats.org/officeDocument/2006/relationships/hyperlink" Target="#'BASISAANPAK - 2e periode'!A1"/><Relationship Id="rId16" Type="http://schemas.openxmlformats.org/officeDocument/2006/relationships/hyperlink" Target="#'HOOFDREKENEN - 2e periode'!A1"/><Relationship Id="rId20" Type="http://schemas.openxmlformats.org/officeDocument/2006/relationships/hyperlink" Target="#'SPELLEN - 2e periode'!A1"/><Relationship Id="rId29" Type="http://schemas.openxmlformats.org/officeDocument/2006/relationships/hyperlink" Target="#ONTW.PERSPECTIEF!A1"/><Relationship Id="rId1" Type="http://schemas.openxmlformats.org/officeDocument/2006/relationships/hyperlink" Target="#'INTENSIEF - 2e periode'!A1"/><Relationship Id="rId6" Type="http://schemas.openxmlformats.org/officeDocument/2006/relationships/hyperlink" Target="#'NIVEAU WAARDE - 1e toetsperiode'!A1"/><Relationship Id="rId11" Type="http://schemas.openxmlformats.org/officeDocument/2006/relationships/hyperlink" Target="#'OPP 2e periode'!A1"/><Relationship Id="rId24" Type="http://schemas.openxmlformats.org/officeDocument/2006/relationships/hyperlink" Target="#'LEERLING PROFIEL HB'!A1"/><Relationship Id="rId32" Type="http://schemas.openxmlformats.org/officeDocument/2006/relationships/hyperlink" Target="#OUDERBRIEF!A1"/><Relationship Id="rId37" Type="http://schemas.openxmlformats.org/officeDocument/2006/relationships/hyperlink" Target="http://www.meesterharrie.nl" TargetMode="External"/><Relationship Id="rId5" Type="http://schemas.openxmlformats.org/officeDocument/2006/relationships/hyperlink" Target="#OPO!A1"/><Relationship Id="rId15" Type="http://schemas.openxmlformats.org/officeDocument/2006/relationships/hyperlink" Target="#'BEGRIJPEND LEZEN - 2e periode'!A1"/><Relationship Id="rId23" Type="http://schemas.openxmlformats.org/officeDocument/2006/relationships/hyperlink" Target="#'SIGNALERING HB'!A1"/><Relationship Id="rId28" Type="http://schemas.openxmlformats.org/officeDocument/2006/relationships/hyperlink" Target="#'OPP vorige jaar'!A1"/><Relationship Id="rId36" Type="http://schemas.openxmlformats.org/officeDocument/2006/relationships/hyperlink" Target="#'DL - DLE'!A1"/><Relationship Id="rId10" Type="http://schemas.openxmlformats.org/officeDocument/2006/relationships/hyperlink" Target="#'NIVEAU WAARDE - 2e toetsperiode'!A1"/><Relationship Id="rId19" Type="http://schemas.openxmlformats.org/officeDocument/2006/relationships/hyperlink" Target="#'TECHNISCH LEZEN - 2e periode'!A1"/><Relationship Id="rId31" Type="http://schemas.openxmlformats.org/officeDocument/2006/relationships/hyperlink" Target="#LIJV!A1"/><Relationship Id="rId4" Type="http://schemas.openxmlformats.org/officeDocument/2006/relationships/hyperlink" Target="#AANLEG!A1"/><Relationship Id="rId9" Type="http://schemas.openxmlformats.org/officeDocument/2006/relationships/hyperlink" Target="#'BASISAANPAK - 1e periode'!A1"/><Relationship Id="rId14" Type="http://schemas.openxmlformats.org/officeDocument/2006/relationships/hyperlink" Target="#'HOOFDREKENEN - 1e periode'!A1"/><Relationship Id="rId22" Type="http://schemas.openxmlformats.org/officeDocument/2006/relationships/hyperlink" Target="#'REKENEN - 2e periode'!A1"/><Relationship Id="rId27" Type="http://schemas.openxmlformats.org/officeDocument/2006/relationships/hyperlink" Target="#'NIVEAU WAARDE - vorig jaar'!A1"/><Relationship Id="rId30" Type="http://schemas.openxmlformats.org/officeDocument/2006/relationships/hyperlink" Target="#DIVERSITEIT!A1"/><Relationship Id="rId35" Type="http://schemas.openxmlformats.org/officeDocument/2006/relationships/hyperlink" Target="#'SOCIAAL EMOTIONEEL'!A1"/><Relationship Id="rId8" Type="http://schemas.openxmlformats.org/officeDocument/2006/relationships/hyperlink" Target="#'INTENSIEF - 1e periode'!A1"/><Relationship Id="rId3" Type="http://schemas.openxmlformats.org/officeDocument/2006/relationships/hyperlink" Target="#'VERRIJKT - 2e periode'!A1"/></Relationships>
</file>

<file path=xl/drawings/_rels/drawing37.xml.rels><?xml version="1.0" encoding="UTF-8" standalone="yes"?>
<Relationships xmlns="http://schemas.openxmlformats.org/package/2006/relationships"><Relationship Id="rId3" Type="http://schemas.openxmlformats.org/officeDocument/2006/relationships/hyperlink" Target="#'SIGNALERING HB'!A1"/><Relationship Id="rId2" Type="http://schemas.openxmlformats.org/officeDocument/2006/relationships/hyperlink" Target="#BEGINBLAD!A1"/><Relationship Id="rId1" Type="http://schemas.openxmlformats.org/officeDocument/2006/relationships/hyperlink" Target="#'info-1'!A1"/></Relationships>
</file>

<file path=xl/drawings/_rels/drawing38.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hyperlink" Target="#'info-13'!A1"/></Relationships>
</file>

<file path=xl/drawings/_rels/drawing3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hyperlink" Target="#'info-12'!A1"/><Relationship Id="rId1" Type="http://schemas.openxmlformats.org/officeDocument/2006/relationships/hyperlink" Target="#BEGINBLAD!A1"/></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hyperlink" Target="#BEGINBLAD!A1"/><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0.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hyperlink" Target="#'VERRIJKT - 1e periode'!A1"/><Relationship Id="rId9" Type="http://schemas.openxmlformats.org/officeDocument/2006/relationships/chart" Target="../charts/chart31.xml"/></Relationships>
</file>

<file path=xl/drawings/_rels/drawing41.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33.xml"/><Relationship Id="rId5" Type="http://schemas.openxmlformats.org/officeDocument/2006/relationships/chart" Target="../charts/chart32.xml"/><Relationship Id="rId10" Type="http://schemas.openxmlformats.org/officeDocument/2006/relationships/chart" Target="../charts/chart34.xml"/><Relationship Id="rId4" Type="http://schemas.openxmlformats.org/officeDocument/2006/relationships/hyperlink" Target="#'VERRIJKT - 2e periode'!A1"/><Relationship Id="rId9" Type="http://schemas.openxmlformats.org/officeDocument/2006/relationships/hyperlink" Target="#'TECHNISCH LEZEN - 1e periode'!A1"/></Relationships>
</file>

<file path=xl/drawings/_rels/drawing42.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hyperlink" Target="#'VERRIJKT - 1e periode'!A1"/><Relationship Id="rId9" Type="http://schemas.openxmlformats.org/officeDocument/2006/relationships/chart" Target="../charts/chart37.xml"/></Relationships>
</file>

<file path=xl/drawings/_rels/drawing43.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hyperlink" Target="#'VERRIJKT - 2e periode'!A1"/><Relationship Id="rId9" Type="http://schemas.openxmlformats.org/officeDocument/2006/relationships/chart" Target="../charts/chart40.xml"/></Relationships>
</file>

<file path=xl/drawings/_rels/drawing44.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hyperlink" Target="#'VERRIJKT - 1e periode'!A1"/><Relationship Id="rId9" Type="http://schemas.openxmlformats.org/officeDocument/2006/relationships/chart" Target="../charts/chart43.xml"/></Relationships>
</file>

<file path=xl/drawings/_rels/drawing45.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hyperlink" Target="#'VERRIJKT - 2e periode'!A1"/><Relationship Id="rId9" Type="http://schemas.openxmlformats.org/officeDocument/2006/relationships/chart" Target="../charts/chart46.xml"/></Relationships>
</file>

<file path=xl/drawings/_rels/drawing46.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hyperlink" Target="#'VERRIJKT - 1e periode'!A1"/><Relationship Id="rId9" Type="http://schemas.openxmlformats.org/officeDocument/2006/relationships/chart" Target="../charts/chart49.xml"/></Relationships>
</file>

<file path=xl/drawings/_rels/drawing47.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hyperlink" Target="#'VERRIJKT - 2e periode'!A1"/><Relationship Id="rId9" Type="http://schemas.openxmlformats.org/officeDocument/2006/relationships/chart" Target="../charts/chart52.xml"/></Relationships>
</file>

<file path=xl/drawings/_rels/drawing48.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hyperlink" Target="#'VERRIJKT - 1e periode'!A1"/><Relationship Id="rId9" Type="http://schemas.openxmlformats.org/officeDocument/2006/relationships/chart" Target="../charts/chart55.xml"/></Relationships>
</file>

<file path=xl/drawings/_rels/drawing49.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hyperlink" Target="#'VERRIJKT - 2e periode'!A1"/><Relationship Id="rId9" Type="http://schemas.openxmlformats.org/officeDocument/2006/relationships/chart" Target="../charts/chart58.xml"/></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BEGINBLAD!A1"/></Relationships>
</file>

<file path=xl/drawings/_rels/drawing50.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hyperlink" Target="#'info-2'!A1"/><Relationship Id="rId1" Type="http://schemas.openxmlformats.org/officeDocument/2006/relationships/chart" Target="../charts/chart59.xml"/></Relationships>
</file>

<file path=xl/drawings/_rels/drawing51.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5" Type="http://schemas.openxmlformats.org/officeDocument/2006/relationships/hyperlink" Target="#AANLEG!A1"/><Relationship Id="rId4" Type="http://schemas.openxmlformats.org/officeDocument/2006/relationships/hyperlink" Target="#BEGINBLAD!A1"/></Relationships>
</file>

<file path=xl/drawings/_rels/drawing52.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image" Target="../media/image40.png"/><Relationship Id="rId1" Type="http://schemas.openxmlformats.org/officeDocument/2006/relationships/image" Target="../media/image39.png"/><Relationship Id="rId4" Type="http://schemas.openxmlformats.org/officeDocument/2006/relationships/image" Target="../media/image41.png"/></Relationships>
</file>

<file path=xl/drawings/_rels/drawing53.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hyperlink" Target="#'info-3'!A1"/></Relationships>
</file>

<file path=xl/drawings/_rels/drawing6.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hyperlink" Target="#BEGINBLAD!A1"/></Relationships>
</file>

<file path=xl/drawings/_rels/drawing9.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82549</xdr:colOff>
      <xdr:row>6</xdr:row>
      <xdr:rowOff>57150</xdr:rowOff>
    </xdr:from>
    <xdr:to>
      <xdr:col>13</xdr:col>
      <xdr:colOff>542520</xdr:colOff>
      <xdr:row>30</xdr:row>
      <xdr:rowOff>120650</xdr:rowOff>
    </xdr:to>
    <xdr:pic>
      <xdr:nvPicPr>
        <xdr:cNvPr id="8" name="Afbeelding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149" y="1104900"/>
          <a:ext cx="7775171" cy="387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381000</xdr:colOff>
      <xdr:row>17</xdr:row>
      <xdr:rowOff>57150</xdr:rowOff>
    </xdr:from>
    <xdr:to>
      <xdr:col>16</xdr:col>
      <xdr:colOff>228600</xdr:colOff>
      <xdr:row>24</xdr:row>
      <xdr:rowOff>142875</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bwMode="auto">
        <a:xfrm flipH="1">
          <a:off x="8305800" y="29051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7</xdr:col>
      <xdr:colOff>520700</xdr:colOff>
      <xdr:row>17</xdr:row>
      <xdr:rowOff>130175</xdr:rowOff>
    </xdr:from>
    <xdr:to>
      <xdr:col>11</xdr:col>
      <xdr:colOff>434975</xdr:colOff>
      <xdr:row>24</xdr:row>
      <xdr:rowOff>152400</xdr:rowOff>
    </xdr:to>
    <xdr:sp macro="" textlink="">
      <xdr:nvSpPr>
        <xdr:cNvPr id="6" name="Toelichting met afgeronde rechthoek 5">
          <a:extLst>
            <a:ext uri="{FF2B5EF4-FFF2-40B4-BE49-F238E27FC236}">
              <a16:creationId xmlns:a16="http://schemas.microsoft.com/office/drawing/2014/main" id="{00000000-0008-0000-0000-000006000000}"/>
            </a:ext>
          </a:extLst>
        </xdr:cNvPr>
        <xdr:cNvSpPr/>
      </xdr:nvSpPr>
      <xdr:spPr bwMode="auto">
        <a:xfrm>
          <a:off x="4787900" y="2924175"/>
          <a:ext cx="2352675" cy="1133475"/>
        </a:xfrm>
        <a:prstGeom prst="wedgeRoundRectCallout">
          <a:avLst>
            <a:gd name="adj1" fmla="val -93301"/>
            <a:gd name="adj2" fmla="val -126810"/>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en selecteer de uiteindelijke beslissing aanlegniveau.</a:t>
          </a:r>
        </a:p>
        <a:p>
          <a:pPr algn="l"/>
          <a:r>
            <a:rPr lang="nl-NL" sz="1100" baseline="0">
              <a:solidFill>
                <a:schemeClr val="tx1"/>
              </a:solidFill>
            </a:rPr>
            <a:t>Dat kan op basis van inschatting leerkracht, maar ook op basis van een test.</a:t>
          </a:r>
          <a:endParaRPr lang="nl-NL" sz="1100">
            <a:solidFill>
              <a:schemeClr val="tx1"/>
            </a:solidFill>
          </a:endParaRPr>
        </a:p>
      </xdr:txBody>
    </xdr:sp>
    <xdr:clientData/>
  </xdr:twoCellAnchor>
  <xdr:twoCellAnchor>
    <xdr:from>
      <xdr:col>12</xdr:col>
      <xdr:colOff>234951</xdr:colOff>
      <xdr:row>9</xdr:row>
      <xdr:rowOff>6350</xdr:rowOff>
    </xdr:from>
    <xdr:to>
      <xdr:col>14</xdr:col>
      <xdr:colOff>520701</xdr:colOff>
      <xdr:row>13</xdr:row>
      <xdr:rowOff>101600</xdr:rowOff>
    </xdr:to>
    <xdr:sp macro="" textlink="">
      <xdr:nvSpPr>
        <xdr:cNvPr id="7" name="Toelichting met afgeronde rechthoek 6">
          <a:extLst>
            <a:ext uri="{FF2B5EF4-FFF2-40B4-BE49-F238E27FC236}">
              <a16:creationId xmlns:a16="http://schemas.microsoft.com/office/drawing/2014/main" id="{00000000-0008-0000-0000-000007000000}"/>
            </a:ext>
          </a:extLst>
        </xdr:cNvPr>
        <xdr:cNvSpPr/>
      </xdr:nvSpPr>
      <xdr:spPr bwMode="auto">
        <a:xfrm>
          <a:off x="7550151" y="1530350"/>
          <a:ext cx="1504950" cy="730250"/>
        </a:xfrm>
        <a:prstGeom prst="wedgeRoundRectCallout">
          <a:avLst>
            <a:gd name="adj1" fmla="val -86419"/>
            <a:gd name="adj2" fmla="val -21996"/>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en selecteer de test.</a:t>
          </a:r>
        </a:p>
        <a:p>
          <a:pPr algn="l"/>
          <a:r>
            <a:rPr lang="nl-NL" sz="1100" baseline="0">
              <a:solidFill>
                <a:schemeClr val="tx1"/>
              </a:solidFill>
            </a:rPr>
            <a:t>Slecteer vervolgens het aanlegniveau.</a:t>
          </a:r>
          <a:endParaRPr lang="nl-NL" sz="1100">
            <a:solidFill>
              <a:schemeClr val="tx1"/>
            </a:solidFill>
          </a:endParaRPr>
        </a:p>
      </xdr:txBody>
    </xdr:sp>
    <xdr:clientData/>
  </xdr:twoCellAnchor>
  <xdr:twoCellAnchor>
    <xdr:from>
      <xdr:col>5</xdr:col>
      <xdr:colOff>120650</xdr:colOff>
      <xdr:row>1</xdr:row>
      <xdr:rowOff>139700</xdr:rowOff>
    </xdr:from>
    <xdr:to>
      <xdr:col>7</xdr:col>
      <xdr:colOff>132105</xdr:colOff>
      <xdr:row>5</xdr:row>
      <xdr:rowOff>34925</xdr:rowOff>
    </xdr:to>
    <xdr:sp macro="" textlink="">
      <xdr:nvSpPr>
        <xdr:cNvPr id="10" name="AutoShape 48">
          <a:hlinkClick xmlns:r="http://schemas.openxmlformats.org/officeDocument/2006/relationships" r:id="rId3"/>
          <a:extLst>
            <a:ext uri="{FF2B5EF4-FFF2-40B4-BE49-F238E27FC236}">
              <a16:creationId xmlns:a16="http://schemas.microsoft.com/office/drawing/2014/main" id="{00000000-0008-0000-0000-00000A000000}"/>
            </a:ext>
          </a:extLst>
        </xdr:cNvPr>
        <xdr:cNvSpPr>
          <a:spLocks noChangeArrowheads="1"/>
        </xdr:cNvSpPr>
      </xdr:nvSpPr>
      <xdr:spPr bwMode="auto">
        <a:xfrm>
          <a:off x="3168650" y="298450"/>
          <a:ext cx="1230655" cy="62547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overzicht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xdr:from>
      <xdr:col>8</xdr:col>
      <xdr:colOff>336550</xdr:colOff>
      <xdr:row>1</xdr:row>
      <xdr:rowOff>44450</xdr:rowOff>
    </xdr:from>
    <xdr:to>
      <xdr:col>12</xdr:col>
      <xdr:colOff>419100</xdr:colOff>
      <xdr:row>6</xdr:row>
      <xdr:rowOff>44450</xdr:rowOff>
    </xdr:to>
    <xdr:sp macro="" textlink="">
      <xdr:nvSpPr>
        <xdr:cNvPr id="9" name="Toelichting met afgeronde rechthoek 6">
          <a:extLst>
            <a:ext uri="{FF2B5EF4-FFF2-40B4-BE49-F238E27FC236}">
              <a16:creationId xmlns:a16="http://schemas.microsoft.com/office/drawing/2014/main" id="{00000000-0008-0000-0000-000009000000}"/>
            </a:ext>
          </a:extLst>
        </xdr:cNvPr>
        <xdr:cNvSpPr/>
      </xdr:nvSpPr>
      <xdr:spPr bwMode="auto">
        <a:xfrm>
          <a:off x="5213350" y="203200"/>
          <a:ext cx="2520950" cy="889000"/>
        </a:xfrm>
        <a:prstGeom prst="wedgeRoundRectCallout">
          <a:avLst>
            <a:gd name="adj1" fmla="val -86419"/>
            <a:gd name="adj2" fmla="val -21996"/>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baseline="0">
              <a:solidFill>
                <a:schemeClr val="tx1"/>
              </a:solidFill>
            </a:rPr>
            <a:t>De gegevens van de 1e kolom ('Uiteindelijke beslissing over aanlegniveau') worden automatisch meegenomen naar het blad 'overzicht per leerling'.</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304800</xdr:colOff>
      <xdr:row>3</xdr:row>
      <xdr:rowOff>38100</xdr:rowOff>
    </xdr:from>
    <xdr:to>
      <xdr:col>23</xdr:col>
      <xdr:colOff>590550</xdr:colOff>
      <xdr:row>33</xdr:row>
      <xdr:rowOff>66675</xdr:rowOff>
    </xdr:to>
    <xdr:pic>
      <xdr:nvPicPr>
        <xdr:cNvPr id="2" name="Afbeelding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19125"/>
          <a:ext cx="14306550"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266700</xdr:colOff>
      <xdr:row>2</xdr:row>
      <xdr:rowOff>38098</xdr:rowOff>
    </xdr:from>
    <xdr:to>
      <xdr:col>23</xdr:col>
      <xdr:colOff>533400</xdr:colOff>
      <xdr:row>32</xdr:row>
      <xdr:rowOff>9525</xdr:rowOff>
    </xdr:to>
    <xdr:sp macro="" textlink="">
      <xdr:nvSpPr>
        <xdr:cNvPr id="4" name="Afgeronde rechthoek 3">
          <a:extLst>
            <a:ext uri="{FF2B5EF4-FFF2-40B4-BE49-F238E27FC236}">
              <a16:creationId xmlns:a16="http://schemas.microsoft.com/office/drawing/2014/main" id="{00000000-0008-0000-0900-000004000000}"/>
            </a:ext>
          </a:extLst>
        </xdr:cNvPr>
        <xdr:cNvSpPr/>
      </xdr:nvSpPr>
      <xdr:spPr bwMode="auto">
        <a:xfrm>
          <a:off x="12458700" y="457198"/>
          <a:ext cx="2095500" cy="4829177"/>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baseline="0"/>
            <a:t>De Basisaanpak is bedoeld voor de MIDDENMOOT. </a:t>
          </a:r>
        </a:p>
        <a:p>
          <a:pPr algn="l"/>
          <a:r>
            <a:rPr lang="nl-NL" sz="1100" baseline="0"/>
            <a:t>Hiertoe behoort het grootste gedeelte van de groep (sowieso 50% van de groep).</a:t>
          </a:r>
        </a:p>
        <a:p>
          <a:pPr algn="l"/>
          <a:endParaRPr lang="nl-NL" sz="1100" baseline="0"/>
        </a:p>
        <a:p>
          <a:pPr algn="l"/>
          <a:r>
            <a:rPr lang="nl-NL" sz="1100" baseline="0"/>
            <a:t>Zoveel mogelijk kinderen worden meegenoemen in de basisaanpak. </a:t>
          </a:r>
        </a:p>
        <a:p>
          <a:pPr algn="l"/>
          <a:endParaRPr lang="nl-NL" sz="1100" baseline="0"/>
        </a:p>
        <a:p>
          <a:pPr algn="l"/>
          <a:r>
            <a:rPr lang="nl-NL" sz="1100" baseline="0">
              <a:solidFill>
                <a:srgbClr val="FF0000"/>
              </a:solidFill>
            </a:rPr>
            <a:t>Voor de 10% </a:t>
          </a:r>
          <a:r>
            <a:rPr lang="nl-NL" sz="1100" b="1" u="sng" baseline="0">
              <a:solidFill>
                <a:srgbClr val="FF0000"/>
              </a:solidFill>
            </a:rPr>
            <a:t>laagst</a:t>
          </a:r>
          <a:r>
            <a:rPr lang="nl-NL" sz="1100" baseline="0">
              <a:solidFill>
                <a:srgbClr val="FF0000"/>
              </a:solidFill>
            </a:rPr>
            <a:t> en </a:t>
          </a:r>
          <a:r>
            <a:rPr lang="nl-NL" sz="1100" b="1" u="sng" baseline="0">
              <a:solidFill>
                <a:srgbClr val="FF0000"/>
              </a:solidFill>
            </a:rPr>
            <a:t>hoogst</a:t>
          </a:r>
          <a:r>
            <a:rPr lang="nl-NL" sz="1100" baseline="0">
              <a:solidFill>
                <a:srgbClr val="FF0000"/>
              </a:solidFill>
            </a:rPr>
            <a:t> scorende leerlingen kan de aanpak in de vakken worden beschreven.</a:t>
          </a:r>
        </a:p>
        <a:p>
          <a:pPr algn="l"/>
          <a:endParaRPr lang="nl-NL" sz="1100" baseline="0"/>
        </a:p>
        <a:p>
          <a:pPr algn="l"/>
          <a:r>
            <a:rPr lang="nl-NL" sz="1100" baseline="0"/>
            <a:t>De beschreven aanpakken worden automatisch gekopieerd naar de betreffende vakken.</a:t>
          </a:r>
        </a:p>
        <a:p>
          <a:pPr algn="l"/>
          <a:endParaRPr lang="nl-NL" sz="1100" baseline="0"/>
        </a:p>
        <a:p>
          <a:pPr algn="l"/>
          <a:r>
            <a:rPr lang="nl-NL" sz="1100" baseline="0"/>
            <a:t>Onderzoek heeft uitgewezen dat de leerkracht zich tijdens de instructie met name richt op die middenmoot.</a:t>
          </a:r>
        </a:p>
        <a:p>
          <a:pPr algn="l"/>
          <a:endParaRPr lang="nl-NL" sz="1100" baseline="0"/>
        </a:p>
        <a:p>
          <a:pPr algn="l"/>
          <a:r>
            <a:rPr lang="nl-NL" sz="1100" baseline="0"/>
            <a:t>zie ook: www.masterclassopo.nl</a:t>
          </a:r>
        </a:p>
        <a:p>
          <a:pPr algn="l"/>
          <a:endParaRPr lang="nl-NL" sz="1100"/>
        </a:p>
      </xdr:txBody>
    </xdr:sp>
    <xdr:clientData/>
  </xdr:twoCellAnchor>
  <xdr:twoCellAnchor>
    <xdr:from>
      <xdr:col>17</xdr:col>
      <xdr:colOff>304800</xdr:colOff>
      <xdr:row>25</xdr:row>
      <xdr:rowOff>142875</xdr:rowOff>
    </xdr:from>
    <xdr:to>
      <xdr:col>20</xdr:col>
      <xdr:colOff>152400</xdr:colOff>
      <xdr:row>33</xdr:row>
      <xdr:rowOff>66675</xdr:rowOff>
    </xdr:to>
    <xdr:sp macro="" textlink="">
      <xdr:nvSpPr>
        <xdr:cNvPr id="6" name="Pijl: links 7">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bwMode="auto">
        <a:xfrm flipH="1">
          <a:off x="10668000" y="4286250"/>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514350</xdr:colOff>
      <xdr:row>2</xdr:row>
      <xdr:rowOff>142875</xdr:rowOff>
    </xdr:from>
    <xdr:to>
      <xdr:col>16</xdr:col>
      <xdr:colOff>495300</xdr:colOff>
      <xdr:row>39</xdr:row>
      <xdr:rowOff>152400</xdr:rowOff>
    </xdr:to>
    <xdr:pic>
      <xdr:nvPicPr>
        <xdr:cNvPr id="2" name="Afbeelding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555625"/>
          <a:ext cx="10242550" cy="588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142875</xdr:colOff>
      <xdr:row>16</xdr:row>
      <xdr:rowOff>82550</xdr:rowOff>
    </xdr:from>
    <xdr:to>
      <xdr:col>12</xdr:col>
      <xdr:colOff>377825</xdr:colOff>
      <xdr:row>28</xdr:row>
      <xdr:rowOff>136525</xdr:rowOff>
    </xdr:to>
    <xdr:sp macro="" textlink="">
      <xdr:nvSpPr>
        <xdr:cNvPr id="3" name="Afgeronde rechthoek 3">
          <a:extLst>
            <a:ext uri="{FF2B5EF4-FFF2-40B4-BE49-F238E27FC236}">
              <a16:creationId xmlns:a16="http://schemas.microsoft.com/office/drawing/2014/main" id="{00000000-0008-0000-0A00-000003000000}"/>
            </a:ext>
          </a:extLst>
        </xdr:cNvPr>
        <xdr:cNvSpPr/>
      </xdr:nvSpPr>
      <xdr:spPr bwMode="auto">
        <a:xfrm>
          <a:off x="5915025" y="2717800"/>
          <a:ext cx="2159000" cy="19589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Van</a:t>
          </a:r>
          <a:r>
            <a:rPr lang="nl-NL" sz="1100" baseline="0"/>
            <a:t> het formulier LIJV kun je de kleuren in dit formulier overnemen.</a:t>
          </a:r>
        </a:p>
        <a:p>
          <a:pPr algn="l"/>
          <a:endParaRPr lang="nl-NL" sz="1100" baseline="0"/>
        </a:p>
        <a:p>
          <a:pPr algn="l"/>
          <a:r>
            <a:rPr lang="nl-NL" sz="1100" baseline="0"/>
            <a:t>zie ook:</a:t>
          </a:r>
        </a:p>
        <a:p>
          <a:pPr algn="l"/>
          <a:r>
            <a:rPr lang="nl-NL" sz="1100" baseline="0"/>
            <a:t>www.meesterharrie.nl</a:t>
          </a:r>
        </a:p>
        <a:p>
          <a:pPr algn="l"/>
          <a:r>
            <a:rPr lang="nl-NL" sz="1100" baseline="0"/>
            <a:t>www.masterclassopo.nl</a:t>
          </a:r>
          <a:endParaRPr lang="nl-NL" sz="1100"/>
        </a:p>
      </xdr:txBody>
    </xdr:sp>
    <xdr:clientData/>
  </xdr:twoCellAnchor>
  <xdr:twoCellAnchor>
    <xdr:from>
      <xdr:col>9</xdr:col>
      <xdr:colOff>358775</xdr:colOff>
      <xdr:row>4</xdr:row>
      <xdr:rowOff>79375</xdr:rowOff>
    </xdr:from>
    <xdr:to>
      <xdr:col>12</xdr:col>
      <xdr:colOff>238125</xdr:colOff>
      <xdr:row>12</xdr:row>
      <xdr:rowOff>6350</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bwMode="auto">
        <a:xfrm flipH="1">
          <a:off x="6130925" y="809625"/>
          <a:ext cx="1803400" cy="1196975"/>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10</xdr:col>
      <xdr:colOff>9524</xdr:colOff>
      <xdr:row>4</xdr:row>
      <xdr:rowOff>47625</xdr:rowOff>
    </xdr:from>
    <xdr:to>
      <xdr:col>14</xdr:col>
      <xdr:colOff>152399</xdr:colOff>
      <xdr:row>30</xdr:row>
      <xdr:rowOff>28574</xdr:rowOff>
    </xdr:to>
    <xdr:sp macro="" textlink="">
      <xdr:nvSpPr>
        <xdr:cNvPr id="2" name="Afgeronde rechthoek 1">
          <a:extLst>
            <a:ext uri="{FF2B5EF4-FFF2-40B4-BE49-F238E27FC236}">
              <a16:creationId xmlns:a16="http://schemas.microsoft.com/office/drawing/2014/main" id="{00000000-0008-0000-0B00-000002000000}"/>
            </a:ext>
          </a:extLst>
        </xdr:cNvPr>
        <xdr:cNvSpPr/>
      </xdr:nvSpPr>
      <xdr:spPr bwMode="auto">
        <a:xfrm>
          <a:off x="6105524" y="790575"/>
          <a:ext cx="2581275" cy="4190999"/>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Misschien wel het HART van dit Groepsplan.</a:t>
          </a:r>
        </a:p>
        <a:p>
          <a:pPr algn="l"/>
          <a:r>
            <a:rPr lang="nl-NL" sz="1100" baseline="0"/>
            <a:t>Uiteindelijk draait het om het kind zelf.</a:t>
          </a:r>
        </a:p>
        <a:p>
          <a:pPr algn="l"/>
          <a:endParaRPr lang="nl-NL" sz="1100" baseline="0"/>
        </a:p>
        <a:p>
          <a:pPr algn="l"/>
          <a:r>
            <a:rPr lang="nl-NL" sz="1100" baseline="0"/>
            <a:t>Dit formulier kan gebruikt worden bij het KINDGESPREK.</a:t>
          </a:r>
        </a:p>
        <a:p>
          <a:pPr algn="l"/>
          <a:r>
            <a:rPr lang="nl-NL" sz="1100" baseline="0"/>
            <a:t>Na elke toetsperiode kan er een kindgesprek worden georganiseerd (maximaal 3x).</a:t>
          </a:r>
        </a:p>
        <a:p>
          <a:pPr algn="l"/>
          <a:endParaRPr lang="nl-NL" sz="1100" baseline="0"/>
        </a:p>
        <a:p>
          <a:pPr algn="l"/>
          <a:r>
            <a:rPr lang="nl-NL" sz="1100" baseline="0"/>
            <a:t>In de gekleurde balken staan de toetsscores van de methode-onafhankelijke toetsen.</a:t>
          </a:r>
        </a:p>
        <a:p>
          <a:pPr algn="l"/>
          <a:r>
            <a:rPr lang="nl-NL" sz="1100" baseline="0"/>
            <a:t>Op de grijze balk kan het kind het doel voor de volgende toets inkleuren.</a:t>
          </a:r>
        </a:p>
        <a:p>
          <a:pPr algn="l"/>
          <a:endParaRPr lang="nl-NL" sz="1100" baseline="0"/>
        </a:p>
        <a:p>
          <a:pPr algn="l"/>
          <a:r>
            <a:rPr lang="nl-NL" sz="1100" baseline="0"/>
            <a:t>De rest van het formulier spreekt voor zich.</a:t>
          </a:r>
        </a:p>
        <a:p>
          <a:pPr algn="l"/>
          <a:endParaRPr lang="nl-NL" sz="1100" baseline="0"/>
        </a:p>
        <a:p>
          <a:pPr algn="l"/>
          <a:r>
            <a:rPr lang="nl-NL" sz="1100" baseline="0"/>
            <a:t>Dit formulier wordt geprint. Vervolgens besproken en ingevuld. Daarna bewaard in het portfolio van het kind.</a:t>
          </a:r>
        </a:p>
        <a:p>
          <a:pPr algn="l"/>
          <a:endParaRPr lang="nl-NL" sz="1100" baseline="0"/>
        </a:p>
        <a:p>
          <a:pPr algn="l"/>
          <a:endParaRPr lang="nl-NL" sz="1100" baseline="0"/>
        </a:p>
        <a:p>
          <a:pPr algn="l"/>
          <a:endParaRPr lang="nl-NL" sz="1100"/>
        </a:p>
      </xdr:txBody>
    </xdr:sp>
    <xdr:clientData/>
  </xdr:twoCellAnchor>
  <xdr:twoCellAnchor>
    <xdr:from>
      <xdr:col>15</xdr:col>
      <xdr:colOff>228600</xdr:colOff>
      <xdr:row>5</xdr:row>
      <xdr:rowOff>152400</xdr:rowOff>
    </xdr:from>
    <xdr:to>
      <xdr:col>18</xdr:col>
      <xdr:colOff>76200</xdr:colOff>
      <xdr:row>13</xdr:row>
      <xdr:rowOff>76200</xdr:rowOff>
    </xdr:to>
    <xdr:sp macro="" textlink="">
      <xdr:nvSpPr>
        <xdr:cNvPr id="4" name="Pijl: links 7">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bwMode="auto">
        <a:xfrm flipH="1">
          <a:off x="9372600" y="10572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1</xdr:col>
      <xdr:colOff>47625</xdr:colOff>
      <xdr:row>3</xdr:row>
      <xdr:rowOff>142875</xdr:rowOff>
    </xdr:from>
    <xdr:to>
      <xdr:col>8</xdr:col>
      <xdr:colOff>561975</xdr:colOff>
      <xdr:row>46</xdr:row>
      <xdr:rowOff>95250</xdr:rowOff>
    </xdr:to>
    <xdr:pic>
      <xdr:nvPicPr>
        <xdr:cNvPr id="5" name="Afbeelding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 y="723900"/>
          <a:ext cx="4781550"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25400</xdr:colOff>
      <xdr:row>3</xdr:row>
      <xdr:rowOff>127000</xdr:rowOff>
    </xdr:from>
    <xdr:to>
      <xdr:col>18</xdr:col>
      <xdr:colOff>3175</xdr:colOff>
      <xdr:row>33</xdr:row>
      <xdr:rowOff>38100</xdr:rowOff>
    </xdr:to>
    <xdr:pic>
      <xdr:nvPicPr>
        <xdr:cNvPr id="6" name="Afbeelding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698500"/>
          <a:ext cx="10858500" cy="46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228600</xdr:colOff>
      <xdr:row>5</xdr:row>
      <xdr:rowOff>152400</xdr:rowOff>
    </xdr:from>
    <xdr:to>
      <xdr:col>18</xdr:col>
      <xdr:colOff>76200</xdr:colOff>
      <xdr:row>13</xdr:row>
      <xdr:rowOff>76200</xdr:rowOff>
    </xdr:to>
    <xdr:sp macro="" textlink="">
      <xdr:nvSpPr>
        <xdr:cNvPr id="3" name="Pijl: links 7">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bwMode="auto">
        <a:xfrm flipH="1">
          <a:off x="9848850" y="1041400"/>
          <a:ext cx="1771650" cy="11938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8</xdr:col>
      <xdr:colOff>337065</xdr:colOff>
      <xdr:row>26</xdr:row>
      <xdr:rowOff>72705</xdr:rowOff>
    </xdr:from>
    <xdr:to>
      <xdr:col>9</xdr:col>
      <xdr:colOff>464065</xdr:colOff>
      <xdr:row>27</xdr:row>
      <xdr:rowOff>88172</xdr:rowOff>
    </xdr:to>
    <xdr:sp macro="" textlink="">
      <xdr:nvSpPr>
        <xdr:cNvPr id="7" name="Pijl: links 6">
          <a:extLst>
            <a:ext uri="{FF2B5EF4-FFF2-40B4-BE49-F238E27FC236}">
              <a16:creationId xmlns:a16="http://schemas.microsoft.com/office/drawing/2014/main" id="{00000000-0008-0000-0C00-000007000000}"/>
            </a:ext>
          </a:extLst>
        </xdr:cNvPr>
        <xdr:cNvSpPr/>
      </xdr:nvSpPr>
      <xdr:spPr bwMode="auto">
        <a:xfrm rot="981836">
          <a:off x="5467865" y="4295455"/>
          <a:ext cx="768350" cy="174217"/>
        </a:xfrm>
        <a:prstGeom prst="leftArrow">
          <a:avLst>
            <a:gd name="adj1" fmla="val 50000"/>
            <a:gd name="adj2" fmla="val 108204"/>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6</xdr:col>
      <xdr:colOff>268408</xdr:colOff>
      <xdr:row>26</xdr:row>
      <xdr:rowOff>82518</xdr:rowOff>
    </xdr:from>
    <xdr:to>
      <xdr:col>9</xdr:col>
      <xdr:colOff>484038</xdr:colOff>
      <xdr:row>27</xdr:row>
      <xdr:rowOff>108302</xdr:rowOff>
    </xdr:to>
    <xdr:sp macro="" textlink="">
      <xdr:nvSpPr>
        <xdr:cNvPr id="8" name="Pijl: links 7">
          <a:extLst>
            <a:ext uri="{FF2B5EF4-FFF2-40B4-BE49-F238E27FC236}">
              <a16:creationId xmlns:a16="http://schemas.microsoft.com/office/drawing/2014/main" id="{00000000-0008-0000-0C00-000008000000}"/>
            </a:ext>
          </a:extLst>
        </xdr:cNvPr>
        <xdr:cNvSpPr/>
      </xdr:nvSpPr>
      <xdr:spPr bwMode="auto">
        <a:xfrm rot="981836">
          <a:off x="4116508" y="4305268"/>
          <a:ext cx="2139680" cy="184534"/>
        </a:xfrm>
        <a:prstGeom prst="leftArrow">
          <a:avLst>
            <a:gd name="adj1" fmla="val 50000"/>
            <a:gd name="adj2" fmla="val 122820"/>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7</xdr:col>
      <xdr:colOff>560508</xdr:colOff>
      <xdr:row>31</xdr:row>
      <xdr:rowOff>82518</xdr:rowOff>
    </xdr:from>
    <xdr:to>
      <xdr:col>11</xdr:col>
      <xdr:colOff>134788</xdr:colOff>
      <xdr:row>32</xdr:row>
      <xdr:rowOff>108302</xdr:rowOff>
    </xdr:to>
    <xdr:sp macro="" textlink="">
      <xdr:nvSpPr>
        <xdr:cNvPr id="9" name="Pijl: links 8">
          <a:extLst>
            <a:ext uri="{FF2B5EF4-FFF2-40B4-BE49-F238E27FC236}">
              <a16:creationId xmlns:a16="http://schemas.microsoft.com/office/drawing/2014/main" id="{00000000-0008-0000-0C00-000009000000}"/>
            </a:ext>
          </a:extLst>
        </xdr:cNvPr>
        <xdr:cNvSpPr/>
      </xdr:nvSpPr>
      <xdr:spPr bwMode="auto">
        <a:xfrm rot="19093234">
          <a:off x="5049958" y="5099018"/>
          <a:ext cx="2139680" cy="184534"/>
        </a:xfrm>
        <a:prstGeom prst="leftArrow">
          <a:avLst>
            <a:gd name="adj1" fmla="val 50000"/>
            <a:gd name="adj2" fmla="val 122820"/>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9</xdr:col>
      <xdr:colOff>427354</xdr:colOff>
      <xdr:row>21</xdr:row>
      <xdr:rowOff>24765</xdr:rowOff>
    </xdr:from>
    <xdr:to>
      <xdr:col>13</xdr:col>
      <xdr:colOff>570229</xdr:colOff>
      <xdr:row>35</xdr:row>
      <xdr:rowOff>22860</xdr:rowOff>
    </xdr:to>
    <xdr:sp macro="" textlink="">
      <xdr:nvSpPr>
        <xdr:cNvPr id="2" name="Afgeronde rechthoek 1">
          <a:extLst>
            <a:ext uri="{FF2B5EF4-FFF2-40B4-BE49-F238E27FC236}">
              <a16:creationId xmlns:a16="http://schemas.microsoft.com/office/drawing/2014/main" id="{00000000-0008-0000-0C00-000002000000}"/>
            </a:ext>
          </a:extLst>
        </xdr:cNvPr>
        <xdr:cNvSpPr/>
      </xdr:nvSpPr>
      <xdr:spPr bwMode="auto">
        <a:xfrm>
          <a:off x="5913754" y="3484245"/>
          <a:ext cx="2581275" cy="22383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baseline="0"/>
        </a:p>
        <a:p>
          <a:pPr algn="l"/>
          <a:r>
            <a:rPr lang="nl-NL" sz="1100" baseline="0"/>
            <a:t>Gewoon een handig blad voor verwijzing naar het VO.</a:t>
          </a:r>
        </a:p>
        <a:p>
          <a:pPr algn="l"/>
          <a:r>
            <a:rPr lang="nl-NL" sz="1100" baseline="0"/>
            <a:t>Alle zaken staan overzichtelijk naast elkaar.</a:t>
          </a:r>
        </a:p>
        <a:p>
          <a:pPr algn="l"/>
          <a:r>
            <a:rPr lang="nl-NL" sz="1100" baseline="0"/>
            <a:t>Je zult merken dat er voor Cito en IEP ook een </a:t>
          </a:r>
          <a:r>
            <a:rPr lang="nl-NL" sz="1100" b="1" u="sng" baseline="0"/>
            <a:t>voorspellende</a:t>
          </a:r>
          <a:r>
            <a:rPr lang="nl-NL" sz="1100" baseline="0"/>
            <a:t> waarde is ingebouwd.</a:t>
          </a:r>
        </a:p>
        <a:p>
          <a:pPr algn="l"/>
          <a:endParaRPr lang="nl-NL" sz="1100" baseline="0"/>
        </a:p>
        <a:p>
          <a:pPr algn="l"/>
          <a:r>
            <a:rPr lang="nl-NL" sz="1100" baseline="0"/>
            <a:t>Kijk ook onderaan de kolom voor de gemiddelde voorspellende waarde.</a:t>
          </a:r>
        </a:p>
        <a:p>
          <a:pPr algn="l"/>
          <a:endParaRPr lang="nl-NL" sz="1100" baseline="0"/>
        </a:p>
        <a:p>
          <a:pPr algn="l"/>
          <a:endParaRPr lang="nl-NL" sz="1100" baseline="0"/>
        </a:p>
        <a:p>
          <a:pPr algn="l"/>
          <a:endParaRPr lang="nl-NL"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444500</xdr:colOff>
      <xdr:row>4</xdr:row>
      <xdr:rowOff>133350</xdr:rowOff>
    </xdr:from>
    <xdr:to>
      <xdr:col>16</xdr:col>
      <xdr:colOff>606425</xdr:colOff>
      <xdr:row>28</xdr:row>
      <xdr:rowOff>101600</xdr:rowOff>
    </xdr:to>
    <xdr:pic>
      <xdr:nvPicPr>
        <xdr:cNvPr id="8" name="Afbeelding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 y="863600"/>
          <a:ext cx="10433050" cy="377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454024</xdr:colOff>
      <xdr:row>5</xdr:row>
      <xdr:rowOff>149225</xdr:rowOff>
    </xdr:from>
    <xdr:to>
      <xdr:col>11</xdr:col>
      <xdr:colOff>57150</xdr:colOff>
      <xdr:row>12</xdr:row>
      <xdr:rowOff>133350</xdr:rowOff>
    </xdr:to>
    <xdr:sp macro="" textlink="">
      <xdr:nvSpPr>
        <xdr:cNvPr id="7" name="Afgeronde rechthoek 1">
          <a:extLst>
            <a:ext uri="{FF2B5EF4-FFF2-40B4-BE49-F238E27FC236}">
              <a16:creationId xmlns:a16="http://schemas.microsoft.com/office/drawing/2014/main" id="{00000000-0008-0000-0D00-000007000000}"/>
            </a:ext>
          </a:extLst>
        </xdr:cNvPr>
        <xdr:cNvSpPr/>
      </xdr:nvSpPr>
      <xdr:spPr bwMode="auto">
        <a:xfrm>
          <a:off x="4302124" y="1038225"/>
          <a:ext cx="2809876" cy="10953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baseline="0"/>
        </a:p>
        <a:p>
          <a:pPr algn="l"/>
          <a:r>
            <a:rPr lang="nl-NL" sz="1100" baseline="0"/>
            <a:t>Gewoon een handig blad.</a:t>
          </a:r>
        </a:p>
        <a:p>
          <a:pPr algn="l"/>
          <a:endParaRPr lang="nl-NL" sz="1100" baseline="0"/>
        </a:p>
        <a:p>
          <a:pPr algn="l"/>
          <a:r>
            <a:rPr lang="nl-NL" sz="1100" baseline="0"/>
            <a:t>Alle zaken staan overzichtelijk naast elkaar.</a:t>
          </a:r>
        </a:p>
        <a:p>
          <a:pPr algn="l"/>
          <a:endParaRPr lang="nl-NL" sz="1100" baseline="0"/>
        </a:p>
        <a:p>
          <a:pPr algn="l"/>
          <a:endParaRPr lang="nl-NL" sz="1100"/>
        </a:p>
      </xdr:txBody>
    </xdr:sp>
    <xdr:clientData/>
  </xdr:twoCellAnchor>
  <xdr:twoCellAnchor>
    <xdr:from>
      <xdr:col>12</xdr:col>
      <xdr:colOff>482600</xdr:colOff>
      <xdr:row>2</xdr:row>
      <xdr:rowOff>234950</xdr:rowOff>
    </xdr:from>
    <xdr:to>
      <xdr:col>15</xdr:col>
      <xdr:colOff>330200</xdr:colOff>
      <xdr:row>10</xdr:row>
      <xdr:rowOff>63500</xdr:rowOff>
    </xdr:to>
    <xdr:sp macro="" textlink="">
      <xdr:nvSpPr>
        <xdr:cNvPr id="3" name="Pijl: links 7">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bwMode="auto">
        <a:xfrm flipH="1">
          <a:off x="8187267" y="559506"/>
          <a:ext cx="1773766" cy="1218494"/>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13</xdr:col>
      <xdr:colOff>117474</xdr:colOff>
      <xdr:row>9</xdr:row>
      <xdr:rowOff>66675</xdr:rowOff>
    </xdr:from>
    <xdr:to>
      <xdr:col>17</xdr:col>
      <xdr:colOff>260349</xdr:colOff>
      <xdr:row>35</xdr:row>
      <xdr:rowOff>47624</xdr:rowOff>
    </xdr:to>
    <xdr:sp macro="" textlink="">
      <xdr:nvSpPr>
        <xdr:cNvPr id="2" name="Afgeronde rechthoek 1">
          <a:extLst>
            <a:ext uri="{FF2B5EF4-FFF2-40B4-BE49-F238E27FC236}">
              <a16:creationId xmlns:a16="http://schemas.microsoft.com/office/drawing/2014/main" id="{00000000-0008-0000-0E00-000002000000}"/>
            </a:ext>
          </a:extLst>
        </xdr:cNvPr>
        <xdr:cNvSpPr/>
      </xdr:nvSpPr>
      <xdr:spPr bwMode="auto">
        <a:xfrm>
          <a:off x="8455024" y="1590675"/>
          <a:ext cx="2708275" cy="4108449"/>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baseline="0"/>
            <a:t>Via het tabblad NIVEAU WAARDE kunnen de Referentiewaardes ingetoets worden.</a:t>
          </a:r>
        </a:p>
        <a:p>
          <a:pPr algn="l"/>
          <a:endParaRPr lang="nl-NL" sz="1100" baseline="0"/>
        </a:p>
        <a:p>
          <a:pPr algn="l"/>
          <a:r>
            <a:rPr lang="nl-NL" sz="1100" baseline="0"/>
            <a:t>De referentieniveaus verschijnen vanaf groep 6 bij de scores van de </a:t>
          </a:r>
        </a:p>
        <a:p>
          <a:pPr algn="l"/>
          <a:r>
            <a:rPr lang="nl-NL" sz="1100" baseline="0"/>
            <a:t>Niet-methodetoetsen.</a:t>
          </a:r>
        </a:p>
        <a:p>
          <a:pPr algn="l"/>
          <a:endParaRPr lang="nl-NL" sz="1100" baseline="0"/>
        </a:p>
        <a:p>
          <a:pPr algn="l"/>
          <a:r>
            <a:rPr lang="nl-NL" sz="1100" baseline="0"/>
            <a:t>Samen met de hoogte van m.n. de 2F/1S scores kan bepaald worden of de school op koers ligt.</a:t>
          </a:r>
        </a:p>
        <a:p>
          <a:pPr algn="l"/>
          <a:endParaRPr lang="nl-NL" sz="1100" baseline="0"/>
        </a:p>
        <a:p>
          <a:pPr algn="l"/>
          <a:r>
            <a:rPr lang="nl-NL" sz="1100" baseline="0"/>
            <a:t>De Referentiescores van Lezen - Taal - Rekenen komen in beeld.</a:t>
          </a:r>
        </a:p>
        <a:p>
          <a:pPr algn="l"/>
          <a:endParaRPr lang="nl-NL" sz="1100" baseline="0"/>
        </a:p>
        <a:p>
          <a:pPr algn="l"/>
          <a:r>
            <a:rPr lang="nl-NL" sz="1100" baseline="0"/>
            <a:t>Met de Eindtoets van groep 8 is het beeld van de referentiescores compleet. En kan geëvalueerd worden waar we goed op koers liggen en waar zo nodig bijgestuurd moet worden. </a:t>
          </a:r>
        </a:p>
        <a:p>
          <a:pPr algn="l"/>
          <a:endParaRPr lang="nl-NL" sz="1100" baseline="0"/>
        </a:p>
        <a:p>
          <a:pPr algn="l"/>
          <a:endParaRPr lang="nl-NL" sz="1100" baseline="0"/>
        </a:p>
        <a:p>
          <a:pPr algn="l"/>
          <a:endParaRPr lang="nl-NL" sz="1100" baseline="0"/>
        </a:p>
        <a:p>
          <a:pPr algn="l"/>
          <a:endParaRPr lang="nl-NL" sz="1100"/>
        </a:p>
      </xdr:txBody>
    </xdr:sp>
    <xdr:clientData/>
  </xdr:twoCellAnchor>
  <xdr:twoCellAnchor>
    <xdr:from>
      <xdr:col>13</xdr:col>
      <xdr:colOff>514350</xdr:colOff>
      <xdr:row>2</xdr:row>
      <xdr:rowOff>57150</xdr:rowOff>
    </xdr:from>
    <xdr:to>
      <xdr:col>16</xdr:col>
      <xdr:colOff>361950</xdr:colOff>
      <xdr:row>9</xdr:row>
      <xdr:rowOff>44450</xdr:rowOff>
    </xdr:to>
    <xdr:sp macro="" textlink="">
      <xdr:nvSpPr>
        <xdr:cNvPr id="3" name="Pijl: links 7">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bwMode="auto">
        <a:xfrm flipH="1">
          <a:off x="8851900" y="374650"/>
          <a:ext cx="1771650" cy="11938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450850</xdr:colOff>
      <xdr:row>3</xdr:row>
      <xdr:rowOff>63500</xdr:rowOff>
    </xdr:from>
    <xdr:to>
      <xdr:col>12</xdr:col>
      <xdr:colOff>609600</xdr:colOff>
      <xdr:row>36</xdr:row>
      <xdr:rowOff>101600</xdr:rowOff>
    </xdr:to>
    <xdr:pic>
      <xdr:nvPicPr>
        <xdr:cNvPr id="5" name="Afbeelding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850" y="635000"/>
          <a:ext cx="7854950"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523874</xdr:colOff>
      <xdr:row>1</xdr:row>
      <xdr:rowOff>25399</xdr:rowOff>
    </xdr:from>
    <xdr:to>
      <xdr:col>18</xdr:col>
      <xdr:colOff>9525</xdr:colOff>
      <xdr:row>15</xdr:row>
      <xdr:rowOff>6350</xdr:rowOff>
    </xdr:to>
    <xdr:sp macro="" textlink="">
      <xdr:nvSpPr>
        <xdr:cNvPr id="2" name="Rechthoek 1">
          <a:extLst>
            <a:ext uri="{FF2B5EF4-FFF2-40B4-BE49-F238E27FC236}">
              <a16:creationId xmlns:a16="http://schemas.microsoft.com/office/drawing/2014/main" id="{00000000-0008-0000-0F00-000002000000}"/>
            </a:ext>
          </a:extLst>
        </xdr:cNvPr>
        <xdr:cNvSpPr/>
      </xdr:nvSpPr>
      <xdr:spPr bwMode="auto">
        <a:xfrm>
          <a:off x="523874" y="184149"/>
          <a:ext cx="10858501" cy="2228851"/>
        </a:xfrm>
        <a:prstGeom prst="rect">
          <a:avLst/>
        </a:prstGeom>
        <a:noFill/>
        <a:ln w="57150" cap="flat"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oneCellAnchor>
    <xdr:from>
      <xdr:col>4</xdr:col>
      <xdr:colOff>117623</xdr:colOff>
      <xdr:row>3</xdr:row>
      <xdr:rowOff>150532</xdr:rowOff>
    </xdr:from>
    <xdr:ext cx="3953848" cy="478118"/>
    <xdr:pic>
      <xdr:nvPicPr>
        <xdr:cNvPr id="3" name="Afbeelding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3023" y="633132"/>
          <a:ext cx="3953848" cy="4781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536575</xdr:colOff>
      <xdr:row>4</xdr:row>
      <xdr:rowOff>19050</xdr:rowOff>
    </xdr:from>
    <xdr:to>
      <xdr:col>15</xdr:col>
      <xdr:colOff>346075</xdr:colOff>
      <xdr:row>7</xdr:row>
      <xdr:rowOff>88900</xdr:rowOff>
    </xdr:to>
    <xdr:pic>
      <xdr:nvPicPr>
        <xdr:cNvPr id="5" name="Afbeelding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42375" y="660400"/>
          <a:ext cx="1092200" cy="54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536574</xdr:colOff>
      <xdr:row>36</xdr:row>
      <xdr:rowOff>6349</xdr:rowOff>
    </xdr:from>
    <xdr:to>
      <xdr:col>17</xdr:col>
      <xdr:colOff>600075</xdr:colOff>
      <xdr:row>48</xdr:row>
      <xdr:rowOff>139700</xdr:rowOff>
    </xdr:to>
    <xdr:sp macro="" textlink="">
      <xdr:nvSpPr>
        <xdr:cNvPr id="7" name="Rechthoek 6">
          <a:extLst>
            <a:ext uri="{FF2B5EF4-FFF2-40B4-BE49-F238E27FC236}">
              <a16:creationId xmlns:a16="http://schemas.microsoft.com/office/drawing/2014/main" id="{00000000-0008-0000-0F00-000007000000}"/>
            </a:ext>
          </a:extLst>
        </xdr:cNvPr>
        <xdr:cNvSpPr/>
      </xdr:nvSpPr>
      <xdr:spPr bwMode="auto">
        <a:xfrm>
          <a:off x="536574" y="5778499"/>
          <a:ext cx="10795001" cy="2070101"/>
        </a:xfrm>
        <a:prstGeom prst="rect">
          <a:avLst/>
        </a:prstGeom>
        <a:noFill/>
        <a:ln w="57150" cap="flat" cmpd="sng" algn="ctr">
          <a:solidFill>
            <a:srgbClr val="00B0F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editAs="oneCell">
    <xdr:from>
      <xdr:col>12</xdr:col>
      <xdr:colOff>212725</xdr:colOff>
      <xdr:row>50</xdr:row>
      <xdr:rowOff>149225</xdr:rowOff>
    </xdr:from>
    <xdr:to>
      <xdr:col>15</xdr:col>
      <xdr:colOff>454025</xdr:colOff>
      <xdr:row>61</xdr:row>
      <xdr:rowOff>12700</xdr:rowOff>
    </xdr:to>
    <xdr:pic>
      <xdr:nvPicPr>
        <xdr:cNvPr id="8" name="Afbeelding 7">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77175" y="8175625"/>
          <a:ext cx="2165350" cy="164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73025</xdr:colOff>
      <xdr:row>61</xdr:row>
      <xdr:rowOff>152400</xdr:rowOff>
    </xdr:from>
    <xdr:to>
      <xdr:col>2</xdr:col>
      <xdr:colOff>382795</xdr:colOff>
      <xdr:row>67</xdr:row>
      <xdr:rowOff>85164</xdr:rowOff>
    </xdr:to>
    <xdr:pic>
      <xdr:nvPicPr>
        <xdr:cNvPr id="9" name="Afbeelding 8">
          <a:hlinkClick xmlns:r="http://schemas.openxmlformats.org/officeDocument/2006/relationships" r:id="rId4"/>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714375" y="9956800"/>
          <a:ext cx="951120" cy="885264"/>
        </a:xfrm>
        <a:prstGeom prst="roundRect">
          <a:avLst>
            <a:gd name="adj" fmla="val 4167"/>
          </a:avLst>
        </a:prstGeom>
        <a:solidFill>
          <a:srgbClr val="FFFFFF"/>
        </a:solidFill>
        <a:ln w="31750" cap="sq">
          <a:solidFill>
            <a:srgbClr val="66CCFF"/>
          </a:solidFill>
          <a:miter lim="800000"/>
        </a:ln>
        <a:effectLst/>
      </xdr:spPr>
    </xdr:pic>
    <xdr:clientData/>
  </xdr:twoCellAnchor>
  <xdr:twoCellAnchor>
    <xdr:from>
      <xdr:col>18</xdr:col>
      <xdr:colOff>590550</xdr:colOff>
      <xdr:row>8</xdr:row>
      <xdr:rowOff>142875</xdr:rowOff>
    </xdr:from>
    <xdr:to>
      <xdr:col>21</xdr:col>
      <xdr:colOff>254000</xdr:colOff>
      <xdr:row>15</xdr:row>
      <xdr:rowOff>95250</xdr:rowOff>
    </xdr:to>
    <xdr:sp macro="" textlink="">
      <xdr:nvSpPr>
        <xdr:cNvPr id="10" name="Pijl: links 7">
          <a:hlinkClick xmlns:r="http://schemas.openxmlformats.org/officeDocument/2006/relationships" r:id="rId6"/>
          <a:extLst>
            <a:ext uri="{FF2B5EF4-FFF2-40B4-BE49-F238E27FC236}">
              <a16:creationId xmlns:a16="http://schemas.microsoft.com/office/drawing/2014/main" id="{00000000-0008-0000-0F00-00000A000000}"/>
            </a:ext>
          </a:extLst>
        </xdr:cNvPr>
        <xdr:cNvSpPr/>
      </xdr:nvSpPr>
      <xdr:spPr bwMode="auto">
        <a:xfrm flipH="1">
          <a:off x="11963400" y="1425575"/>
          <a:ext cx="1587500" cy="1076325"/>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0</xdr:col>
      <xdr:colOff>517524</xdr:colOff>
      <xdr:row>16</xdr:row>
      <xdr:rowOff>6349</xdr:rowOff>
    </xdr:from>
    <xdr:to>
      <xdr:col>18</xdr:col>
      <xdr:colOff>0</xdr:colOff>
      <xdr:row>28</xdr:row>
      <xdr:rowOff>142875</xdr:rowOff>
    </xdr:to>
    <xdr:sp macro="" textlink="">
      <xdr:nvSpPr>
        <xdr:cNvPr id="11" name="Rechthoek 10">
          <a:extLst>
            <a:ext uri="{FF2B5EF4-FFF2-40B4-BE49-F238E27FC236}">
              <a16:creationId xmlns:a16="http://schemas.microsoft.com/office/drawing/2014/main" id="{00000000-0008-0000-0F00-00000B000000}"/>
            </a:ext>
          </a:extLst>
        </xdr:cNvPr>
        <xdr:cNvSpPr/>
      </xdr:nvSpPr>
      <xdr:spPr bwMode="auto">
        <a:xfrm>
          <a:off x="517524" y="2571749"/>
          <a:ext cx="10855326" cy="2060576"/>
        </a:xfrm>
        <a:prstGeom prst="rect">
          <a:avLst/>
        </a:prstGeom>
        <a:noFill/>
        <a:ln w="57150" cap="flat" cmpd="sng" algn="ctr">
          <a:solidFill>
            <a:srgbClr val="00B0F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0</xdr:col>
      <xdr:colOff>517524</xdr:colOff>
      <xdr:row>50</xdr:row>
      <xdr:rowOff>6349</xdr:rowOff>
    </xdr:from>
    <xdr:to>
      <xdr:col>17</xdr:col>
      <xdr:colOff>590550</xdr:colOff>
      <xdr:row>68</xdr:row>
      <xdr:rowOff>28575</xdr:rowOff>
    </xdr:to>
    <xdr:sp macro="" textlink="">
      <xdr:nvSpPr>
        <xdr:cNvPr id="12" name="Rechthoek 11">
          <a:extLst>
            <a:ext uri="{FF2B5EF4-FFF2-40B4-BE49-F238E27FC236}">
              <a16:creationId xmlns:a16="http://schemas.microsoft.com/office/drawing/2014/main" id="{00000000-0008-0000-0F00-00000C000000}"/>
            </a:ext>
          </a:extLst>
        </xdr:cNvPr>
        <xdr:cNvSpPr/>
      </xdr:nvSpPr>
      <xdr:spPr bwMode="auto">
        <a:xfrm>
          <a:off x="517524" y="8032749"/>
          <a:ext cx="10804526" cy="2911476"/>
        </a:xfrm>
        <a:prstGeom prst="rect">
          <a:avLst/>
        </a:prstGeom>
        <a:noFill/>
        <a:ln w="57150" cap="flat"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editAs="oneCell">
    <xdr:from>
      <xdr:col>1</xdr:col>
      <xdr:colOff>19050</xdr:colOff>
      <xdr:row>43</xdr:row>
      <xdr:rowOff>69850</xdr:rowOff>
    </xdr:from>
    <xdr:to>
      <xdr:col>9</xdr:col>
      <xdr:colOff>253186</xdr:colOff>
      <xdr:row>47</xdr:row>
      <xdr:rowOff>139700</xdr:rowOff>
    </xdr:to>
    <xdr:pic>
      <xdr:nvPicPr>
        <xdr:cNvPr id="13" name="Afbeelding 12">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0400" y="6985000"/>
          <a:ext cx="5333186"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517524</xdr:colOff>
      <xdr:row>30</xdr:row>
      <xdr:rowOff>6349</xdr:rowOff>
    </xdr:from>
    <xdr:to>
      <xdr:col>17</xdr:col>
      <xdr:colOff>600075</xdr:colOff>
      <xdr:row>35</xdr:row>
      <xdr:rowOff>6350</xdr:rowOff>
    </xdr:to>
    <xdr:sp macro="" textlink="">
      <xdr:nvSpPr>
        <xdr:cNvPr id="14" name="Rechthoek 13">
          <a:extLst>
            <a:ext uri="{FF2B5EF4-FFF2-40B4-BE49-F238E27FC236}">
              <a16:creationId xmlns:a16="http://schemas.microsoft.com/office/drawing/2014/main" id="{00000000-0008-0000-0F00-00000E000000}"/>
            </a:ext>
          </a:extLst>
        </xdr:cNvPr>
        <xdr:cNvSpPr/>
      </xdr:nvSpPr>
      <xdr:spPr bwMode="auto">
        <a:xfrm>
          <a:off x="517524" y="4813299"/>
          <a:ext cx="10814051" cy="806451"/>
        </a:xfrm>
        <a:prstGeom prst="rect">
          <a:avLst/>
        </a:prstGeom>
        <a:noFill/>
        <a:ln w="57150" cap="flat"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editAs="oneCell">
    <xdr:from>
      <xdr:col>12</xdr:col>
      <xdr:colOff>171450</xdr:colOff>
      <xdr:row>17</xdr:row>
      <xdr:rowOff>82550</xdr:rowOff>
    </xdr:from>
    <xdr:to>
      <xdr:col>15</xdr:col>
      <xdr:colOff>431800</xdr:colOff>
      <xdr:row>27</xdr:row>
      <xdr:rowOff>130175</xdr:rowOff>
    </xdr:to>
    <xdr:pic>
      <xdr:nvPicPr>
        <xdr:cNvPr id="15" name="Afbeelding 14">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835900" y="2806700"/>
          <a:ext cx="2184400" cy="1654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184150</xdr:colOff>
      <xdr:row>37</xdr:row>
      <xdr:rowOff>12700</xdr:rowOff>
    </xdr:from>
    <xdr:to>
      <xdr:col>15</xdr:col>
      <xdr:colOff>425450</xdr:colOff>
      <xdr:row>47</xdr:row>
      <xdr:rowOff>38100</xdr:rowOff>
    </xdr:to>
    <xdr:pic>
      <xdr:nvPicPr>
        <xdr:cNvPr id="17" name="Afbeelding 16">
          <a:extLst>
            <a:ext uri="{FF2B5EF4-FFF2-40B4-BE49-F238E27FC236}">
              <a16:creationId xmlns:a16="http://schemas.microsoft.com/office/drawing/2014/main" id="{00000000-0008-0000-0F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48600" y="5943600"/>
          <a:ext cx="2165350" cy="164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57</xdr:row>
      <xdr:rowOff>19050</xdr:rowOff>
    </xdr:from>
    <xdr:to>
      <xdr:col>9</xdr:col>
      <xdr:colOff>234136</xdr:colOff>
      <xdr:row>61</xdr:row>
      <xdr:rowOff>88900</xdr:rowOff>
    </xdr:to>
    <xdr:pic>
      <xdr:nvPicPr>
        <xdr:cNvPr id="18" name="Afbeelding 17">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1350" y="9182100"/>
          <a:ext cx="5333186" cy="71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436560</xdr:colOff>
      <xdr:row>3</xdr:row>
      <xdr:rowOff>150811</xdr:rowOff>
    </xdr:from>
    <xdr:to>
      <xdr:col>17</xdr:col>
      <xdr:colOff>325436</xdr:colOff>
      <xdr:row>14</xdr:row>
      <xdr:rowOff>16364</xdr:rowOff>
    </xdr:to>
    <xdr:pic>
      <xdr:nvPicPr>
        <xdr:cNvPr id="19" name="Afbeelding 18">
          <a:extLst>
            <a:ext uri="{FF2B5EF4-FFF2-40B4-BE49-F238E27FC236}">
              <a16:creationId xmlns:a16="http://schemas.microsoft.com/office/drawing/2014/main" id="{00000000-0008-0000-0F00-00001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048873" y="634999"/>
          <a:ext cx="1031876" cy="1635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460373</xdr:colOff>
      <xdr:row>17</xdr:row>
      <xdr:rowOff>39689</xdr:rowOff>
    </xdr:from>
    <xdr:to>
      <xdr:col>17</xdr:col>
      <xdr:colOff>358956</xdr:colOff>
      <xdr:row>27</xdr:row>
      <xdr:rowOff>79377</xdr:rowOff>
    </xdr:to>
    <xdr:pic>
      <xdr:nvPicPr>
        <xdr:cNvPr id="20" name="Afbeelding 19">
          <a:extLst>
            <a:ext uri="{FF2B5EF4-FFF2-40B4-BE49-F238E27FC236}">
              <a16:creationId xmlns:a16="http://schemas.microsoft.com/office/drawing/2014/main" id="{00000000-0008-0000-0F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072686" y="2770189"/>
          <a:ext cx="1041583" cy="1651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460374</xdr:colOff>
      <xdr:row>36</xdr:row>
      <xdr:rowOff>134938</xdr:rowOff>
    </xdr:from>
    <xdr:to>
      <xdr:col>17</xdr:col>
      <xdr:colOff>365124</xdr:colOff>
      <xdr:row>47</xdr:row>
      <xdr:rowOff>19326</xdr:rowOff>
    </xdr:to>
    <xdr:pic>
      <xdr:nvPicPr>
        <xdr:cNvPr id="21" name="Afbeelding 20">
          <a:extLst>
            <a:ext uri="{FF2B5EF4-FFF2-40B4-BE49-F238E27FC236}">
              <a16:creationId xmlns:a16="http://schemas.microsoft.com/office/drawing/2014/main" id="{00000000-0008-0000-0F00-00001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072687" y="5921376"/>
          <a:ext cx="1047750" cy="167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293784</xdr:colOff>
      <xdr:row>1</xdr:row>
      <xdr:rowOff>0</xdr:rowOff>
    </xdr:from>
    <xdr:to>
      <xdr:col>13</xdr:col>
      <xdr:colOff>136899</xdr:colOff>
      <xdr:row>4</xdr:row>
      <xdr:rowOff>147357</xdr:rowOff>
    </xdr:to>
    <xdr:sp macro="" textlink="">
      <xdr:nvSpPr>
        <xdr:cNvPr id="10" name="AutoShape 48">
          <a:hlinkClick xmlns:r="http://schemas.openxmlformats.org/officeDocument/2006/relationships" r:id="rId1"/>
          <a:extLst>
            <a:ext uri="{FF2B5EF4-FFF2-40B4-BE49-F238E27FC236}">
              <a16:creationId xmlns:a16="http://schemas.microsoft.com/office/drawing/2014/main" id="{00000000-0008-0000-1000-00000A000000}"/>
            </a:ext>
          </a:extLst>
        </xdr:cNvPr>
        <xdr:cNvSpPr>
          <a:spLocks noChangeArrowheads="1"/>
        </xdr:cNvSpPr>
      </xdr:nvSpPr>
      <xdr:spPr bwMode="auto">
        <a:xfrm>
          <a:off x="4679019" y="201706"/>
          <a:ext cx="1053351" cy="55076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304988</xdr:colOff>
      <xdr:row>5</xdr:row>
      <xdr:rowOff>131108</xdr:rowOff>
    </xdr:from>
    <xdr:to>
      <xdr:col>13</xdr:col>
      <xdr:colOff>125694</xdr:colOff>
      <xdr:row>5</xdr:row>
      <xdr:rowOff>714935</xdr:rowOff>
    </xdr:to>
    <xdr:sp macro="" textlink="">
      <xdr:nvSpPr>
        <xdr:cNvPr id="11" name="AutoShape 48">
          <a:hlinkClick xmlns:r="http://schemas.openxmlformats.org/officeDocument/2006/relationships" r:id="rId2"/>
          <a:extLst>
            <a:ext uri="{FF2B5EF4-FFF2-40B4-BE49-F238E27FC236}">
              <a16:creationId xmlns:a16="http://schemas.microsoft.com/office/drawing/2014/main" id="{00000000-0008-0000-1000-00000B000000}"/>
            </a:ext>
          </a:extLst>
        </xdr:cNvPr>
        <xdr:cNvSpPr>
          <a:spLocks noChangeArrowheads="1"/>
        </xdr:cNvSpPr>
      </xdr:nvSpPr>
      <xdr:spPr bwMode="auto">
        <a:xfrm>
          <a:off x="4690223" y="893108"/>
          <a:ext cx="1030942"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301625</xdr:colOff>
      <xdr:row>1</xdr:row>
      <xdr:rowOff>0</xdr:rowOff>
    </xdr:from>
    <xdr:to>
      <xdr:col>13</xdr:col>
      <xdr:colOff>148102</xdr:colOff>
      <xdr:row>4</xdr:row>
      <xdr:rowOff>147357</xdr:rowOff>
    </xdr:to>
    <xdr:sp macro="" textlink="">
      <xdr:nvSpPr>
        <xdr:cNvPr id="10" name="AutoShape 48">
          <a:hlinkClick xmlns:r="http://schemas.openxmlformats.org/officeDocument/2006/relationships" r:id="rId1"/>
          <a:extLst>
            <a:ext uri="{FF2B5EF4-FFF2-40B4-BE49-F238E27FC236}">
              <a16:creationId xmlns:a16="http://schemas.microsoft.com/office/drawing/2014/main" id="{00000000-0008-0000-1100-00000A000000}"/>
            </a:ext>
          </a:extLst>
        </xdr:cNvPr>
        <xdr:cNvSpPr>
          <a:spLocks noChangeArrowheads="1"/>
        </xdr:cNvSpPr>
      </xdr:nvSpPr>
      <xdr:spPr bwMode="auto">
        <a:xfrm>
          <a:off x="4670425" y="203200"/>
          <a:ext cx="1046627" cy="5474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312829</xdr:colOff>
      <xdr:row>5</xdr:row>
      <xdr:rowOff>131108</xdr:rowOff>
    </xdr:from>
    <xdr:to>
      <xdr:col>13</xdr:col>
      <xdr:colOff>136897</xdr:colOff>
      <xdr:row>5</xdr:row>
      <xdr:rowOff>714935</xdr:rowOff>
    </xdr:to>
    <xdr:sp macro="" textlink="">
      <xdr:nvSpPr>
        <xdr:cNvPr id="11" name="AutoShape 48">
          <a:hlinkClick xmlns:r="http://schemas.openxmlformats.org/officeDocument/2006/relationships" r:id="rId2"/>
          <a:extLst>
            <a:ext uri="{FF2B5EF4-FFF2-40B4-BE49-F238E27FC236}">
              <a16:creationId xmlns:a16="http://schemas.microsoft.com/office/drawing/2014/main" id="{00000000-0008-0000-1100-00000B000000}"/>
            </a:ext>
          </a:extLst>
        </xdr:cNvPr>
        <xdr:cNvSpPr>
          <a:spLocks noChangeArrowheads="1"/>
        </xdr:cNvSpPr>
      </xdr:nvSpPr>
      <xdr:spPr bwMode="auto">
        <a:xfrm>
          <a:off x="4681629" y="893108"/>
          <a:ext cx="1024218"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301625</xdr:colOff>
      <xdr:row>1</xdr:row>
      <xdr:rowOff>0</xdr:rowOff>
    </xdr:from>
    <xdr:to>
      <xdr:col>13</xdr:col>
      <xdr:colOff>148102</xdr:colOff>
      <xdr:row>4</xdr:row>
      <xdr:rowOff>147357</xdr:rowOff>
    </xdr:to>
    <xdr:sp macro="" textlink="">
      <xdr:nvSpPr>
        <xdr:cNvPr id="6" name="AutoShape 48">
          <a:hlinkClick xmlns:r="http://schemas.openxmlformats.org/officeDocument/2006/relationships" r:id="rId1"/>
          <a:extLst>
            <a:ext uri="{FF2B5EF4-FFF2-40B4-BE49-F238E27FC236}">
              <a16:creationId xmlns:a16="http://schemas.microsoft.com/office/drawing/2014/main" id="{00000000-0008-0000-1200-000006000000}"/>
            </a:ext>
          </a:extLst>
        </xdr:cNvPr>
        <xdr:cNvSpPr>
          <a:spLocks noChangeArrowheads="1"/>
        </xdr:cNvSpPr>
      </xdr:nvSpPr>
      <xdr:spPr bwMode="auto">
        <a:xfrm>
          <a:off x="4670425" y="203200"/>
          <a:ext cx="1046627" cy="5474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312829</xdr:colOff>
      <xdr:row>5</xdr:row>
      <xdr:rowOff>131108</xdr:rowOff>
    </xdr:from>
    <xdr:to>
      <xdr:col>13</xdr:col>
      <xdr:colOff>136897</xdr:colOff>
      <xdr:row>5</xdr:row>
      <xdr:rowOff>714935</xdr:rowOff>
    </xdr:to>
    <xdr:sp macro="" textlink="">
      <xdr:nvSpPr>
        <xdr:cNvPr id="9" name="AutoShape 48">
          <a:hlinkClick xmlns:r="http://schemas.openxmlformats.org/officeDocument/2006/relationships" r:id="rId2"/>
          <a:extLst>
            <a:ext uri="{FF2B5EF4-FFF2-40B4-BE49-F238E27FC236}">
              <a16:creationId xmlns:a16="http://schemas.microsoft.com/office/drawing/2014/main" id="{00000000-0008-0000-1200-000009000000}"/>
            </a:ext>
          </a:extLst>
        </xdr:cNvPr>
        <xdr:cNvSpPr>
          <a:spLocks noChangeArrowheads="1"/>
        </xdr:cNvSpPr>
      </xdr:nvSpPr>
      <xdr:spPr bwMode="auto">
        <a:xfrm>
          <a:off x="4681629" y="893108"/>
          <a:ext cx="1024218"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0</xdr:row>
      <xdr:rowOff>0</xdr:rowOff>
    </xdr:from>
    <xdr:to>
      <xdr:col>5</xdr:col>
      <xdr:colOff>219075</xdr:colOff>
      <xdr:row>2</xdr:row>
      <xdr:rowOff>152400</xdr:rowOff>
    </xdr:to>
    <xdr:pic>
      <xdr:nvPicPr>
        <xdr:cNvPr id="8" name="Afbeelding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299085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2</xdr:row>
      <xdr:rowOff>152400</xdr:rowOff>
    </xdr:from>
    <xdr:to>
      <xdr:col>21</xdr:col>
      <xdr:colOff>447675</xdr:colOff>
      <xdr:row>41</xdr:row>
      <xdr:rowOff>9525</xdr:rowOff>
    </xdr:to>
    <xdr:pic>
      <xdr:nvPicPr>
        <xdr:cNvPr id="7" name="Afbeelding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476250"/>
          <a:ext cx="12887325"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85725</xdr:colOff>
      <xdr:row>12</xdr:row>
      <xdr:rowOff>66674</xdr:rowOff>
    </xdr:from>
    <xdr:to>
      <xdr:col>23</xdr:col>
      <xdr:colOff>466725</xdr:colOff>
      <xdr:row>40</xdr:row>
      <xdr:rowOff>19049</xdr:rowOff>
    </xdr:to>
    <xdr:sp macro="" textlink="">
      <xdr:nvSpPr>
        <xdr:cNvPr id="2" name="Afgeronde rechthoek 1">
          <a:extLst>
            <a:ext uri="{FF2B5EF4-FFF2-40B4-BE49-F238E27FC236}">
              <a16:creationId xmlns:a16="http://schemas.microsoft.com/office/drawing/2014/main" id="{00000000-0008-0000-0100-000002000000}"/>
            </a:ext>
          </a:extLst>
        </xdr:cNvPr>
        <xdr:cNvSpPr/>
      </xdr:nvSpPr>
      <xdr:spPr bwMode="auto">
        <a:xfrm>
          <a:off x="12277725" y="2009774"/>
          <a:ext cx="2209800" cy="44862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Een DQ</a:t>
          </a:r>
          <a:r>
            <a:rPr lang="nl-NL" sz="1100" baseline="0">
              <a:solidFill>
                <a:schemeClr val="tx1"/>
              </a:solidFill>
            </a:rPr>
            <a:t> van 1 betekent 1 leerkracht</a:t>
          </a:r>
        </a:p>
        <a:p>
          <a:pPr algn="l"/>
          <a:endParaRPr lang="nl-NL" sz="1100" baseline="0">
            <a:solidFill>
              <a:schemeClr val="tx1"/>
            </a:solidFill>
          </a:endParaRPr>
        </a:p>
        <a:p>
          <a:pPr algn="l"/>
          <a:r>
            <a:rPr lang="nl-NL" sz="1100" baseline="0">
              <a:solidFill>
                <a:schemeClr val="tx1"/>
              </a:solidFill>
            </a:rPr>
            <a:t>Komt het DQ boven 1,20 dan kan gedacht worden aan extra ondersteuning van de leerkracht.</a:t>
          </a:r>
        </a:p>
        <a:p>
          <a:pPr algn="l"/>
          <a:endParaRPr lang="nl-NL" sz="1100" baseline="0">
            <a:solidFill>
              <a:schemeClr val="tx1"/>
            </a:solidFill>
          </a:endParaRPr>
        </a:p>
        <a:p>
          <a:pPr algn="l"/>
          <a:r>
            <a:rPr lang="nl-NL" sz="1100" baseline="0">
              <a:solidFill>
                <a:schemeClr val="tx1"/>
              </a:solidFill>
            </a:rPr>
            <a:t>Met dit instrument kan de 'zwaarte' van de groep bekeken worden.</a:t>
          </a:r>
        </a:p>
        <a:p>
          <a:pPr algn="l"/>
          <a:endParaRPr lang="nl-NL" sz="1100" baseline="0">
            <a:solidFill>
              <a:schemeClr val="tx1"/>
            </a:solidFill>
          </a:endParaRPr>
        </a:p>
        <a:p>
          <a:pPr algn="l"/>
          <a:r>
            <a:rPr lang="nl-NL" sz="1100" baseline="0">
              <a:solidFill>
                <a:schemeClr val="tx1"/>
              </a:solidFill>
            </a:rPr>
            <a:t>INVULLEN:</a:t>
          </a:r>
        </a:p>
        <a:p>
          <a:pPr algn="l"/>
          <a:r>
            <a:rPr lang="nl-NL" sz="1100" b="1" u="sng" baseline="0">
              <a:solidFill>
                <a:schemeClr val="tx1"/>
              </a:solidFill>
            </a:rPr>
            <a:t>STAP 1</a:t>
          </a:r>
          <a:r>
            <a:rPr lang="nl-NL" sz="1100" baseline="0">
              <a:solidFill>
                <a:schemeClr val="tx1"/>
              </a:solidFill>
            </a:rPr>
            <a:t>: </a:t>
          </a:r>
        </a:p>
        <a:p>
          <a:pPr algn="l"/>
          <a:r>
            <a:rPr lang="nl-NL" sz="1100" baseline="0">
              <a:solidFill>
                <a:schemeClr val="tx1"/>
              </a:solidFill>
            </a:rPr>
            <a:t>Namen noteren + categorie 1-2-3 of 4 aanklikken</a:t>
          </a:r>
        </a:p>
        <a:p>
          <a:pPr algn="l"/>
          <a:endParaRPr lang="nl-NL" sz="1100" b="1" u="sng" baseline="0">
            <a:solidFill>
              <a:schemeClr val="tx1"/>
            </a:solidFill>
          </a:endParaRPr>
        </a:p>
        <a:p>
          <a:pPr algn="l"/>
          <a:r>
            <a:rPr lang="nl-NL" sz="1100" b="1" u="sng" baseline="0">
              <a:solidFill>
                <a:schemeClr val="tx1"/>
              </a:solidFill>
            </a:rPr>
            <a:t>STAP 2: </a:t>
          </a:r>
        </a:p>
        <a:p>
          <a:pPr algn="l"/>
          <a:r>
            <a:rPr lang="nl-NL" sz="1100" baseline="0">
              <a:solidFill>
                <a:schemeClr val="tx1"/>
              </a:solidFill>
            </a:rPr>
            <a:t>Voornamen van de kinderen noteren bij categorie 2-3 of 4. Bij categorie 1 noteert u niets. dit gaat n.l. automatisch.</a:t>
          </a:r>
        </a:p>
        <a:p>
          <a:pPr algn="l"/>
          <a:endParaRPr lang="nl-NL" sz="1100" baseline="0">
            <a:solidFill>
              <a:schemeClr val="tx1"/>
            </a:solidFill>
          </a:endParaRPr>
        </a:p>
        <a:p>
          <a:pPr algn="l"/>
          <a:r>
            <a:rPr lang="nl-NL" sz="1100" b="1" u="sng" baseline="0">
              <a:solidFill>
                <a:schemeClr val="tx1"/>
              </a:solidFill>
            </a:rPr>
            <a:t>STAP 3:</a:t>
          </a:r>
        </a:p>
        <a:p>
          <a:pPr algn="l"/>
          <a:r>
            <a:rPr lang="nl-NL" sz="1100" baseline="0">
              <a:solidFill>
                <a:schemeClr val="tx1"/>
              </a:solidFill>
            </a:rPr>
            <a:t>Het DQ verschijnt.</a:t>
          </a:r>
          <a:endParaRPr lang="nl-NL" sz="1100">
            <a:solidFill>
              <a:schemeClr val="tx1"/>
            </a:solidFill>
          </a:endParaRPr>
        </a:p>
      </xdr:txBody>
    </xdr:sp>
    <xdr:clientData/>
  </xdr:twoCellAnchor>
  <xdr:twoCellAnchor>
    <xdr:from>
      <xdr:col>20</xdr:col>
      <xdr:colOff>180975</xdr:colOff>
      <xdr:row>5</xdr:row>
      <xdr:rowOff>114299</xdr:rowOff>
    </xdr:from>
    <xdr:to>
      <xdr:col>23</xdr:col>
      <xdr:colOff>28575</xdr:colOff>
      <xdr:row>13</xdr:row>
      <xdr:rowOff>38099</xdr:rowOff>
    </xdr:to>
    <xdr:sp macro="" textlink="">
      <xdr:nvSpPr>
        <xdr:cNvPr id="6" name="Pijl: links 7">
          <a:hlinkClick xmlns:r="http://schemas.openxmlformats.org/officeDocument/2006/relationships" r:id="rId3"/>
          <a:extLst>
            <a:ext uri="{FF2B5EF4-FFF2-40B4-BE49-F238E27FC236}">
              <a16:creationId xmlns:a16="http://schemas.microsoft.com/office/drawing/2014/main" id="{00000000-0008-0000-0100-000006000000}"/>
            </a:ext>
          </a:extLst>
        </xdr:cNvPr>
        <xdr:cNvSpPr/>
      </xdr:nvSpPr>
      <xdr:spPr bwMode="auto">
        <a:xfrm flipH="1">
          <a:off x="12372975" y="923924"/>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xdr:col>
      <xdr:colOff>25400</xdr:colOff>
      <xdr:row>12</xdr:row>
      <xdr:rowOff>222250</xdr:rowOff>
    </xdr:from>
    <xdr:to>
      <xdr:col>3</xdr:col>
      <xdr:colOff>1219200</xdr:colOff>
      <xdr:row>15</xdr:row>
      <xdr:rowOff>63500</xdr:rowOff>
    </xdr:to>
    <xdr:sp macro="" textlink="">
      <xdr:nvSpPr>
        <xdr:cNvPr id="3" name="Pijl: links 2">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a:off x="1030817" y="3598333"/>
          <a:ext cx="2484966" cy="793750"/>
        </a:xfrm>
        <a:prstGeom prst="leftArrow">
          <a:avLst/>
        </a:prstGeom>
        <a:solidFill>
          <a:srgbClr val="00B0F0"/>
        </a:solidFill>
        <a:effectLst>
          <a:outerShdw blurRad="50800" dist="1270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t>terug naar start</a:t>
          </a:r>
        </a:p>
      </xdr:txBody>
    </xdr:sp>
    <xdr:clientData fPrintsWithSheet="0"/>
  </xdr:twoCellAnchor>
  <xdr:twoCellAnchor>
    <xdr:from>
      <xdr:col>4</xdr:col>
      <xdr:colOff>677332</xdr:colOff>
      <xdr:row>2</xdr:row>
      <xdr:rowOff>8467</xdr:rowOff>
    </xdr:from>
    <xdr:to>
      <xdr:col>13</xdr:col>
      <xdr:colOff>152399</xdr:colOff>
      <xdr:row>20</xdr:row>
      <xdr:rowOff>12700</xdr:rowOff>
    </xdr:to>
    <xdr:graphicFrame macro="">
      <xdr:nvGraphicFramePr>
        <xdr:cNvPr id="6" name="Grafiek 5">
          <a:extLst>
            <a:ext uri="{FF2B5EF4-FFF2-40B4-BE49-F238E27FC236}">
              <a16:creationId xmlns:a16="http://schemas.microsoft.com/office/drawing/2014/main" id="{00000000-0008-0000-1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5</xdr:row>
      <xdr:rowOff>0</xdr:rowOff>
    </xdr:from>
    <xdr:to>
      <xdr:col>19</xdr:col>
      <xdr:colOff>29632</xdr:colOff>
      <xdr:row>7</xdr:row>
      <xdr:rowOff>158750</xdr:rowOff>
    </xdr:to>
    <xdr:sp macro="" textlink="">
      <xdr:nvSpPr>
        <xdr:cNvPr id="7" name="Pijl: links 6">
          <a:hlinkClick xmlns:r="http://schemas.openxmlformats.org/officeDocument/2006/relationships" r:id="rId3"/>
          <a:extLst>
            <a:ext uri="{FF2B5EF4-FFF2-40B4-BE49-F238E27FC236}">
              <a16:creationId xmlns:a16="http://schemas.microsoft.com/office/drawing/2014/main" id="{00000000-0008-0000-1300-000007000000}"/>
            </a:ext>
          </a:extLst>
        </xdr:cNvPr>
        <xdr:cNvSpPr/>
      </xdr:nvSpPr>
      <xdr:spPr>
        <a:xfrm>
          <a:off x="14012333" y="1280583"/>
          <a:ext cx="2484966" cy="793750"/>
        </a:xfrm>
        <a:prstGeom prst="leftArrow">
          <a:avLst/>
        </a:prstGeom>
        <a:solidFill>
          <a:srgbClr val="FFC000"/>
        </a:solidFill>
        <a:effectLst>
          <a:outerShdw blurRad="50800" dist="1270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chemeClr val="tx1"/>
              </a:solidFill>
            </a:rPr>
            <a:t>informatie</a:t>
          </a:r>
        </a:p>
      </xdr:txBody>
    </xdr:sp>
    <xdr:clientData fPrintsWithSheet="0"/>
  </xdr:twoCellAnchor>
  <xdr:twoCellAnchor>
    <xdr:from>
      <xdr:col>21</xdr:col>
      <xdr:colOff>7051</xdr:colOff>
      <xdr:row>1</xdr:row>
      <xdr:rowOff>22680</xdr:rowOff>
    </xdr:from>
    <xdr:to>
      <xdr:col>41</xdr:col>
      <xdr:colOff>602741</xdr:colOff>
      <xdr:row>19</xdr:row>
      <xdr:rowOff>244930</xdr:rowOff>
    </xdr:to>
    <xdr:graphicFrame macro="">
      <xdr:nvGraphicFramePr>
        <xdr:cNvPr id="5" name="Grafiek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190489</xdr:colOff>
      <xdr:row>16</xdr:row>
      <xdr:rowOff>42347</xdr:rowOff>
    </xdr:from>
    <xdr:to>
      <xdr:col>42</xdr:col>
      <xdr:colOff>10573</xdr:colOff>
      <xdr:row>19</xdr:row>
      <xdr:rowOff>84680</xdr:rowOff>
    </xdr:to>
    <xdr:graphicFrame macro="">
      <xdr:nvGraphicFramePr>
        <xdr:cNvPr id="15" name="Grafiek 14">
          <a:extLst>
            <a:ext uri="{FF2B5EF4-FFF2-40B4-BE49-F238E27FC236}">
              <a16:creationId xmlns:a16="http://schemas.microsoft.com/office/drawing/2014/main" id="{00000000-0008-0000-13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10582</xdr:colOff>
      <xdr:row>3</xdr:row>
      <xdr:rowOff>15875</xdr:rowOff>
    </xdr:from>
    <xdr:to>
      <xdr:col>30</xdr:col>
      <xdr:colOff>10584</xdr:colOff>
      <xdr:row>29</xdr:row>
      <xdr:rowOff>31749</xdr:rowOff>
    </xdr:to>
    <xdr:graphicFrame macro="">
      <xdr:nvGraphicFramePr>
        <xdr:cNvPr id="3" name="Grafiek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14653</xdr:colOff>
      <xdr:row>65</xdr:row>
      <xdr:rowOff>26865</xdr:rowOff>
    </xdr:from>
    <xdr:to>
      <xdr:col>20</xdr:col>
      <xdr:colOff>15875</xdr:colOff>
      <xdr:row>105</xdr:row>
      <xdr:rowOff>31750</xdr:rowOff>
    </xdr:to>
    <xdr:pic>
      <xdr:nvPicPr>
        <xdr:cNvPr id="7" name="Afbeelding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2528" y="16965490"/>
          <a:ext cx="9399222" cy="1016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289414</xdr:colOff>
      <xdr:row>68</xdr:row>
      <xdr:rowOff>43962</xdr:rowOff>
    </xdr:from>
    <xdr:to>
      <xdr:col>29</xdr:col>
      <xdr:colOff>555626</xdr:colOff>
      <xdr:row>103</xdr:row>
      <xdr:rowOff>225425</xdr:rowOff>
    </xdr:to>
    <xdr:pic>
      <xdr:nvPicPr>
        <xdr:cNvPr id="6" name="Afbeelding 5">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83289" y="17744587"/>
          <a:ext cx="6282837" cy="9084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15875</xdr:colOff>
      <xdr:row>6</xdr:row>
      <xdr:rowOff>222896</xdr:rowOff>
    </xdr:from>
    <xdr:to>
      <xdr:col>33</xdr:col>
      <xdr:colOff>54952</xdr:colOff>
      <xdr:row>10</xdr:row>
      <xdr:rowOff>2441</xdr:rowOff>
    </xdr:to>
    <xdr:sp macro="" textlink="">
      <xdr:nvSpPr>
        <xdr:cNvPr id="8" name="AutoShape 48">
          <a:hlinkClick xmlns:r="http://schemas.openxmlformats.org/officeDocument/2006/relationships" r:id="rId4"/>
          <a:extLst>
            <a:ext uri="{FF2B5EF4-FFF2-40B4-BE49-F238E27FC236}">
              <a16:creationId xmlns:a16="http://schemas.microsoft.com/office/drawing/2014/main" id="{00000000-0008-0000-1500-000008000000}"/>
            </a:ext>
          </a:extLst>
        </xdr:cNvPr>
        <xdr:cNvSpPr>
          <a:spLocks noChangeArrowheads="1"/>
        </xdr:cNvSpPr>
      </xdr:nvSpPr>
      <xdr:spPr bwMode="auto">
        <a:xfrm>
          <a:off x="19490837" y="2274434"/>
          <a:ext cx="1270000" cy="7760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0</xdr:colOff>
      <xdr:row>3</xdr:row>
      <xdr:rowOff>0</xdr:rowOff>
    </xdr:from>
    <xdr:to>
      <xdr:col>33</xdr:col>
      <xdr:colOff>39077</xdr:colOff>
      <xdr:row>6</xdr:row>
      <xdr:rowOff>54146</xdr:rowOff>
    </xdr:to>
    <xdr:sp macro="" textlink="">
      <xdr:nvSpPr>
        <xdr:cNvPr id="9" name="AutoShape 48">
          <a:hlinkClick xmlns:r="http://schemas.openxmlformats.org/officeDocument/2006/relationships" r:id="rId5"/>
          <a:extLst>
            <a:ext uri="{FF2B5EF4-FFF2-40B4-BE49-F238E27FC236}">
              <a16:creationId xmlns:a16="http://schemas.microsoft.com/office/drawing/2014/main" id="{00000000-0008-0000-1500-000009000000}"/>
            </a:ext>
          </a:extLst>
        </xdr:cNvPr>
        <xdr:cNvSpPr>
          <a:spLocks noChangeArrowheads="1"/>
        </xdr:cNvSpPr>
      </xdr:nvSpPr>
      <xdr:spPr bwMode="auto">
        <a:xfrm>
          <a:off x="19474962" y="1304192"/>
          <a:ext cx="1270000" cy="8014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10584</xdr:colOff>
      <xdr:row>3</xdr:row>
      <xdr:rowOff>5293</xdr:rowOff>
    </xdr:from>
    <xdr:to>
      <xdr:col>29</xdr:col>
      <xdr:colOff>587375</xdr:colOff>
      <xdr:row>29</xdr:row>
      <xdr:rowOff>31750</xdr:rowOff>
    </xdr:to>
    <xdr:graphicFrame macro="">
      <xdr:nvGraphicFramePr>
        <xdr:cNvPr id="3" name="Grafiek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65</xdr:row>
      <xdr:rowOff>14654</xdr:rowOff>
    </xdr:from>
    <xdr:to>
      <xdr:col>20</xdr:col>
      <xdr:colOff>20760</xdr:colOff>
      <xdr:row>105</xdr:row>
      <xdr:rowOff>214924</xdr:rowOff>
    </xdr:to>
    <xdr:pic>
      <xdr:nvPicPr>
        <xdr:cNvPr id="6" name="Afbeelding 5">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6423" y="16690731"/>
          <a:ext cx="9399222" cy="1016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321163</xdr:colOff>
      <xdr:row>68</xdr:row>
      <xdr:rowOff>28087</xdr:rowOff>
    </xdr:from>
    <xdr:to>
      <xdr:col>29</xdr:col>
      <xdr:colOff>589817</xdr:colOff>
      <xdr:row>104</xdr:row>
      <xdr:rowOff>0</xdr:rowOff>
    </xdr:to>
    <xdr:pic>
      <xdr:nvPicPr>
        <xdr:cNvPr id="5" name="Afbeelding 4">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815038" y="17728712"/>
          <a:ext cx="6205904" cy="9115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15875</xdr:colOff>
      <xdr:row>6</xdr:row>
      <xdr:rowOff>222896</xdr:rowOff>
    </xdr:from>
    <xdr:to>
      <xdr:col>33</xdr:col>
      <xdr:colOff>54952</xdr:colOff>
      <xdr:row>10</xdr:row>
      <xdr:rowOff>2441</xdr:rowOff>
    </xdr:to>
    <xdr:sp macro="" textlink="">
      <xdr:nvSpPr>
        <xdr:cNvPr id="7" name="AutoShape 48">
          <a:hlinkClick xmlns:r="http://schemas.openxmlformats.org/officeDocument/2006/relationships" r:id="rId4"/>
          <a:extLst>
            <a:ext uri="{FF2B5EF4-FFF2-40B4-BE49-F238E27FC236}">
              <a16:creationId xmlns:a16="http://schemas.microsoft.com/office/drawing/2014/main" id="{00000000-0008-0000-1600-000007000000}"/>
            </a:ext>
          </a:extLst>
        </xdr:cNvPr>
        <xdr:cNvSpPr>
          <a:spLocks noChangeArrowheads="1"/>
        </xdr:cNvSpPr>
      </xdr:nvSpPr>
      <xdr:spPr bwMode="auto">
        <a:xfrm>
          <a:off x="19344298" y="2274434"/>
          <a:ext cx="1270000" cy="7760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0</xdr:colOff>
      <xdr:row>3</xdr:row>
      <xdr:rowOff>0</xdr:rowOff>
    </xdr:from>
    <xdr:to>
      <xdr:col>33</xdr:col>
      <xdr:colOff>39077</xdr:colOff>
      <xdr:row>6</xdr:row>
      <xdr:rowOff>54146</xdr:rowOff>
    </xdr:to>
    <xdr:sp macro="" textlink="">
      <xdr:nvSpPr>
        <xdr:cNvPr id="8" name="AutoShape 48">
          <a:hlinkClick xmlns:r="http://schemas.openxmlformats.org/officeDocument/2006/relationships" r:id="rId5"/>
          <a:extLst>
            <a:ext uri="{FF2B5EF4-FFF2-40B4-BE49-F238E27FC236}">
              <a16:creationId xmlns:a16="http://schemas.microsoft.com/office/drawing/2014/main" id="{00000000-0008-0000-1600-000008000000}"/>
            </a:ext>
          </a:extLst>
        </xdr:cNvPr>
        <xdr:cNvSpPr>
          <a:spLocks noChangeArrowheads="1"/>
        </xdr:cNvSpPr>
      </xdr:nvSpPr>
      <xdr:spPr bwMode="auto">
        <a:xfrm>
          <a:off x="19328423" y="1304192"/>
          <a:ext cx="1270000" cy="8014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15876</xdr:colOff>
      <xdr:row>3</xdr:row>
      <xdr:rowOff>15876</xdr:rowOff>
    </xdr:from>
    <xdr:to>
      <xdr:col>29</xdr:col>
      <xdr:colOff>571501</xdr:colOff>
      <xdr:row>29</xdr:row>
      <xdr:rowOff>15875</xdr:rowOff>
    </xdr:to>
    <xdr:graphicFrame macro="">
      <xdr:nvGraphicFramePr>
        <xdr:cNvPr id="4" name="Grafiek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65</xdr:row>
      <xdr:rowOff>14654</xdr:rowOff>
    </xdr:from>
    <xdr:to>
      <xdr:col>20</xdr:col>
      <xdr:colOff>20760</xdr:colOff>
      <xdr:row>105</xdr:row>
      <xdr:rowOff>214924</xdr:rowOff>
    </xdr:to>
    <xdr:pic>
      <xdr:nvPicPr>
        <xdr:cNvPr id="7" name="Afbeelding 6">
          <a:extLst>
            <a:ext uri="{FF2B5EF4-FFF2-40B4-BE49-F238E27FC236}">
              <a16:creationId xmlns:a16="http://schemas.microsoft.com/office/drawing/2014/main" id="{00000000-0008-0000-1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6423" y="16690731"/>
          <a:ext cx="9399222" cy="1016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317500</xdr:colOff>
      <xdr:row>68</xdr:row>
      <xdr:rowOff>15875</xdr:rowOff>
    </xdr:from>
    <xdr:to>
      <xdr:col>29</xdr:col>
      <xdr:colOff>571500</xdr:colOff>
      <xdr:row>104</xdr:row>
      <xdr:rowOff>15875</xdr:rowOff>
    </xdr:to>
    <xdr:pic>
      <xdr:nvPicPr>
        <xdr:cNvPr id="6" name="Afbeelding 5">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811375" y="17716500"/>
          <a:ext cx="6127750" cy="91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15875</xdr:colOff>
      <xdr:row>6</xdr:row>
      <xdr:rowOff>222896</xdr:rowOff>
    </xdr:from>
    <xdr:to>
      <xdr:col>33</xdr:col>
      <xdr:colOff>54952</xdr:colOff>
      <xdr:row>10</xdr:row>
      <xdr:rowOff>2441</xdr:rowOff>
    </xdr:to>
    <xdr:sp macro="" textlink="">
      <xdr:nvSpPr>
        <xdr:cNvPr id="8" name="AutoShape 48">
          <a:hlinkClick xmlns:r="http://schemas.openxmlformats.org/officeDocument/2006/relationships" r:id="rId4"/>
          <a:extLst>
            <a:ext uri="{FF2B5EF4-FFF2-40B4-BE49-F238E27FC236}">
              <a16:creationId xmlns:a16="http://schemas.microsoft.com/office/drawing/2014/main" id="{00000000-0008-0000-1700-000008000000}"/>
            </a:ext>
          </a:extLst>
        </xdr:cNvPr>
        <xdr:cNvSpPr>
          <a:spLocks noChangeArrowheads="1"/>
        </xdr:cNvSpPr>
      </xdr:nvSpPr>
      <xdr:spPr bwMode="auto">
        <a:xfrm>
          <a:off x="19197760" y="2274434"/>
          <a:ext cx="1270000" cy="7760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0</xdr:colOff>
      <xdr:row>3</xdr:row>
      <xdr:rowOff>0</xdr:rowOff>
    </xdr:from>
    <xdr:to>
      <xdr:col>33</xdr:col>
      <xdr:colOff>39077</xdr:colOff>
      <xdr:row>6</xdr:row>
      <xdr:rowOff>54146</xdr:rowOff>
    </xdr:to>
    <xdr:sp macro="" textlink="">
      <xdr:nvSpPr>
        <xdr:cNvPr id="9" name="AutoShape 48">
          <a:hlinkClick xmlns:r="http://schemas.openxmlformats.org/officeDocument/2006/relationships" r:id="rId5"/>
          <a:extLst>
            <a:ext uri="{FF2B5EF4-FFF2-40B4-BE49-F238E27FC236}">
              <a16:creationId xmlns:a16="http://schemas.microsoft.com/office/drawing/2014/main" id="{00000000-0008-0000-1700-000009000000}"/>
            </a:ext>
          </a:extLst>
        </xdr:cNvPr>
        <xdr:cNvSpPr>
          <a:spLocks noChangeArrowheads="1"/>
        </xdr:cNvSpPr>
      </xdr:nvSpPr>
      <xdr:spPr bwMode="auto">
        <a:xfrm>
          <a:off x="19181885" y="1304192"/>
          <a:ext cx="1270000" cy="8014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718038</xdr:colOff>
      <xdr:row>4</xdr:row>
      <xdr:rowOff>87923</xdr:rowOff>
    </xdr:from>
    <xdr:to>
      <xdr:col>5</xdr:col>
      <xdr:colOff>387020</xdr:colOff>
      <xdr:row>40</xdr:row>
      <xdr:rowOff>102578</xdr:rowOff>
    </xdr:to>
    <xdr:graphicFrame macro="">
      <xdr:nvGraphicFramePr>
        <xdr:cNvPr id="2" name="Grafiek 9">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236904</xdr:colOff>
      <xdr:row>9</xdr:row>
      <xdr:rowOff>187325</xdr:rowOff>
    </xdr:from>
    <xdr:to>
      <xdr:col>4</xdr:col>
      <xdr:colOff>910004</xdr:colOff>
      <xdr:row>14</xdr:row>
      <xdr:rowOff>57150</xdr:rowOff>
    </xdr:to>
    <xdr:sp macro="" textlink="">
      <xdr:nvSpPr>
        <xdr:cNvPr id="3" name="AutoShape 5">
          <a:extLst>
            <a:ext uri="{FF2B5EF4-FFF2-40B4-BE49-F238E27FC236}">
              <a16:creationId xmlns:a16="http://schemas.microsoft.com/office/drawing/2014/main" id="{00000000-0008-0000-1800-000003000000}"/>
            </a:ext>
          </a:extLst>
        </xdr:cNvPr>
        <xdr:cNvSpPr>
          <a:spLocks noChangeArrowheads="1"/>
        </xdr:cNvSpPr>
      </xdr:nvSpPr>
      <xdr:spPr bwMode="auto">
        <a:xfrm>
          <a:off x="2821354" y="2549525"/>
          <a:ext cx="1593850" cy="1012825"/>
        </a:xfrm>
        <a:prstGeom prst="rightArrow">
          <a:avLst>
            <a:gd name="adj1" fmla="val 50000"/>
            <a:gd name="adj2" fmla="val 40196"/>
          </a:avLst>
        </a:prstGeom>
        <a:solidFill>
          <a:srgbClr val="FFFFFF"/>
        </a:solidFill>
        <a:ln w="9525" algn="ctr">
          <a:solidFill>
            <a:srgbClr val="000000"/>
          </a:solidFill>
          <a:miter lim="800000"/>
          <a:headEnd/>
          <a:tailEnd/>
        </a:ln>
      </xdr:spPr>
    </xdr:sp>
    <xdr:clientData/>
  </xdr:twoCellAnchor>
  <xdr:twoCellAnchor>
    <xdr:from>
      <xdr:col>2</xdr:col>
      <xdr:colOff>250825</xdr:colOff>
      <xdr:row>11</xdr:row>
      <xdr:rowOff>47625</xdr:rowOff>
    </xdr:from>
    <xdr:to>
      <xdr:col>4</xdr:col>
      <xdr:colOff>742950</xdr:colOff>
      <xdr:row>12</xdr:row>
      <xdr:rowOff>200025</xdr:rowOff>
    </xdr:to>
    <xdr:sp macro="" textlink="">
      <xdr:nvSpPr>
        <xdr:cNvPr id="4" name="Text Box 4">
          <a:extLst>
            <a:ext uri="{FF2B5EF4-FFF2-40B4-BE49-F238E27FC236}">
              <a16:creationId xmlns:a16="http://schemas.microsoft.com/office/drawing/2014/main" id="{00000000-0008-0000-1800-000004000000}"/>
            </a:ext>
          </a:extLst>
        </xdr:cNvPr>
        <xdr:cNvSpPr txBox="1">
          <a:spLocks noChangeArrowheads="1"/>
        </xdr:cNvSpPr>
      </xdr:nvSpPr>
      <xdr:spPr bwMode="auto">
        <a:xfrm>
          <a:off x="2835275" y="2867025"/>
          <a:ext cx="1412875" cy="381000"/>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HAVO / VWO = E8</a:t>
          </a:r>
          <a:endParaRPr lang="nl-NL"/>
        </a:p>
      </xdr:txBody>
    </xdr:sp>
    <xdr:clientData/>
  </xdr:twoCellAnchor>
  <xdr:twoCellAnchor>
    <xdr:from>
      <xdr:col>2</xdr:col>
      <xdr:colOff>251558</xdr:colOff>
      <xdr:row>14</xdr:row>
      <xdr:rowOff>66675</xdr:rowOff>
    </xdr:from>
    <xdr:to>
      <xdr:col>4</xdr:col>
      <xdr:colOff>924658</xdr:colOff>
      <xdr:row>19</xdr:row>
      <xdr:rowOff>28575</xdr:rowOff>
    </xdr:to>
    <xdr:sp macro="" textlink="">
      <xdr:nvSpPr>
        <xdr:cNvPr id="5" name="AutoShape 7">
          <a:extLst>
            <a:ext uri="{FF2B5EF4-FFF2-40B4-BE49-F238E27FC236}">
              <a16:creationId xmlns:a16="http://schemas.microsoft.com/office/drawing/2014/main" id="{00000000-0008-0000-1800-000005000000}"/>
            </a:ext>
          </a:extLst>
        </xdr:cNvPr>
        <xdr:cNvSpPr>
          <a:spLocks noChangeArrowheads="1"/>
        </xdr:cNvSpPr>
      </xdr:nvSpPr>
      <xdr:spPr bwMode="auto">
        <a:xfrm>
          <a:off x="2836008" y="3571875"/>
          <a:ext cx="1593850" cy="1104900"/>
        </a:xfrm>
        <a:prstGeom prst="rightArrow">
          <a:avLst>
            <a:gd name="adj1" fmla="val 50000"/>
            <a:gd name="adj2" fmla="val 38318"/>
          </a:avLst>
        </a:prstGeom>
        <a:solidFill>
          <a:srgbClr val="FFFFFF"/>
        </a:solidFill>
        <a:ln w="9525" algn="ctr">
          <a:solidFill>
            <a:srgbClr val="000000"/>
          </a:solidFill>
          <a:miter lim="800000"/>
          <a:headEnd/>
          <a:tailEnd/>
        </a:ln>
      </xdr:spPr>
    </xdr:sp>
    <xdr:clientData/>
  </xdr:twoCellAnchor>
  <xdr:twoCellAnchor>
    <xdr:from>
      <xdr:col>2</xdr:col>
      <xdr:colOff>266700</xdr:colOff>
      <xdr:row>15</xdr:row>
      <xdr:rowOff>209550</xdr:rowOff>
    </xdr:from>
    <xdr:to>
      <xdr:col>4</xdr:col>
      <xdr:colOff>692150</xdr:colOff>
      <xdr:row>17</xdr:row>
      <xdr:rowOff>139621</xdr:rowOff>
    </xdr:to>
    <xdr:sp macro="" textlink="">
      <xdr:nvSpPr>
        <xdr:cNvPr id="6" name="Text Box 8">
          <a:extLst>
            <a:ext uri="{FF2B5EF4-FFF2-40B4-BE49-F238E27FC236}">
              <a16:creationId xmlns:a16="http://schemas.microsoft.com/office/drawing/2014/main" id="{00000000-0008-0000-1800-000006000000}"/>
            </a:ext>
          </a:extLst>
        </xdr:cNvPr>
        <xdr:cNvSpPr txBox="1">
          <a:spLocks noChangeArrowheads="1"/>
        </xdr:cNvSpPr>
      </xdr:nvSpPr>
      <xdr:spPr bwMode="auto">
        <a:xfrm>
          <a:off x="2851150" y="3943350"/>
          <a:ext cx="1346200" cy="387271"/>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TL / HAVO = M8</a:t>
          </a:r>
          <a:endParaRPr lang="nl-NL"/>
        </a:p>
      </xdr:txBody>
    </xdr:sp>
    <xdr:clientData/>
  </xdr:twoCellAnchor>
  <xdr:twoCellAnchor>
    <xdr:from>
      <xdr:col>2</xdr:col>
      <xdr:colOff>249604</xdr:colOff>
      <xdr:row>19</xdr:row>
      <xdr:rowOff>38100</xdr:rowOff>
    </xdr:from>
    <xdr:to>
      <xdr:col>4</xdr:col>
      <xdr:colOff>922704</xdr:colOff>
      <xdr:row>24</xdr:row>
      <xdr:rowOff>28575</xdr:rowOff>
    </xdr:to>
    <xdr:sp macro="" textlink="">
      <xdr:nvSpPr>
        <xdr:cNvPr id="7" name="AutoShape 9">
          <a:extLst>
            <a:ext uri="{FF2B5EF4-FFF2-40B4-BE49-F238E27FC236}">
              <a16:creationId xmlns:a16="http://schemas.microsoft.com/office/drawing/2014/main" id="{00000000-0008-0000-1800-000007000000}"/>
            </a:ext>
          </a:extLst>
        </xdr:cNvPr>
        <xdr:cNvSpPr>
          <a:spLocks noChangeArrowheads="1"/>
        </xdr:cNvSpPr>
      </xdr:nvSpPr>
      <xdr:spPr bwMode="auto">
        <a:xfrm>
          <a:off x="2834054" y="4686300"/>
          <a:ext cx="1593850" cy="1095375"/>
        </a:xfrm>
        <a:prstGeom prst="rightArrow">
          <a:avLst>
            <a:gd name="adj1" fmla="val 50000"/>
            <a:gd name="adj2" fmla="val 37615"/>
          </a:avLst>
        </a:prstGeom>
        <a:solidFill>
          <a:srgbClr val="FFFFFF"/>
        </a:solidFill>
        <a:ln w="9525" algn="ctr">
          <a:solidFill>
            <a:srgbClr val="000000"/>
          </a:solidFill>
          <a:miter lim="800000"/>
          <a:headEnd/>
          <a:tailEnd/>
        </a:ln>
      </xdr:spPr>
    </xdr:sp>
    <xdr:clientData/>
  </xdr:twoCellAnchor>
  <xdr:twoCellAnchor>
    <xdr:from>
      <xdr:col>2</xdr:col>
      <xdr:colOff>266700</xdr:colOff>
      <xdr:row>20</xdr:row>
      <xdr:rowOff>174625</xdr:rowOff>
    </xdr:from>
    <xdr:to>
      <xdr:col>4</xdr:col>
      <xdr:colOff>777875</xdr:colOff>
      <xdr:row>22</xdr:row>
      <xdr:rowOff>127000</xdr:rowOff>
    </xdr:to>
    <xdr:sp macro="" textlink="">
      <xdr:nvSpPr>
        <xdr:cNvPr id="8" name="Text Box 10">
          <a:extLst>
            <a:ext uri="{FF2B5EF4-FFF2-40B4-BE49-F238E27FC236}">
              <a16:creationId xmlns:a16="http://schemas.microsoft.com/office/drawing/2014/main" id="{00000000-0008-0000-1800-000008000000}"/>
            </a:ext>
          </a:extLst>
        </xdr:cNvPr>
        <xdr:cNvSpPr txBox="1">
          <a:spLocks noChangeArrowheads="1"/>
        </xdr:cNvSpPr>
      </xdr:nvSpPr>
      <xdr:spPr bwMode="auto">
        <a:xfrm>
          <a:off x="2851150" y="5051425"/>
          <a:ext cx="1431925" cy="40957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KADER / TL = E7</a:t>
          </a:r>
          <a:endParaRPr lang="nl-NL"/>
        </a:p>
      </xdr:txBody>
    </xdr:sp>
    <xdr:clientData/>
  </xdr:twoCellAnchor>
  <xdr:twoCellAnchor>
    <xdr:from>
      <xdr:col>2</xdr:col>
      <xdr:colOff>234950</xdr:colOff>
      <xdr:row>24</xdr:row>
      <xdr:rowOff>28575</xdr:rowOff>
    </xdr:from>
    <xdr:to>
      <xdr:col>4</xdr:col>
      <xdr:colOff>908050</xdr:colOff>
      <xdr:row>29</xdr:row>
      <xdr:rowOff>19050</xdr:rowOff>
    </xdr:to>
    <xdr:sp macro="" textlink="">
      <xdr:nvSpPr>
        <xdr:cNvPr id="9" name="AutoShape 11">
          <a:extLst>
            <a:ext uri="{FF2B5EF4-FFF2-40B4-BE49-F238E27FC236}">
              <a16:creationId xmlns:a16="http://schemas.microsoft.com/office/drawing/2014/main" id="{00000000-0008-0000-1800-000009000000}"/>
            </a:ext>
          </a:extLst>
        </xdr:cNvPr>
        <xdr:cNvSpPr>
          <a:spLocks noChangeArrowheads="1"/>
        </xdr:cNvSpPr>
      </xdr:nvSpPr>
      <xdr:spPr bwMode="auto">
        <a:xfrm>
          <a:off x="2819400" y="5781675"/>
          <a:ext cx="1593850" cy="1101725"/>
        </a:xfrm>
        <a:prstGeom prst="rightArrow">
          <a:avLst>
            <a:gd name="adj1" fmla="val 50000"/>
            <a:gd name="adj2" fmla="val 35652"/>
          </a:avLst>
        </a:prstGeom>
        <a:solidFill>
          <a:srgbClr val="FFFFFF"/>
        </a:solidFill>
        <a:ln w="9525" algn="ctr">
          <a:solidFill>
            <a:srgbClr val="000000"/>
          </a:solidFill>
          <a:miter lim="800000"/>
          <a:headEnd/>
          <a:tailEnd/>
        </a:ln>
      </xdr:spPr>
    </xdr:sp>
    <xdr:clientData/>
  </xdr:twoCellAnchor>
  <xdr:twoCellAnchor>
    <xdr:from>
      <xdr:col>2</xdr:col>
      <xdr:colOff>266700</xdr:colOff>
      <xdr:row>25</xdr:row>
      <xdr:rowOff>190500</xdr:rowOff>
    </xdr:from>
    <xdr:to>
      <xdr:col>4</xdr:col>
      <xdr:colOff>1054100</xdr:colOff>
      <xdr:row>27</xdr:row>
      <xdr:rowOff>79375</xdr:rowOff>
    </xdr:to>
    <xdr:sp macro="" textlink="">
      <xdr:nvSpPr>
        <xdr:cNvPr id="10" name="Text Box 12">
          <a:extLst>
            <a:ext uri="{FF2B5EF4-FFF2-40B4-BE49-F238E27FC236}">
              <a16:creationId xmlns:a16="http://schemas.microsoft.com/office/drawing/2014/main" id="{00000000-0008-0000-1800-00000A000000}"/>
            </a:ext>
          </a:extLst>
        </xdr:cNvPr>
        <xdr:cNvSpPr txBox="1">
          <a:spLocks noChangeArrowheads="1"/>
        </xdr:cNvSpPr>
      </xdr:nvSpPr>
      <xdr:spPr bwMode="auto">
        <a:xfrm>
          <a:off x="2851150" y="6172200"/>
          <a:ext cx="1708150" cy="34607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BASIS / KADER = M7</a:t>
          </a:r>
          <a:endParaRPr lang="nl-NL"/>
        </a:p>
      </xdr:txBody>
    </xdr:sp>
    <xdr:clientData/>
  </xdr:twoCellAnchor>
  <xdr:twoCellAnchor>
    <xdr:from>
      <xdr:col>2</xdr:col>
      <xdr:colOff>241300</xdr:colOff>
      <xdr:row>29</xdr:row>
      <xdr:rowOff>50800</xdr:rowOff>
    </xdr:from>
    <xdr:to>
      <xdr:col>4</xdr:col>
      <xdr:colOff>911959</xdr:colOff>
      <xdr:row>34</xdr:row>
      <xdr:rowOff>41275</xdr:rowOff>
    </xdr:to>
    <xdr:sp macro="" textlink="">
      <xdr:nvSpPr>
        <xdr:cNvPr id="11" name="AutoShape 13">
          <a:extLst>
            <a:ext uri="{FF2B5EF4-FFF2-40B4-BE49-F238E27FC236}">
              <a16:creationId xmlns:a16="http://schemas.microsoft.com/office/drawing/2014/main" id="{00000000-0008-0000-1800-00000B000000}"/>
            </a:ext>
          </a:extLst>
        </xdr:cNvPr>
        <xdr:cNvSpPr>
          <a:spLocks noChangeArrowheads="1"/>
        </xdr:cNvSpPr>
      </xdr:nvSpPr>
      <xdr:spPr bwMode="auto">
        <a:xfrm>
          <a:off x="2825750" y="6915150"/>
          <a:ext cx="1591409" cy="1133475"/>
        </a:xfrm>
        <a:prstGeom prst="rightArrow">
          <a:avLst>
            <a:gd name="adj1" fmla="val 50000"/>
            <a:gd name="adj2" fmla="val 34691"/>
          </a:avLst>
        </a:prstGeom>
        <a:solidFill>
          <a:srgbClr val="FFFFFF"/>
        </a:solidFill>
        <a:ln w="9525" algn="ctr">
          <a:solidFill>
            <a:srgbClr val="000000"/>
          </a:solidFill>
          <a:miter lim="800000"/>
          <a:headEnd/>
          <a:tailEnd/>
        </a:ln>
      </xdr:spPr>
    </xdr:sp>
    <xdr:clientData/>
  </xdr:twoCellAnchor>
  <xdr:twoCellAnchor>
    <xdr:from>
      <xdr:col>2</xdr:col>
      <xdr:colOff>266700</xdr:colOff>
      <xdr:row>30</xdr:row>
      <xdr:rowOff>123825</xdr:rowOff>
    </xdr:from>
    <xdr:to>
      <xdr:col>4</xdr:col>
      <xdr:colOff>803275</xdr:colOff>
      <xdr:row>32</xdr:row>
      <xdr:rowOff>209550</xdr:rowOff>
    </xdr:to>
    <xdr:sp macro="" textlink="">
      <xdr:nvSpPr>
        <xdr:cNvPr id="12" name="Text Box 14">
          <a:extLst>
            <a:ext uri="{FF2B5EF4-FFF2-40B4-BE49-F238E27FC236}">
              <a16:creationId xmlns:a16="http://schemas.microsoft.com/office/drawing/2014/main" id="{00000000-0008-0000-1800-00000C000000}"/>
            </a:ext>
          </a:extLst>
        </xdr:cNvPr>
        <xdr:cNvSpPr txBox="1">
          <a:spLocks noChangeArrowheads="1"/>
        </xdr:cNvSpPr>
      </xdr:nvSpPr>
      <xdr:spPr bwMode="auto">
        <a:xfrm>
          <a:off x="2851150" y="7216775"/>
          <a:ext cx="1457325" cy="54292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PRO / </a:t>
          </a:r>
          <a:r>
            <a:rPr lang="nl-NL" sz="1100" b="0" i="0" u="none" strike="noStrike" baseline="0">
              <a:solidFill>
                <a:schemeClr val="tx1"/>
              </a:solidFill>
              <a:latin typeface="Comic Sans MS"/>
            </a:rPr>
            <a:t>BASIS</a:t>
          </a:r>
          <a:r>
            <a:rPr lang="nl-NL" sz="1100" b="0" i="0" u="none" strike="noStrike" baseline="0">
              <a:solidFill>
                <a:srgbClr val="000000"/>
              </a:solidFill>
              <a:latin typeface="Comic Sans MS"/>
            </a:rPr>
            <a:t> = E6</a:t>
          </a:r>
          <a:endParaRPr lang="nl-NL"/>
        </a:p>
      </xdr:txBody>
    </xdr:sp>
    <xdr:clientData/>
  </xdr:twoCellAnchor>
  <xdr:twoCellAnchor>
    <xdr:from>
      <xdr:col>2</xdr:col>
      <xdr:colOff>236904</xdr:colOff>
      <xdr:row>5</xdr:row>
      <xdr:rowOff>47625</xdr:rowOff>
    </xdr:from>
    <xdr:to>
      <xdr:col>4</xdr:col>
      <xdr:colOff>910004</xdr:colOff>
      <xdr:row>9</xdr:row>
      <xdr:rowOff>190500</xdr:rowOff>
    </xdr:to>
    <xdr:sp macro="" textlink="">
      <xdr:nvSpPr>
        <xdr:cNvPr id="13" name="AutoShape 15">
          <a:extLst>
            <a:ext uri="{FF2B5EF4-FFF2-40B4-BE49-F238E27FC236}">
              <a16:creationId xmlns:a16="http://schemas.microsoft.com/office/drawing/2014/main" id="{00000000-0008-0000-1800-00000D000000}"/>
            </a:ext>
          </a:extLst>
        </xdr:cNvPr>
        <xdr:cNvSpPr>
          <a:spLocks noChangeArrowheads="1"/>
        </xdr:cNvSpPr>
      </xdr:nvSpPr>
      <xdr:spPr bwMode="auto">
        <a:xfrm>
          <a:off x="2821354" y="1495425"/>
          <a:ext cx="1593850" cy="1057275"/>
        </a:xfrm>
        <a:prstGeom prst="rightArrow">
          <a:avLst>
            <a:gd name="adj1" fmla="val 50000"/>
            <a:gd name="adj2" fmla="val 38679"/>
          </a:avLst>
        </a:prstGeom>
        <a:solidFill>
          <a:srgbClr val="FFFFFF"/>
        </a:solidFill>
        <a:ln w="9525" algn="ctr">
          <a:solidFill>
            <a:srgbClr val="000000"/>
          </a:solidFill>
          <a:miter lim="800000"/>
          <a:headEnd/>
          <a:tailEnd/>
        </a:ln>
      </xdr:spPr>
    </xdr:sp>
    <xdr:clientData/>
  </xdr:twoCellAnchor>
  <xdr:twoCellAnchor>
    <xdr:from>
      <xdr:col>2</xdr:col>
      <xdr:colOff>260350</xdr:colOff>
      <xdr:row>6</xdr:row>
      <xdr:rowOff>142875</xdr:rowOff>
    </xdr:from>
    <xdr:to>
      <xdr:col>4</xdr:col>
      <xdr:colOff>752475</xdr:colOff>
      <xdr:row>8</xdr:row>
      <xdr:rowOff>95250</xdr:rowOff>
    </xdr:to>
    <xdr:sp macro="" textlink="">
      <xdr:nvSpPr>
        <xdr:cNvPr id="14" name="Text Box 16">
          <a:extLst>
            <a:ext uri="{FF2B5EF4-FFF2-40B4-BE49-F238E27FC236}">
              <a16:creationId xmlns:a16="http://schemas.microsoft.com/office/drawing/2014/main" id="{00000000-0008-0000-1800-00000E000000}"/>
            </a:ext>
          </a:extLst>
        </xdr:cNvPr>
        <xdr:cNvSpPr txBox="1">
          <a:spLocks noChangeArrowheads="1"/>
        </xdr:cNvSpPr>
      </xdr:nvSpPr>
      <xdr:spPr bwMode="auto">
        <a:xfrm>
          <a:off x="2844800" y="1819275"/>
          <a:ext cx="1412875" cy="40957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VWO / GYM  = E8+</a:t>
          </a:r>
          <a:endParaRPr lang="nl-NL"/>
        </a:p>
      </xdr:txBody>
    </xdr:sp>
    <xdr:clientData/>
  </xdr:twoCellAnchor>
  <xdr:twoCellAnchor>
    <xdr:from>
      <xdr:col>5</xdr:col>
      <xdr:colOff>334108</xdr:colOff>
      <xdr:row>4</xdr:row>
      <xdr:rowOff>205155</xdr:rowOff>
    </xdr:from>
    <xdr:to>
      <xdr:col>6</xdr:col>
      <xdr:colOff>550008</xdr:colOff>
      <xdr:row>16</xdr:row>
      <xdr:rowOff>219808</xdr:rowOff>
    </xdr:to>
    <xdr:sp macro="" textlink="">
      <xdr:nvSpPr>
        <xdr:cNvPr id="15" name="PIJL-OMHOOG 20">
          <a:extLst>
            <a:ext uri="{FF2B5EF4-FFF2-40B4-BE49-F238E27FC236}">
              <a16:creationId xmlns:a16="http://schemas.microsoft.com/office/drawing/2014/main" id="{00000000-0008-0000-1800-00000F000000}"/>
            </a:ext>
          </a:extLst>
        </xdr:cNvPr>
        <xdr:cNvSpPr/>
      </xdr:nvSpPr>
      <xdr:spPr bwMode="auto">
        <a:xfrm>
          <a:off x="5096608" y="1424355"/>
          <a:ext cx="806450" cy="2757853"/>
        </a:xfrm>
        <a:prstGeom prst="upArrow">
          <a:avLst/>
        </a:prstGeom>
        <a:gradFill>
          <a:gsLst>
            <a:gs pos="0">
              <a:srgbClr val="0066FF"/>
            </a:gs>
            <a:gs pos="100000">
              <a:srgbClr val="002060"/>
            </a:gs>
          </a:gsLst>
        </a:gradFill>
        <a:ln>
          <a:solidFill>
            <a:schemeClr val="tx1"/>
          </a:solidFill>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horzOverflow="clip" vert="vert270" wrap="square" lIns="18288" tIns="0" rIns="0" bIns="0" rtlCol="0" anchor="ctr" upright="1"/>
        <a:lstStyle/>
        <a:p>
          <a:pPr algn="ctr"/>
          <a:r>
            <a:rPr lang="nl-NL" sz="1200">
              <a:solidFill>
                <a:schemeClr val="bg1"/>
              </a:solidFill>
              <a:latin typeface="Comic Sans MS" panose="030F0702030302020204" pitchFamily="66" charset="0"/>
            </a:rPr>
            <a:t>2F /</a:t>
          </a:r>
          <a:r>
            <a:rPr lang="nl-NL" sz="1200" baseline="0">
              <a:solidFill>
                <a:schemeClr val="bg1"/>
              </a:solidFill>
              <a:latin typeface="Comic Sans MS" panose="030F0702030302020204" pitchFamily="66" charset="0"/>
            </a:rPr>
            <a:t> 1S</a:t>
          </a:r>
          <a:endParaRPr lang="nl-NL" sz="1200">
            <a:solidFill>
              <a:schemeClr val="bg1"/>
            </a:solidFill>
            <a:latin typeface="Comic Sans MS" panose="030F0702030302020204" pitchFamily="66" charset="0"/>
          </a:endParaRPr>
        </a:p>
      </xdr:txBody>
    </xdr:sp>
    <xdr:clientData/>
  </xdr:twoCellAnchor>
  <xdr:twoCellAnchor>
    <xdr:from>
      <xdr:col>5</xdr:col>
      <xdr:colOff>332154</xdr:colOff>
      <xdr:row>15</xdr:row>
      <xdr:rowOff>14653</xdr:rowOff>
    </xdr:from>
    <xdr:to>
      <xdr:col>6</xdr:col>
      <xdr:colOff>548054</xdr:colOff>
      <xdr:row>29</xdr:row>
      <xdr:rowOff>73269</xdr:rowOff>
    </xdr:to>
    <xdr:sp macro="" textlink="">
      <xdr:nvSpPr>
        <xdr:cNvPr id="16" name="PIJL-OMHOOG 19">
          <a:extLst>
            <a:ext uri="{FF2B5EF4-FFF2-40B4-BE49-F238E27FC236}">
              <a16:creationId xmlns:a16="http://schemas.microsoft.com/office/drawing/2014/main" id="{00000000-0008-0000-1800-000010000000}"/>
            </a:ext>
          </a:extLst>
        </xdr:cNvPr>
        <xdr:cNvSpPr/>
      </xdr:nvSpPr>
      <xdr:spPr bwMode="auto">
        <a:xfrm>
          <a:off x="5094654" y="3748453"/>
          <a:ext cx="806450" cy="3189166"/>
        </a:xfrm>
        <a:prstGeom prst="upArrow">
          <a:avLst/>
        </a:prstGeom>
        <a:gradFill>
          <a:gsLst>
            <a:gs pos="83000">
              <a:srgbClr val="CCFFFF"/>
            </a:gs>
            <a:gs pos="53000">
              <a:srgbClr val="CCFFFF"/>
            </a:gs>
            <a:gs pos="0">
              <a:srgbClr val="00FF00"/>
            </a:gs>
            <a:gs pos="100000">
              <a:srgbClr val="0070C0"/>
            </a:gs>
          </a:gsLst>
        </a:gradFill>
        <a:ln>
          <a:solidFill>
            <a:schemeClr val="tx1"/>
          </a:solidFill>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vert="vert270" wrap="square" lIns="18288" tIns="0" rIns="0" bIns="0" rtlCol="0" anchor="ctr" upright="1"/>
        <a:lstStyle/>
        <a:p>
          <a:pPr algn="ctr"/>
          <a:r>
            <a:rPr lang="nl-NL" sz="1200" b="0">
              <a:latin typeface="Comic Sans MS" panose="030F0702030302020204" pitchFamily="66" charset="0"/>
            </a:rPr>
            <a:t>1F</a:t>
          </a:r>
        </a:p>
      </xdr:txBody>
    </xdr:sp>
    <xdr:clientData/>
  </xdr:twoCellAnchor>
  <xdr:twoCellAnchor>
    <xdr:from>
      <xdr:col>5</xdr:col>
      <xdr:colOff>317500</xdr:colOff>
      <xdr:row>27</xdr:row>
      <xdr:rowOff>165100</xdr:rowOff>
    </xdr:from>
    <xdr:to>
      <xdr:col>6</xdr:col>
      <xdr:colOff>533400</xdr:colOff>
      <xdr:row>39</xdr:row>
      <xdr:rowOff>249114</xdr:rowOff>
    </xdr:to>
    <xdr:sp macro="" textlink="">
      <xdr:nvSpPr>
        <xdr:cNvPr id="17" name="PIJL-OMHOOG 21">
          <a:extLst>
            <a:ext uri="{FF2B5EF4-FFF2-40B4-BE49-F238E27FC236}">
              <a16:creationId xmlns:a16="http://schemas.microsoft.com/office/drawing/2014/main" id="{00000000-0008-0000-1800-000011000000}"/>
            </a:ext>
          </a:extLst>
        </xdr:cNvPr>
        <xdr:cNvSpPr/>
      </xdr:nvSpPr>
      <xdr:spPr bwMode="auto">
        <a:xfrm>
          <a:off x="5080000" y="6604000"/>
          <a:ext cx="806450" cy="2776414"/>
        </a:xfrm>
        <a:prstGeom prst="upArrow">
          <a:avLst/>
        </a:prstGeom>
        <a:gradFill>
          <a:gsLst>
            <a:gs pos="35000">
              <a:srgbClr val="FFFF99"/>
            </a:gs>
            <a:gs pos="0">
              <a:srgbClr val="FFFFCC"/>
            </a:gs>
            <a:gs pos="82000">
              <a:srgbClr val="FFFF99"/>
            </a:gs>
            <a:gs pos="100000">
              <a:srgbClr val="00FF00"/>
            </a:gs>
          </a:gsLst>
        </a:gradFill>
        <a:ln>
          <a:solidFill>
            <a:schemeClr val="tx1"/>
          </a:solidFill>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horzOverflow="clip" vert="vert270" wrap="square" lIns="18288" tIns="0" rIns="0" bIns="0" rtlCol="0" anchor="ctr" upright="1"/>
        <a:lstStyle/>
        <a:p>
          <a:pPr algn="ctr"/>
          <a:r>
            <a:rPr lang="nl-NL" sz="1200">
              <a:latin typeface="Comic Sans MS" panose="030F0702030302020204" pitchFamily="66" charset="0"/>
            </a:rPr>
            <a:t>naar 1F - 2F - 1S</a:t>
          </a:r>
        </a:p>
      </xdr:txBody>
    </xdr:sp>
    <xdr:clientData/>
  </xdr:twoCellAnchor>
  <xdr:twoCellAnchor>
    <xdr:from>
      <xdr:col>7</xdr:col>
      <xdr:colOff>8881</xdr:colOff>
      <xdr:row>5</xdr:row>
      <xdr:rowOff>13433</xdr:rowOff>
    </xdr:from>
    <xdr:to>
      <xdr:col>30</xdr:col>
      <xdr:colOff>6794</xdr:colOff>
      <xdr:row>40</xdr:row>
      <xdr:rowOff>42741</xdr:rowOff>
    </xdr:to>
    <xdr:graphicFrame macro="">
      <xdr:nvGraphicFramePr>
        <xdr:cNvPr id="18" name="Grafiek 17">
          <a:extLst>
            <a:ext uri="{FF2B5EF4-FFF2-40B4-BE49-F238E27FC236}">
              <a16:creationId xmlns:a16="http://schemas.microsoft.com/office/drawing/2014/main" id="{00000000-0008-0000-1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15875</xdr:colOff>
      <xdr:row>8</xdr:row>
      <xdr:rowOff>208242</xdr:rowOff>
    </xdr:from>
    <xdr:to>
      <xdr:col>33</xdr:col>
      <xdr:colOff>79375</xdr:colOff>
      <xdr:row>11</xdr:row>
      <xdr:rowOff>222249</xdr:rowOff>
    </xdr:to>
    <xdr:sp macro="" textlink="">
      <xdr:nvSpPr>
        <xdr:cNvPr id="19" name="AutoShape 48">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21643975" y="2341842"/>
          <a:ext cx="1346200" cy="6998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0</xdr:colOff>
      <xdr:row>5</xdr:row>
      <xdr:rowOff>0</xdr:rowOff>
    </xdr:from>
    <xdr:to>
      <xdr:col>33</xdr:col>
      <xdr:colOff>63500</xdr:colOff>
      <xdr:row>8</xdr:row>
      <xdr:rowOff>39492</xdr:rowOff>
    </xdr:to>
    <xdr:sp macro="" textlink="">
      <xdr:nvSpPr>
        <xdr:cNvPr id="20" name="AutoShape 48">
          <a:hlinkClick xmlns:r="http://schemas.openxmlformats.org/officeDocument/2006/relationships" r:id="rId4"/>
          <a:extLst>
            <a:ext uri="{FF2B5EF4-FFF2-40B4-BE49-F238E27FC236}">
              <a16:creationId xmlns:a16="http://schemas.microsoft.com/office/drawing/2014/main" id="{00000000-0008-0000-1800-000014000000}"/>
            </a:ext>
          </a:extLst>
        </xdr:cNvPr>
        <xdr:cNvSpPr>
          <a:spLocks noChangeArrowheads="1"/>
        </xdr:cNvSpPr>
      </xdr:nvSpPr>
      <xdr:spPr bwMode="auto">
        <a:xfrm>
          <a:off x="21628100" y="1447800"/>
          <a:ext cx="1346200" cy="7252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7</xdr:col>
      <xdr:colOff>10584</xdr:colOff>
      <xdr:row>41</xdr:row>
      <xdr:rowOff>47625</xdr:rowOff>
    </xdr:from>
    <xdr:to>
      <xdr:col>29</xdr:col>
      <xdr:colOff>592667</xdr:colOff>
      <xdr:row>55</xdr:row>
      <xdr:rowOff>248710</xdr:rowOff>
    </xdr:to>
    <xdr:graphicFrame macro="">
      <xdr:nvGraphicFramePr>
        <xdr:cNvPr id="21" name="Grafiek 20">
          <a:extLst>
            <a:ext uri="{FF2B5EF4-FFF2-40B4-BE49-F238E27FC236}">
              <a16:creationId xmlns:a16="http://schemas.microsoft.com/office/drawing/2014/main" id="{00000000-0008-0000-1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201082</xdr:colOff>
      <xdr:row>44</xdr:row>
      <xdr:rowOff>45516</xdr:rowOff>
    </xdr:from>
    <xdr:to>
      <xdr:col>29</xdr:col>
      <xdr:colOff>282574</xdr:colOff>
      <xdr:row>46</xdr:row>
      <xdr:rowOff>87832</xdr:rowOff>
    </xdr:to>
    <xdr:sp macro="" textlink="">
      <xdr:nvSpPr>
        <xdr:cNvPr id="22" name="AutoShape 13">
          <a:extLst>
            <a:ext uri="{FF2B5EF4-FFF2-40B4-BE49-F238E27FC236}">
              <a16:creationId xmlns:a16="http://schemas.microsoft.com/office/drawing/2014/main" id="{00000000-0008-0000-1800-000016000000}"/>
            </a:ext>
          </a:extLst>
        </xdr:cNvPr>
        <xdr:cNvSpPr>
          <a:spLocks noChangeArrowheads="1"/>
        </xdr:cNvSpPr>
      </xdr:nvSpPr>
      <xdr:spPr bwMode="auto">
        <a:xfrm flipH="1">
          <a:off x="18622432" y="10376966"/>
          <a:ext cx="2005542" cy="49951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26</xdr:col>
      <xdr:colOff>205315</xdr:colOff>
      <xdr:row>46</xdr:row>
      <xdr:rowOff>224373</xdr:rowOff>
    </xdr:from>
    <xdr:to>
      <xdr:col>29</xdr:col>
      <xdr:colOff>286807</xdr:colOff>
      <xdr:row>49</xdr:row>
      <xdr:rowOff>33856</xdr:rowOff>
    </xdr:to>
    <xdr:sp macro="" textlink="">
      <xdr:nvSpPr>
        <xdr:cNvPr id="23" name="AutoShape 13">
          <a:extLst>
            <a:ext uri="{FF2B5EF4-FFF2-40B4-BE49-F238E27FC236}">
              <a16:creationId xmlns:a16="http://schemas.microsoft.com/office/drawing/2014/main" id="{00000000-0008-0000-1800-000017000000}"/>
            </a:ext>
          </a:extLst>
        </xdr:cNvPr>
        <xdr:cNvSpPr>
          <a:spLocks noChangeArrowheads="1"/>
        </xdr:cNvSpPr>
      </xdr:nvSpPr>
      <xdr:spPr bwMode="auto">
        <a:xfrm flipH="1">
          <a:off x="18626665" y="11013023"/>
          <a:ext cx="2005542" cy="495283"/>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26</xdr:col>
      <xdr:colOff>188382</xdr:colOff>
      <xdr:row>41</xdr:row>
      <xdr:rowOff>106897</xdr:rowOff>
    </xdr:from>
    <xdr:to>
      <xdr:col>29</xdr:col>
      <xdr:colOff>269874</xdr:colOff>
      <xdr:row>43</xdr:row>
      <xdr:rowOff>158611</xdr:rowOff>
    </xdr:to>
    <xdr:sp macro="" textlink="">
      <xdr:nvSpPr>
        <xdr:cNvPr id="24" name="AutoShape 13">
          <a:extLst>
            <a:ext uri="{FF2B5EF4-FFF2-40B4-BE49-F238E27FC236}">
              <a16:creationId xmlns:a16="http://schemas.microsoft.com/office/drawing/2014/main" id="{00000000-0008-0000-1800-000018000000}"/>
            </a:ext>
          </a:extLst>
        </xdr:cNvPr>
        <xdr:cNvSpPr>
          <a:spLocks noChangeArrowheads="1"/>
        </xdr:cNvSpPr>
      </xdr:nvSpPr>
      <xdr:spPr bwMode="auto">
        <a:xfrm flipH="1">
          <a:off x="18609732" y="9714447"/>
          <a:ext cx="2005542" cy="547014"/>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26</xdr:col>
      <xdr:colOff>213782</xdr:colOff>
      <xdr:row>49</xdr:row>
      <xdr:rowOff>185228</xdr:rowOff>
    </xdr:from>
    <xdr:to>
      <xdr:col>29</xdr:col>
      <xdr:colOff>295274</xdr:colOff>
      <xdr:row>51</xdr:row>
      <xdr:rowOff>227544</xdr:rowOff>
    </xdr:to>
    <xdr:sp macro="" textlink="">
      <xdr:nvSpPr>
        <xdr:cNvPr id="25" name="AutoShape 13">
          <a:extLst>
            <a:ext uri="{FF2B5EF4-FFF2-40B4-BE49-F238E27FC236}">
              <a16:creationId xmlns:a16="http://schemas.microsoft.com/office/drawing/2014/main" id="{00000000-0008-0000-1800-000019000000}"/>
            </a:ext>
          </a:extLst>
        </xdr:cNvPr>
        <xdr:cNvSpPr>
          <a:spLocks noChangeArrowheads="1"/>
        </xdr:cNvSpPr>
      </xdr:nvSpPr>
      <xdr:spPr bwMode="auto">
        <a:xfrm flipH="1">
          <a:off x="18635132" y="11659678"/>
          <a:ext cx="2005542" cy="49951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twoCellAnchor editAs="oneCell">
    <xdr:from>
      <xdr:col>2</xdr:col>
      <xdr:colOff>254001</xdr:colOff>
      <xdr:row>43</xdr:row>
      <xdr:rowOff>116415</xdr:rowOff>
    </xdr:from>
    <xdr:to>
      <xdr:col>6</xdr:col>
      <xdr:colOff>480130</xdr:colOff>
      <xdr:row>55</xdr:row>
      <xdr:rowOff>226482</xdr:rowOff>
    </xdr:to>
    <xdr:pic>
      <xdr:nvPicPr>
        <xdr:cNvPr id="26" name="Afbeelding 25">
          <a:extLst>
            <a:ext uri="{FF2B5EF4-FFF2-40B4-BE49-F238E27FC236}">
              <a16:creationId xmlns:a16="http://schemas.microsoft.com/office/drawing/2014/main" id="{00000000-0008-0000-1800-00001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38451" y="10219265"/>
          <a:ext cx="2994729" cy="2853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3</xdr:col>
      <xdr:colOff>757605</xdr:colOff>
      <xdr:row>33</xdr:row>
      <xdr:rowOff>32240</xdr:rowOff>
    </xdr:from>
    <xdr:to>
      <xdr:col>5</xdr:col>
      <xdr:colOff>567106</xdr:colOff>
      <xdr:row>35</xdr:row>
      <xdr:rowOff>175847</xdr:rowOff>
    </xdr:to>
    <xdr:sp macro="" textlink="">
      <xdr:nvSpPr>
        <xdr:cNvPr id="11" name="AutoShape 13">
          <a:extLst>
            <a:ext uri="{FF2B5EF4-FFF2-40B4-BE49-F238E27FC236}">
              <a16:creationId xmlns:a16="http://schemas.microsoft.com/office/drawing/2014/main" id="{00000000-0008-0000-1900-00000B000000}"/>
            </a:ext>
          </a:extLst>
        </xdr:cNvPr>
        <xdr:cNvSpPr>
          <a:spLocks noChangeArrowheads="1"/>
        </xdr:cNvSpPr>
      </xdr:nvSpPr>
      <xdr:spPr bwMode="auto">
        <a:xfrm>
          <a:off x="4113336" y="8370278"/>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E3</a:t>
          </a:r>
        </a:p>
      </xdr:txBody>
    </xdr:sp>
    <xdr:clientData/>
  </xdr:twoCellAnchor>
  <xdr:twoCellAnchor>
    <xdr:from>
      <xdr:col>6</xdr:col>
      <xdr:colOff>19784</xdr:colOff>
      <xdr:row>5</xdr:row>
      <xdr:rowOff>0</xdr:rowOff>
    </xdr:from>
    <xdr:to>
      <xdr:col>28</xdr:col>
      <xdr:colOff>614241</xdr:colOff>
      <xdr:row>40</xdr:row>
      <xdr:rowOff>101600</xdr:rowOff>
    </xdr:to>
    <xdr:graphicFrame macro="">
      <xdr:nvGraphicFramePr>
        <xdr:cNvPr id="18" name="Grafiek 17">
          <a:extLst>
            <a:ext uri="{FF2B5EF4-FFF2-40B4-BE49-F238E27FC236}">
              <a16:creationId xmlns:a16="http://schemas.microsoft.com/office/drawing/2014/main" id="{00000000-0008-0000-1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170390</xdr:colOff>
      <xdr:row>8</xdr:row>
      <xdr:rowOff>208242</xdr:rowOff>
    </xdr:from>
    <xdr:to>
      <xdr:col>33</xdr:col>
      <xdr:colOff>233891</xdr:colOff>
      <xdr:row>11</xdr:row>
      <xdr:rowOff>222249</xdr:rowOff>
    </xdr:to>
    <xdr:sp macro="" textlink="">
      <xdr:nvSpPr>
        <xdr:cNvPr id="19" name="AutoShape 48">
          <a:hlinkClick xmlns:r="http://schemas.openxmlformats.org/officeDocument/2006/relationships" r:id="rId2"/>
          <a:extLst>
            <a:ext uri="{FF2B5EF4-FFF2-40B4-BE49-F238E27FC236}">
              <a16:creationId xmlns:a16="http://schemas.microsoft.com/office/drawing/2014/main" id="{00000000-0008-0000-1900-000013000000}"/>
            </a:ext>
          </a:extLst>
        </xdr:cNvPr>
        <xdr:cNvSpPr>
          <a:spLocks noChangeArrowheads="1"/>
        </xdr:cNvSpPr>
      </xdr:nvSpPr>
      <xdr:spPr bwMode="auto">
        <a:xfrm>
          <a:off x="21781557" y="2367242"/>
          <a:ext cx="1354667" cy="7125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154515</xdr:colOff>
      <xdr:row>5</xdr:row>
      <xdr:rowOff>0</xdr:rowOff>
    </xdr:from>
    <xdr:to>
      <xdr:col>33</xdr:col>
      <xdr:colOff>218016</xdr:colOff>
      <xdr:row>8</xdr:row>
      <xdr:rowOff>39492</xdr:rowOff>
    </xdr:to>
    <xdr:sp macro="" textlink="">
      <xdr:nvSpPr>
        <xdr:cNvPr id="20" name="AutoShape 48">
          <a:hlinkClick xmlns:r="http://schemas.openxmlformats.org/officeDocument/2006/relationships" r:id="rId3"/>
          <a:extLst>
            <a:ext uri="{FF2B5EF4-FFF2-40B4-BE49-F238E27FC236}">
              <a16:creationId xmlns:a16="http://schemas.microsoft.com/office/drawing/2014/main" id="{00000000-0008-0000-1900-000014000000}"/>
            </a:ext>
          </a:extLst>
        </xdr:cNvPr>
        <xdr:cNvSpPr>
          <a:spLocks noChangeArrowheads="1"/>
        </xdr:cNvSpPr>
      </xdr:nvSpPr>
      <xdr:spPr bwMode="auto">
        <a:xfrm>
          <a:off x="21765682" y="1460500"/>
          <a:ext cx="1354667" cy="7379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3</xdr:col>
      <xdr:colOff>763467</xdr:colOff>
      <xdr:row>35</xdr:row>
      <xdr:rowOff>184639</xdr:rowOff>
    </xdr:from>
    <xdr:to>
      <xdr:col>5</xdr:col>
      <xdr:colOff>572968</xdr:colOff>
      <xdr:row>38</xdr:row>
      <xdr:rowOff>79131</xdr:rowOff>
    </xdr:to>
    <xdr:sp macro="" textlink="">
      <xdr:nvSpPr>
        <xdr:cNvPr id="21" name="AutoShape 13">
          <a:extLst>
            <a:ext uri="{FF2B5EF4-FFF2-40B4-BE49-F238E27FC236}">
              <a16:creationId xmlns:a16="http://schemas.microsoft.com/office/drawing/2014/main" id="{00000000-0008-0000-1900-000015000000}"/>
            </a:ext>
          </a:extLst>
        </xdr:cNvPr>
        <xdr:cNvSpPr>
          <a:spLocks noChangeArrowheads="1"/>
        </xdr:cNvSpPr>
      </xdr:nvSpPr>
      <xdr:spPr bwMode="auto">
        <a:xfrm>
          <a:off x="4119198" y="9020908"/>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M3</a:t>
          </a:r>
        </a:p>
      </xdr:txBody>
    </xdr:sp>
    <xdr:clientData/>
  </xdr:twoCellAnchor>
  <xdr:twoCellAnchor>
    <xdr:from>
      <xdr:col>3</xdr:col>
      <xdr:colOff>761999</xdr:colOff>
      <xdr:row>30</xdr:row>
      <xdr:rowOff>146539</xdr:rowOff>
    </xdr:from>
    <xdr:to>
      <xdr:col>5</xdr:col>
      <xdr:colOff>571500</xdr:colOff>
      <xdr:row>33</xdr:row>
      <xdr:rowOff>41031</xdr:rowOff>
    </xdr:to>
    <xdr:sp macro="" textlink="">
      <xdr:nvSpPr>
        <xdr:cNvPr id="22" name="AutoShape 13">
          <a:extLst>
            <a:ext uri="{FF2B5EF4-FFF2-40B4-BE49-F238E27FC236}">
              <a16:creationId xmlns:a16="http://schemas.microsoft.com/office/drawing/2014/main" id="{00000000-0008-0000-1900-000016000000}"/>
            </a:ext>
          </a:extLst>
        </xdr:cNvPr>
        <xdr:cNvSpPr>
          <a:spLocks noChangeArrowheads="1"/>
        </xdr:cNvSpPr>
      </xdr:nvSpPr>
      <xdr:spPr bwMode="auto">
        <a:xfrm>
          <a:off x="4117730" y="7737231"/>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M4</a:t>
          </a:r>
        </a:p>
      </xdr:txBody>
    </xdr:sp>
    <xdr:clientData/>
  </xdr:twoCellAnchor>
  <xdr:twoCellAnchor>
    <xdr:from>
      <xdr:col>3</xdr:col>
      <xdr:colOff>762000</xdr:colOff>
      <xdr:row>27</xdr:row>
      <xdr:rowOff>190500</xdr:rowOff>
    </xdr:from>
    <xdr:to>
      <xdr:col>5</xdr:col>
      <xdr:colOff>571501</xdr:colOff>
      <xdr:row>30</xdr:row>
      <xdr:rowOff>128954</xdr:rowOff>
    </xdr:to>
    <xdr:sp macro="" textlink="">
      <xdr:nvSpPr>
        <xdr:cNvPr id="23" name="AutoShape 13">
          <a:extLst>
            <a:ext uri="{FF2B5EF4-FFF2-40B4-BE49-F238E27FC236}">
              <a16:creationId xmlns:a16="http://schemas.microsoft.com/office/drawing/2014/main" id="{00000000-0008-0000-1900-000017000000}"/>
            </a:ext>
          </a:extLst>
        </xdr:cNvPr>
        <xdr:cNvSpPr>
          <a:spLocks noChangeArrowheads="1"/>
        </xdr:cNvSpPr>
      </xdr:nvSpPr>
      <xdr:spPr bwMode="auto">
        <a:xfrm>
          <a:off x="4117731" y="7077808"/>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E4</a:t>
          </a:r>
        </a:p>
      </xdr:txBody>
    </xdr:sp>
    <xdr:clientData/>
  </xdr:twoCellAnchor>
  <xdr:twoCellAnchor>
    <xdr:from>
      <xdr:col>3</xdr:col>
      <xdr:colOff>762000</xdr:colOff>
      <xdr:row>25</xdr:row>
      <xdr:rowOff>29309</xdr:rowOff>
    </xdr:from>
    <xdr:to>
      <xdr:col>5</xdr:col>
      <xdr:colOff>571501</xdr:colOff>
      <xdr:row>27</xdr:row>
      <xdr:rowOff>172916</xdr:rowOff>
    </xdr:to>
    <xdr:sp macro="" textlink="">
      <xdr:nvSpPr>
        <xdr:cNvPr id="24" name="AutoShape 13">
          <a:extLst>
            <a:ext uri="{FF2B5EF4-FFF2-40B4-BE49-F238E27FC236}">
              <a16:creationId xmlns:a16="http://schemas.microsoft.com/office/drawing/2014/main" id="{00000000-0008-0000-1900-000018000000}"/>
            </a:ext>
          </a:extLst>
        </xdr:cNvPr>
        <xdr:cNvSpPr>
          <a:spLocks noChangeArrowheads="1"/>
        </xdr:cNvSpPr>
      </xdr:nvSpPr>
      <xdr:spPr bwMode="auto">
        <a:xfrm>
          <a:off x="4117731" y="6418386"/>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M5</a:t>
          </a:r>
        </a:p>
      </xdr:txBody>
    </xdr:sp>
    <xdr:clientData/>
  </xdr:twoCellAnchor>
  <xdr:twoCellAnchor>
    <xdr:from>
      <xdr:col>3</xdr:col>
      <xdr:colOff>762000</xdr:colOff>
      <xdr:row>22</xdr:row>
      <xdr:rowOff>73270</xdr:rowOff>
    </xdr:from>
    <xdr:to>
      <xdr:col>5</xdr:col>
      <xdr:colOff>571501</xdr:colOff>
      <xdr:row>25</xdr:row>
      <xdr:rowOff>26377</xdr:rowOff>
    </xdr:to>
    <xdr:sp macro="" textlink="">
      <xdr:nvSpPr>
        <xdr:cNvPr id="25" name="AutoShape 13">
          <a:extLst>
            <a:ext uri="{FF2B5EF4-FFF2-40B4-BE49-F238E27FC236}">
              <a16:creationId xmlns:a16="http://schemas.microsoft.com/office/drawing/2014/main" id="{00000000-0008-0000-1900-000019000000}"/>
            </a:ext>
          </a:extLst>
        </xdr:cNvPr>
        <xdr:cNvSpPr>
          <a:spLocks noChangeArrowheads="1"/>
        </xdr:cNvSpPr>
      </xdr:nvSpPr>
      <xdr:spPr bwMode="auto">
        <a:xfrm>
          <a:off x="4117731" y="5773616"/>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E5</a:t>
          </a:r>
        </a:p>
      </xdr:txBody>
    </xdr:sp>
    <xdr:clientData/>
  </xdr:twoCellAnchor>
  <xdr:twoCellAnchor>
    <xdr:from>
      <xdr:col>3</xdr:col>
      <xdr:colOff>762000</xdr:colOff>
      <xdr:row>19</xdr:row>
      <xdr:rowOff>175846</xdr:rowOff>
    </xdr:from>
    <xdr:to>
      <xdr:col>5</xdr:col>
      <xdr:colOff>571501</xdr:colOff>
      <xdr:row>22</xdr:row>
      <xdr:rowOff>70338</xdr:rowOff>
    </xdr:to>
    <xdr:sp macro="" textlink="">
      <xdr:nvSpPr>
        <xdr:cNvPr id="26" name="AutoShape 13">
          <a:extLst>
            <a:ext uri="{FF2B5EF4-FFF2-40B4-BE49-F238E27FC236}">
              <a16:creationId xmlns:a16="http://schemas.microsoft.com/office/drawing/2014/main" id="{00000000-0008-0000-1900-00001A000000}"/>
            </a:ext>
          </a:extLst>
        </xdr:cNvPr>
        <xdr:cNvSpPr>
          <a:spLocks noChangeArrowheads="1"/>
        </xdr:cNvSpPr>
      </xdr:nvSpPr>
      <xdr:spPr bwMode="auto">
        <a:xfrm>
          <a:off x="4117731" y="5128846"/>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M6</a:t>
          </a:r>
        </a:p>
      </xdr:txBody>
    </xdr:sp>
    <xdr:clientData/>
  </xdr:twoCellAnchor>
  <xdr:twoCellAnchor>
    <xdr:from>
      <xdr:col>3</xdr:col>
      <xdr:colOff>776649</xdr:colOff>
      <xdr:row>17</xdr:row>
      <xdr:rowOff>73268</xdr:rowOff>
    </xdr:from>
    <xdr:to>
      <xdr:col>5</xdr:col>
      <xdr:colOff>576625</xdr:colOff>
      <xdr:row>19</xdr:row>
      <xdr:rowOff>216875</xdr:rowOff>
    </xdr:to>
    <xdr:sp macro="" textlink="">
      <xdr:nvSpPr>
        <xdr:cNvPr id="27" name="AutoShape 13">
          <a:extLst>
            <a:ext uri="{FF2B5EF4-FFF2-40B4-BE49-F238E27FC236}">
              <a16:creationId xmlns:a16="http://schemas.microsoft.com/office/drawing/2014/main" id="{00000000-0008-0000-1900-00001B000000}"/>
            </a:ext>
          </a:extLst>
        </xdr:cNvPr>
        <xdr:cNvSpPr>
          <a:spLocks noChangeArrowheads="1"/>
        </xdr:cNvSpPr>
      </xdr:nvSpPr>
      <xdr:spPr bwMode="auto">
        <a:xfrm>
          <a:off x="4132380" y="4528037"/>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E6</a:t>
          </a:r>
        </a:p>
      </xdr:txBody>
    </xdr:sp>
    <xdr:clientData/>
  </xdr:twoCellAnchor>
  <xdr:twoCellAnchor>
    <xdr:from>
      <xdr:col>3</xdr:col>
      <xdr:colOff>776650</xdr:colOff>
      <xdr:row>14</xdr:row>
      <xdr:rowOff>190497</xdr:rowOff>
    </xdr:from>
    <xdr:to>
      <xdr:col>5</xdr:col>
      <xdr:colOff>576626</xdr:colOff>
      <xdr:row>17</xdr:row>
      <xdr:rowOff>84989</xdr:rowOff>
    </xdr:to>
    <xdr:sp macro="" textlink="">
      <xdr:nvSpPr>
        <xdr:cNvPr id="28" name="AutoShape 13">
          <a:extLst>
            <a:ext uri="{FF2B5EF4-FFF2-40B4-BE49-F238E27FC236}">
              <a16:creationId xmlns:a16="http://schemas.microsoft.com/office/drawing/2014/main" id="{00000000-0008-0000-1900-00001C000000}"/>
            </a:ext>
          </a:extLst>
        </xdr:cNvPr>
        <xdr:cNvSpPr>
          <a:spLocks noChangeArrowheads="1"/>
        </xdr:cNvSpPr>
      </xdr:nvSpPr>
      <xdr:spPr bwMode="auto">
        <a:xfrm>
          <a:off x="4132381" y="3897920"/>
          <a:ext cx="1558437"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M7</a:t>
          </a:r>
        </a:p>
      </xdr:txBody>
    </xdr:sp>
    <xdr:clientData/>
  </xdr:twoCellAnchor>
  <xdr:twoCellAnchor>
    <xdr:from>
      <xdr:col>3</xdr:col>
      <xdr:colOff>776650</xdr:colOff>
      <xdr:row>12</xdr:row>
      <xdr:rowOff>29308</xdr:rowOff>
    </xdr:from>
    <xdr:to>
      <xdr:col>5</xdr:col>
      <xdr:colOff>576626</xdr:colOff>
      <xdr:row>14</xdr:row>
      <xdr:rowOff>172915</xdr:rowOff>
    </xdr:to>
    <xdr:sp macro="" textlink="">
      <xdr:nvSpPr>
        <xdr:cNvPr id="29" name="AutoShape 13">
          <a:extLst>
            <a:ext uri="{FF2B5EF4-FFF2-40B4-BE49-F238E27FC236}">
              <a16:creationId xmlns:a16="http://schemas.microsoft.com/office/drawing/2014/main" id="{00000000-0008-0000-1900-00001D000000}"/>
            </a:ext>
          </a:extLst>
        </xdr:cNvPr>
        <xdr:cNvSpPr>
          <a:spLocks noChangeArrowheads="1"/>
        </xdr:cNvSpPr>
      </xdr:nvSpPr>
      <xdr:spPr bwMode="auto">
        <a:xfrm>
          <a:off x="4132381" y="3238500"/>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E7</a:t>
          </a:r>
        </a:p>
      </xdr:txBody>
    </xdr:sp>
    <xdr:clientData/>
  </xdr:twoCellAnchor>
  <xdr:twoCellAnchor>
    <xdr:from>
      <xdr:col>3</xdr:col>
      <xdr:colOff>761998</xdr:colOff>
      <xdr:row>9</xdr:row>
      <xdr:rowOff>146538</xdr:rowOff>
    </xdr:from>
    <xdr:to>
      <xdr:col>5</xdr:col>
      <xdr:colOff>571499</xdr:colOff>
      <xdr:row>12</xdr:row>
      <xdr:rowOff>41030</xdr:rowOff>
    </xdr:to>
    <xdr:sp macro="" textlink="">
      <xdr:nvSpPr>
        <xdr:cNvPr id="30" name="AutoShape 13">
          <a:extLst>
            <a:ext uri="{FF2B5EF4-FFF2-40B4-BE49-F238E27FC236}">
              <a16:creationId xmlns:a16="http://schemas.microsoft.com/office/drawing/2014/main" id="{00000000-0008-0000-1900-00001E000000}"/>
            </a:ext>
          </a:extLst>
        </xdr:cNvPr>
        <xdr:cNvSpPr>
          <a:spLocks noChangeArrowheads="1"/>
        </xdr:cNvSpPr>
      </xdr:nvSpPr>
      <xdr:spPr bwMode="auto">
        <a:xfrm>
          <a:off x="4117729" y="2608384"/>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M8</a:t>
          </a:r>
        </a:p>
      </xdr:txBody>
    </xdr:sp>
    <xdr:clientData/>
  </xdr:twoCellAnchor>
  <xdr:twoCellAnchor>
    <xdr:from>
      <xdr:col>3</xdr:col>
      <xdr:colOff>776650</xdr:colOff>
      <xdr:row>7</xdr:row>
      <xdr:rowOff>0</xdr:rowOff>
    </xdr:from>
    <xdr:to>
      <xdr:col>5</xdr:col>
      <xdr:colOff>576626</xdr:colOff>
      <xdr:row>9</xdr:row>
      <xdr:rowOff>143607</xdr:rowOff>
    </xdr:to>
    <xdr:sp macro="" textlink="">
      <xdr:nvSpPr>
        <xdr:cNvPr id="31" name="AutoShape 13">
          <a:extLst>
            <a:ext uri="{FF2B5EF4-FFF2-40B4-BE49-F238E27FC236}">
              <a16:creationId xmlns:a16="http://schemas.microsoft.com/office/drawing/2014/main" id="{00000000-0008-0000-1900-00001F000000}"/>
            </a:ext>
          </a:extLst>
        </xdr:cNvPr>
        <xdr:cNvSpPr>
          <a:spLocks noChangeArrowheads="1"/>
        </xdr:cNvSpPr>
      </xdr:nvSpPr>
      <xdr:spPr bwMode="auto">
        <a:xfrm>
          <a:off x="4132381" y="1963615"/>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E8</a:t>
          </a:r>
        </a:p>
      </xdr:txBody>
    </xdr:sp>
    <xdr:clientData/>
  </xdr:twoCellAnchor>
  <xdr:twoCellAnchor>
    <xdr:from>
      <xdr:col>28</xdr:col>
      <xdr:colOff>635000</xdr:colOff>
      <xdr:row>3</xdr:row>
      <xdr:rowOff>25400</xdr:rowOff>
    </xdr:from>
    <xdr:to>
      <xdr:col>30</xdr:col>
      <xdr:colOff>317500</xdr:colOff>
      <xdr:row>42</xdr:row>
      <xdr:rowOff>76200</xdr:rowOff>
    </xdr:to>
    <xdr:graphicFrame macro="">
      <xdr:nvGraphicFramePr>
        <xdr:cNvPr id="17" name="Grafiek 9">
          <a:extLst>
            <a:ext uri="{FF2B5EF4-FFF2-40B4-BE49-F238E27FC236}">
              <a16:creationId xmlns:a16="http://schemas.microsoft.com/office/drawing/2014/main" id="{00000000-0008-0000-1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3175</xdr:colOff>
      <xdr:row>17</xdr:row>
      <xdr:rowOff>8477</xdr:rowOff>
    </xdr:from>
    <xdr:to>
      <xdr:col>18</xdr:col>
      <xdr:colOff>9524</xdr:colOff>
      <xdr:row>44</xdr:row>
      <xdr:rowOff>9621</xdr:rowOff>
    </xdr:to>
    <xdr:graphicFrame macro="">
      <xdr:nvGraphicFramePr>
        <xdr:cNvPr id="2" name="Chart 5">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77708</xdr:colOff>
      <xdr:row>15</xdr:row>
      <xdr:rowOff>154805</xdr:rowOff>
    </xdr:from>
    <xdr:to>
      <xdr:col>20</xdr:col>
      <xdr:colOff>4751</xdr:colOff>
      <xdr:row>44</xdr:row>
      <xdr:rowOff>6542</xdr:rowOff>
    </xdr:to>
    <xdr:graphicFrame macro="">
      <xdr:nvGraphicFramePr>
        <xdr:cNvPr id="3" name="Grafiek 9">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260165</xdr:colOff>
      <xdr:row>0</xdr:row>
      <xdr:rowOff>348221</xdr:rowOff>
    </xdr:from>
    <xdr:to>
      <xdr:col>11</xdr:col>
      <xdr:colOff>24653</xdr:colOff>
      <xdr:row>2</xdr:row>
      <xdr:rowOff>7937</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1A00-000004000000}"/>
            </a:ext>
          </a:extLst>
        </xdr:cNvPr>
        <xdr:cNvSpPr>
          <a:spLocks noChangeArrowheads="1"/>
        </xdr:cNvSpPr>
      </xdr:nvSpPr>
      <xdr:spPr bwMode="auto">
        <a:xfrm>
          <a:off x="4927415" y="348221"/>
          <a:ext cx="978926" cy="46140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6</xdr:col>
      <xdr:colOff>7472</xdr:colOff>
      <xdr:row>0</xdr:row>
      <xdr:rowOff>344953</xdr:rowOff>
    </xdr:from>
    <xdr:to>
      <xdr:col>8</xdr:col>
      <xdr:colOff>157442</xdr:colOff>
      <xdr:row>1</xdr:row>
      <xdr:rowOff>262206</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1A00-000005000000}"/>
            </a:ext>
          </a:extLst>
        </xdr:cNvPr>
        <xdr:cNvSpPr>
          <a:spLocks noChangeArrowheads="1"/>
        </xdr:cNvSpPr>
      </xdr:nvSpPr>
      <xdr:spPr bwMode="auto">
        <a:xfrm>
          <a:off x="3626972" y="344953"/>
          <a:ext cx="950070" cy="463353"/>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3</xdr:col>
      <xdr:colOff>33865</xdr:colOff>
      <xdr:row>2</xdr:row>
      <xdr:rowOff>33867</xdr:rowOff>
    </xdr:from>
    <xdr:to>
      <xdr:col>19</xdr:col>
      <xdr:colOff>93132</xdr:colOff>
      <xdr:row>5</xdr:row>
      <xdr:rowOff>50800</xdr:rowOff>
    </xdr:to>
    <xdr:sp macro="" textlink="">
      <xdr:nvSpPr>
        <xdr:cNvPr id="7" name="Pijl: links 6">
          <a:hlinkClick xmlns:r="http://schemas.openxmlformats.org/officeDocument/2006/relationships" r:id="rId5"/>
          <a:extLst>
            <a:ext uri="{FF2B5EF4-FFF2-40B4-BE49-F238E27FC236}">
              <a16:creationId xmlns:a16="http://schemas.microsoft.com/office/drawing/2014/main" id="{00000000-0008-0000-1A00-000007000000}"/>
            </a:ext>
          </a:extLst>
        </xdr:cNvPr>
        <xdr:cNvSpPr/>
      </xdr:nvSpPr>
      <xdr:spPr>
        <a:xfrm>
          <a:off x="2683932" y="838200"/>
          <a:ext cx="6561667" cy="660400"/>
        </a:xfrm>
        <a:prstGeom prst="leftArrow">
          <a:avLst/>
        </a:prstGeom>
        <a:solidFill>
          <a:srgbClr val="00B0F0"/>
        </a:solidFill>
        <a:effectLst>
          <a:outerShdw blurRad="50800" dist="1270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t>schoolweging</a:t>
          </a:r>
          <a:r>
            <a:rPr lang="nl-NL" sz="1600" b="1" baseline="0"/>
            <a:t> invullen bij tabblad referentieniveau - klik op de pijl</a:t>
          </a:r>
          <a:endParaRPr lang="nl-NL" sz="1600" b="1"/>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7</xdr:col>
      <xdr:colOff>12701</xdr:colOff>
      <xdr:row>0</xdr:row>
      <xdr:rowOff>155575</xdr:rowOff>
    </xdr:from>
    <xdr:to>
      <xdr:col>12</xdr:col>
      <xdr:colOff>6351</xdr:colOff>
      <xdr:row>12</xdr:row>
      <xdr:rowOff>9525</xdr:rowOff>
    </xdr:to>
    <xdr:graphicFrame macro="">
      <xdr:nvGraphicFramePr>
        <xdr:cNvPr id="2" name="Grafiek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12</xdr:row>
      <xdr:rowOff>3175</xdr:rowOff>
    </xdr:from>
    <xdr:to>
      <xdr:col>12</xdr:col>
      <xdr:colOff>3175</xdr:colOff>
      <xdr:row>23</xdr:row>
      <xdr:rowOff>41275</xdr:rowOff>
    </xdr:to>
    <xdr:graphicFrame macro="">
      <xdr:nvGraphicFramePr>
        <xdr:cNvPr id="3" name="Grafiek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6350</xdr:colOff>
      <xdr:row>23</xdr:row>
      <xdr:rowOff>3175</xdr:rowOff>
    </xdr:from>
    <xdr:to>
      <xdr:col>12</xdr:col>
      <xdr:colOff>0</xdr:colOff>
      <xdr:row>34</xdr:row>
      <xdr:rowOff>22225</xdr:rowOff>
    </xdr:to>
    <xdr:graphicFrame macro="">
      <xdr:nvGraphicFramePr>
        <xdr:cNvPr id="4" name="Grafiek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12700</xdr:colOff>
      <xdr:row>34</xdr:row>
      <xdr:rowOff>3175</xdr:rowOff>
    </xdr:from>
    <xdr:to>
      <xdr:col>11</xdr:col>
      <xdr:colOff>273050</xdr:colOff>
      <xdr:row>44</xdr:row>
      <xdr:rowOff>187325</xdr:rowOff>
    </xdr:to>
    <xdr:graphicFrame macro="">
      <xdr:nvGraphicFramePr>
        <xdr:cNvPr id="5" name="Grafiek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25400</xdr:colOff>
      <xdr:row>4</xdr:row>
      <xdr:rowOff>45571</xdr:rowOff>
    </xdr:from>
    <xdr:to>
      <xdr:col>25</xdr:col>
      <xdr:colOff>495300</xdr:colOff>
      <xdr:row>6</xdr:row>
      <xdr:rowOff>187325</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1B00-000006000000}"/>
            </a:ext>
          </a:extLst>
        </xdr:cNvPr>
        <xdr:cNvSpPr>
          <a:spLocks noChangeArrowheads="1"/>
        </xdr:cNvSpPr>
      </xdr:nvSpPr>
      <xdr:spPr bwMode="auto">
        <a:xfrm>
          <a:off x="13246100" y="782171"/>
          <a:ext cx="1085850"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24</xdr:col>
      <xdr:colOff>25400</xdr:colOff>
      <xdr:row>1</xdr:row>
      <xdr:rowOff>12700</xdr:rowOff>
    </xdr:from>
    <xdr:to>
      <xdr:col>25</xdr:col>
      <xdr:colOff>495300</xdr:colOff>
      <xdr:row>3</xdr:row>
      <xdr:rowOff>153707</xdr:rowOff>
    </xdr:to>
    <xdr:sp macro="" textlink="">
      <xdr:nvSpPr>
        <xdr:cNvPr id="7" name="AutoShape 48">
          <a:hlinkClick xmlns:r="http://schemas.openxmlformats.org/officeDocument/2006/relationships" r:id="rId6"/>
          <a:extLst>
            <a:ext uri="{FF2B5EF4-FFF2-40B4-BE49-F238E27FC236}">
              <a16:creationId xmlns:a16="http://schemas.microsoft.com/office/drawing/2014/main" id="{00000000-0008-0000-1B00-000007000000}"/>
            </a:ext>
          </a:extLst>
        </xdr:cNvPr>
        <xdr:cNvSpPr>
          <a:spLocks noChangeArrowheads="1"/>
        </xdr:cNvSpPr>
      </xdr:nvSpPr>
      <xdr:spPr bwMode="auto">
        <a:xfrm>
          <a:off x="13246100" y="177800"/>
          <a:ext cx="1085850" cy="5220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19</xdr:col>
      <xdr:colOff>12701</xdr:colOff>
      <xdr:row>0</xdr:row>
      <xdr:rowOff>155575</xdr:rowOff>
    </xdr:from>
    <xdr:to>
      <xdr:col>24</xdr:col>
      <xdr:colOff>6351</xdr:colOff>
      <xdr:row>12</xdr:row>
      <xdr:rowOff>9525</xdr:rowOff>
    </xdr:to>
    <xdr:graphicFrame macro="">
      <xdr:nvGraphicFramePr>
        <xdr:cNvPr id="10" name="Grafiek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19050</xdr:colOff>
      <xdr:row>12</xdr:row>
      <xdr:rowOff>3175</xdr:rowOff>
    </xdr:from>
    <xdr:to>
      <xdr:col>24</xdr:col>
      <xdr:colOff>3175</xdr:colOff>
      <xdr:row>23</xdr:row>
      <xdr:rowOff>41275</xdr:rowOff>
    </xdr:to>
    <xdr:graphicFrame macro="">
      <xdr:nvGraphicFramePr>
        <xdr:cNvPr id="11" name="Grafiek 10">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6350</xdr:colOff>
      <xdr:row>23</xdr:row>
      <xdr:rowOff>3175</xdr:rowOff>
    </xdr:from>
    <xdr:to>
      <xdr:col>24</xdr:col>
      <xdr:colOff>0</xdr:colOff>
      <xdr:row>34</xdr:row>
      <xdr:rowOff>22225</xdr:rowOff>
    </xdr:to>
    <xdr:graphicFrame macro="">
      <xdr:nvGraphicFramePr>
        <xdr:cNvPr id="12" name="Grafiek 11">
          <a:extLst>
            <a:ext uri="{FF2B5EF4-FFF2-40B4-BE49-F238E27FC236}">
              <a16:creationId xmlns:a16="http://schemas.microsoft.com/office/drawing/2014/main" id="{00000000-0008-0000-1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12700</xdr:colOff>
      <xdr:row>34</xdr:row>
      <xdr:rowOff>3175</xdr:rowOff>
    </xdr:from>
    <xdr:to>
      <xdr:col>23</xdr:col>
      <xdr:colOff>273050</xdr:colOff>
      <xdr:row>44</xdr:row>
      <xdr:rowOff>187325</xdr:rowOff>
    </xdr:to>
    <xdr:graphicFrame macro="">
      <xdr:nvGraphicFramePr>
        <xdr:cNvPr id="13" name="Grafiek 12">
          <a:extLst>
            <a:ext uri="{FF2B5EF4-FFF2-40B4-BE49-F238E27FC236}">
              <a16:creationId xmlns:a16="http://schemas.microsoft.com/office/drawing/2014/main" id="{00000000-0008-0000-1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177800</xdr:colOff>
      <xdr:row>3</xdr:row>
      <xdr:rowOff>186266</xdr:rowOff>
    </xdr:from>
    <xdr:to>
      <xdr:col>7</xdr:col>
      <xdr:colOff>93133</xdr:colOff>
      <xdr:row>8</xdr:row>
      <xdr:rowOff>135466</xdr:rowOff>
    </xdr:to>
    <xdr:sp macro="" textlink="">
      <xdr:nvSpPr>
        <xdr:cNvPr id="2" name="Pijl: links 3">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bwMode="auto">
        <a:xfrm flipH="1">
          <a:off x="10306050" y="929216"/>
          <a:ext cx="1839383" cy="118745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l"/>
          <a:r>
            <a:rPr lang="nl-NL" sz="2000">
              <a:solidFill>
                <a:schemeClr val="bg1"/>
              </a:solidFill>
            </a:rPr>
            <a:t>beginblad</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177800</xdr:colOff>
      <xdr:row>3</xdr:row>
      <xdr:rowOff>186266</xdr:rowOff>
    </xdr:from>
    <xdr:to>
      <xdr:col>7</xdr:col>
      <xdr:colOff>93133</xdr:colOff>
      <xdr:row>8</xdr:row>
      <xdr:rowOff>135466</xdr:rowOff>
    </xdr:to>
    <xdr:sp macro="" textlink="">
      <xdr:nvSpPr>
        <xdr:cNvPr id="2" name="Pijl: links 3">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bwMode="auto">
        <a:xfrm flipH="1">
          <a:off x="9842500" y="948266"/>
          <a:ext cx="1744133"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l"/>
          <a:r>
            <a:rPr lang="nl-NL" sz="2000">
              <a:solidFill>
                <a:schemeClr val="bg1"/>
              </a:solidFill>
            </a:rPr>
            <a:t>beginblad</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95250</xdr:rowOff>
    </xdr:from>
    <xdr:to>
      <xdr:col>14</xdr:col>
      <xdr:colOff>381000</xdr:colOff>
      <xdr:row>37</xdr:row>
      <xdr:rowOff>47625</xdr:rowOff>
    </xdr:to>
    <xdr:pic>
      <xdr:nvPicPr>
        <xdr:cNvPr id="2" name="Afbeelding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8877300"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504825</xdr:colOff>
      <xdr:row>16</xdr:row>
      <xdr:rowOff>104775</xdr:rowOff>
    </xdr:from>
    <xdr:to>
      <xdr:col>13</xdr:col>
      <xdr:colOff>352425</xdr:colOff>
      <xdr:row>24</xdr:row>
      <xdr:rowOff>28575</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bwMode="auto">
        <a:xfrm flipH="1">
          <a:off x="6600825" y="26955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10</xdr:col>
      <xdr:colOff>304800</xdr:colOff>
      <xdr:row>3</xdr:row>
      <xdr:rowOff>133350</xdr:rowOff>
    </xdr:from>
    <xdr:to>
      <xdr:col>13</xdr:col>
      <xdr:colOff>571500</xdr:colOff>
      <xdr:row>16</xdr:row>
      <xdr:rowOff>28575</xdr:rowOff>
    </xdr:to>
    <xdr:sp macro="" textlink="">
      <xdr:nvSpPr>
        <xdr:cNvPr id="5" name="Afgeronde rechthoek 4">
          <a:extLst>
            <a:ext uri="{FF2B5EF4-FFF2-40B4-BE49-F238E27FC236}">
              <a16:creationId xmlns:a16="http://schemas.microsoft.com/office/drawing/2014/main" id="{00000000-0008-0000-0200-000005000000}"/>
            </a:ext>
          </a:extLst>
        </xdr:cNvPr>
        <xdr:cNvSpPr/>
      </xdr:nvSpPr>
      <xdr:spPr bwMode="auto">
        <a:xfrm>
          <a:off x="6400800" y="619125"/>
          <a:ext cx="2095500" cy="2000250"/>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Om de ouders te informeren is</a:t>
          </a:r>
          <a:r>
            <a:rPr lang="nl-NL" sz="1100" baseline="0"/>
            <a:t> een voorbeeldbrief bijgevoegd. </a:t>
          </a:r>
        </a:p>
        <a:p>
          <a:pPr algn="l"/>
          <a:endParaRPr lang="nl-NL" sz="1100" baseline="0"/>
        </a:p>
        <a:p>
          <a:pPr algn="l"/>
          <a:r>
            <a:rPr lang="nl-NL" sz="1100" baseline="0"/>
            <a:t>Deze brief is naar eigen inzicht te bewerken. </a:t>
          </a:r>
        </a:p>
        <a:p>
          <a:pPr algn="l"/>
          <a:endParaRPr lang="nl-NL" sz="1100" baseline="0"/>
        </a:p>
        <a:p>
          <a:pPr algn="l"/>
          <a:r>
            <a:rPr lang="nl-NL" sz="1100" baseline="0"/>
            <a:t>In de blauwe vakken kun je gegevens invoeren.</a:t>
          </a:r>
          <a:endParaRPr lang="nl-NL"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568325</xdr:colOff>
      <xdr:row>5</xdr:row>
      <xdr:rowOff>106643</xdr:rowOff>
    </xdr:from>
    <xdr:to>
      <xdr:col>11</xdr:col>
      <xdr:colOff>435163</xdr:colOff>
      <xdr:row>7</xdr:row>
      <xdr:rowOff>105522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1E00-000003000000}"/>
            </a:ext>
          </a:extLst>
        </xdr:cNvPr>
        <xdr:cNvSpPr>
          <a:spLocks noChangeArrowheads="1"/>
        </xdr:cNvSpPr>
      </xdr:nvSpPr>
      <xdr:spPr bwMode="auto">
        <a:xfrm>
          <a:off x="15541625" y="1122643"/>
          <a:ext cx="1162238" cy="5068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568325</xdr:colOff>
      <xdr:row>2</xdr:row>
      <xdr:rowOff>66675</xdr:rowOff>
    </xdr:from>
    <xdr:to>
      <xdr:col>11</xdr:col>
      <xdr:colOff>435163</xdr:colOff>
      <xdr:row>5</xdr:row>
      <xdr:rowOff>30629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1E00-000004000000}"/>
            </a:ext>
          </a:extLst>
        </xdr:cNvPr>
        <xdr:cNvSpPr>
          <a:spLocks noChangeArrowheads="1"/>
        </xdr:cNvSpPr>
      </xdr:nvSpPr>
      <xdr:spPr bwMode="auto">
        <a:xfrm>
          <a:off x="15541625" y="511175"/>
          <a:ext cx="1162238" cy="5354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1524000</xdr:colOff>
      <xdr:row>24</xdr:row>
      <xdr:rowOff>9525</xdr:rowOff>
    </xdr:from>
    <xdr:to>
      <xdr:col>5</xdr:col>
      <xdr:colOff>2498913</xdr:colOff>
      <xdr:row>27</xdr:row>
      <xdr:rowOff>46504</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1E00-000005000000}"/>
            </a:ext>
          </a:extLst>
        </xdr:cNvPr>
        <xdr:cNvSpPr>
          <a:spLocks noChangeArrowheads="1"/>
        </xdr:cNvSpPr>
      </xdr:nvSpPr>
      <xdr:spPr bwMode="auto">
        <a:xfrm>
          <a:off x="6981825"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2581275</xdr:colOff>
      <xdr:row>24</xdr:row>
      <xdr:rowOff>9525</xdr:rowOff>
    </xdr:from>
    <xdr:to>
      <xdr:col>5</xdr:col>
      <xdr:colOff>3556188</xdr:colOff>
      <xdr:row>27</xdr:row>
      <xdr:rowOff>46504</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1E00-000006000000}"/>
            </a:ext>
          </a:extLst>
        </xdr:cNvPr>
        <xdr:cNvSpPr>
          <a:spLocks noChangeArrowheads="1"/>
        </xdr:cNvSpPr>
      </xdr:nvSpPr>
      <xdr:spPr bwMode="auto">
        <a:xfrm>
          <a:off x="8039100"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466725</xdr:colOff>
      <xdr:row>24</xdr:row>
      <xdr:rowOff>9525</xdr:rowOff>
    </xdr:from>
    <xdr:to>
      <xdr:col>5</xdr:col>
      <xdr:colOff>1441638</xdr:colOff>
      <xdr:row>27</xdr:row>
      <xdr:rowOff>46504</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1E00-000007000000}"/>
            </a:ext>
          </a:extLst>
        </xdr:cNvPr>
        <xdr:cNvSpPr>
          <a:spLocks noChangeArrowheads="1"/>
        </xdr:cNvSpPr>
      </xdr:nvSpPr>
      <xdr:spPr bwMode="auto">
        <a:xfrm>
          <a:off x="5924550"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1</xdr:rowOff>
    </xdr:from>
    <xdr:to>
      <xdr:col>8</xdr:col>
      <xdr:colOff>4229099</xdr:colOff>
      <xdr:row>22</xdr:row>
      <xdr:rowOff>228600</xdr:rowOff>
    </xdr:to>
    <xdr:graphicFrame macro="">
      <xdr:nvGraphicFramePr>
        <xdr:cNvPr id="9" name="Chart 5">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568325</xdr:colOff>
      <xdr:row>5</xdr:row>
      <xdr:rowOff>106643</xdr:rowOff>
    </xdr:from>
    <xdr:to>
      <xdr:col>11</xdr:col>
      <xdr:colOff>435163</xdr:colOff>
      <xdr:row>7</xdr:row>
      <xdr:rowOff>105522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1F00-000002000000}"/>
            </a:ext>
          </a:extLst>
        </xdr:cNvPr>
        <xdr:cNvSpPr>
          <a:spLocks noChangeArrowheads="1"/>
        </xdr:cNvSpPr>
      </xdr:nvSpPr>
      <xdr:spPr bwMode="auto">
        <a:xfrm>
          <a:off x="14827250" y="1135343"/>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568325</xdr:colOff>
      <xdr:row>2</xdr:row>
      <xdr:rowOff>66675</xdr:rowOff>
    </xdr:from>
    <xdr:to>
      <xdr:col>11</xdr:col>
      <xdr:colOff>435163</xdr:colOff>
      <xdr:row>5</xdr:row>
      <xdr:rowOff>30629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1F00-000003000000}"/>
            </a:ext>
          </a:extLst>
        </xdr:cNvPr>
        <xdr:cNvSpPr>
          <a:spLocks noChangeArrowheads="1"/>
        </xdr:cNvSpPr>
      </xdr:nvSpPr>
      <xdr:spPr bwMode="auto">
        <a:xfrm>
          <a:off x="14827250" y="495300"/>
          <a:ext cx="1086038" cy="56402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1524000</xdr:colOff>
      <xdr:row>24</xdr:row>
      <xdr:rowOff>9525</xdr:rowOff>
    </xdr:from>
    <xdr:to>
      <xdr:col>5</xdr:col>
      <xdr:colOff>2498913</xdr:colOff>
      <xdr:row>27</xdr:row>
      <xdr:rowOff>46504</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1F00-000004000000}"/>
            </a:ext>
          </a:extLst>
        </xdr:cNvPr>
        <xdr:cNvSpPr>
          <a:spLocks noChangeArrowheads="1"/>
        </xdr:cNvSpPr>
      </xdr:nvSpPr>
      <xdr:spPr bwMode="auto">
        <a:xfrm>
          <a:off x="6981825"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2581275</xdr:colOff>
      <xdr:row>24</xdr:row>
      <xdr:rowOff>9525</xdr:rowOff>
    </xdr:from>
    <xdr:to>
      <xdr:col>5</xdr:col>
      <xdr:colOff>3556188</xdr:colOff>
      <xdr:row>27</xdr:row>
      <xdr:rowOff>46504</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1F00-000005000000}"/>
            </a:ext>
          </a:extLst>
        </xdr:cNvPr>
        <xdr:cNvSpPr>
          <a:spLocks noChangeArrowheads="1"/>
        </xdr:cNvSpPr>
      </xdr:nvSpPr>
      <xdr:spPr bwMode="auto">
        <a:xfrm>
          <a:off x="8039100"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466725</xdr:colOff>
      <xdr:row>24</xdr:row>
      <xdr:rowOff>9525</xdr:rowOff>
    </xdr:from>
    <xdr:to>
      <xdr:col>5</xdr:col>
      <xdr:colOff>1441638</xdr:colOff>
      <xdr:row>27</xdr:row>
      <xdr:rowOff>46504</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1F00-000006000000}"/>
            </a:ext>
          </a:extLst>
        </xdr:cNvPr>
        <xdr:cNvSpPr>
          <a:spLocks noChangeArrowheads="1"/>
        </xdr:cNvSpPr>
      </xdr:nvSpPr>
      <xdr:spPr bwMode="auto">
        <a:xfrm>
          <a:off x="5924550"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2e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8" name="Chart 5">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2000-000003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2000-000004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1543050</xdr:colOff>
      <xdr:row>24</xdr:row>
      <xdr:rowOff>14568</xdr:rowOff>
    </xdr:from>
    <xdr:to>
      <xdr:col>5</xdr:col>
      <xdr:colOff>2517963</xdr:colOff>
      <xdr:row>27</xdr:row>
      <xdr:rowOff>51547</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2000-000005000000}"/>
            </a:ext>
          </a:extLst>
        </xdr:cNvPr>
        <xdr:cNvSpPr>
          <a:spLocks noChangeArrowheads="1"/>
        </xdr:cNvSpPr>
      </xdr:nvSpPr>
      <xdr:spPr bwMode="auto">
        <a:xfrm>
          <a:off x="7000875" y="5434293"/>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2600325</xdr:colOff>
      <xdr:row>24</xdr:row>
      <xdr:rowOff>14568</xdr:rowOff>
    </xdr:from>
    <xdr:to>
      <xdr:col>5</xdr:col>
      <xdr:colOff>3575238</xdr:colOff>
      <xdr:row>27</xdr:row>
      <xdr:rowOff>51547</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2000-000006000000}"/>
            </a:ext>
          </a:extLst>
        </xdr:cNvPr>
        <xdr:cNvSpPr>
          <a:spLocks noChangeArrowheads="1"/>
        </xdr:cNvSpPr>
      </xdr:nvSpPr>
      <xdr:spPr bwMode="auto">
        <a:xfrm>
          <a:off x="8058150" y="5434293"/>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485775</xdr:colOff>
      <xdr:row>24</xdr:row>
      <xdr:rowOff>14568</xdr:rowOff>
    </xdr:from>
    <xdr:to>
      <xdr:col>5</xdr:col>
      <xdr:colOff>1460688</xdr:colOff>
      <xdr:row>27</xdr:row>
      <xdr:rowOff>51547</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2000-000007000000}"/>
            </a:ext>
          </a:extLst>
        </xdr:cNvPr>
        <xdr:cNvSpPr>
          <a:spLocks noChangeArrowheads="1"/>
        </xdr:cNvSpPr>
      </xdr:nvSpPr>
      <xdr:spPr bwMode="auto">
        <a:xfrm>
          <a:off x="5943600" y="5434293"/>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9" name="Chart 5">
          <a:extLst>
            <a:ext uri="{FF2B5EF4-FFF2-40B4-BE49-F238E27FC236}">
              <a16:creationId xmlns:a16="http://schemas.microsoft.com/office/drawing/2014/main" id="{00000000-0008-0000-2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2100-000002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2100-000003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1543050</xdr:colOff>
      <xdr:row>24</xdr:row>
      <xdr:rowOff>14568</xdr:rowOff>
    </xdr:from>
    <xdr:to>
      <xdr:col>5</xdr:col>
      <xdr:colOff>2517963</xdr:colOff>
      <xdr:row>27</xdr:row>
      <xdr:rowOff>51547</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2100-000004000000}"/>
            </a:ext>
          </a:extLst>
        </xdr:cNvPr>
        <xdr:cNvSpPr>
          <a:spLocks noChangeArrowheads="1"/>
        </xdr:cNvSpPr>
      </xdr:nvSpPr>
      <xdr:spPr bwMode="auto">
        <a:xfrm>
          <a:off x="7000875" y="5434293"/>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2600325</xdr:colOff>
      <xdr:row>24</xdr:row>
      <xdr:rowOff>14568</xdr:rowOff>
    </xdr:from>
    <xdr:to>
      <xdr:col>5</xdr:col>
      <xdr:colOff>3575238</xdr:colOff>
      <xdr:row>27</xdr:row>
      <xdr:rowOff>51547</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2100-000005000000}"/>
            </a:ext>
          </a:extLst>
        </xdr:cNvPr>
        <xdr:cNvSpPr>
          <a:spLocks noChangeArrowheads="1"/>
        </xdr:cNvSpPr>
      </xdr:nvSpPr>
      <xdr:spPr bwMode="auto">
        <a:xfrm>
          <a:off x="8058150" y="5434293"/>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485775</xdr:colOff>
      <xdr:row>24</xdr:row>
      <xdr:rowOff>14568</xdr:rowOff>
    </xdr:from>
    <xdr:to>
      <xdr:col>5</xdr:col>
      <xdr:colOff>1460688</xdr:colOff>
      <xdr:row>27</xdr:row>
      <xdr:rowOff>51547</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2100-000006000000}"/>
            </a:ext>
          </a:extLst>
        </xdr:cNvPr>
        <xdr:cNvSpPr>
          <a:spLocks noChangeArrowheads="1"/>
        </xdr:cNvSpPr>
      </xdr:nvSpPr>
      <xdr:spPr bwMode="auto">
        <a:xfrm>
          <a:off x="5943600" y="5434293"/>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2e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8" name="Chart 5">
          <a:extLst>
            <a:ext uri="{FF2B5EF4-FFF2-40B4-BE49-F238E27FC236}">
              <a16:creationId xmlns:a16="http://schemas.microsoft.com/office/drawing/2014/main" id="{00000000-0008-0000-2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2200-000003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2200-000004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1514475</xdr:colOff>
      <xdr:row>24</xdr:row>
      <xdr:rowOff>9525</xdr:rowOff>
    </xdr:from>
    <xdr:to>
      <xdr:col>5</xdr:col>
      <xdr:colOff>2489388</xdr:colOff>
      <xdr:row>27</xdr:row>
      <xdr:rowOff>46504</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2200-000005000000}"/>
            </a:ext>
          </a:extLst>
        </xdr:cNvPr>
        <xdr:cNvSpPr>
          <a:spLocks noChangeArrowheads="1"/>
        </xdr:cNvSpPr>
      </xdr:nvSpPr>
      <xdr:spPr bwMode="auto">
        <a:xfrm>
          <a:off x="6972300"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2571750</xdr:colOff>
      <xdr:row>24</xdr:row>
      <xdr:rowOff>9525</xdr:rowOff>
    </xdr:from>
    <xdr:to>
      <xdr:col>5</xdr:col>
      <xdr:colOff>3546663</xdr:colOff>
      <xdr:row>27</xdr:row>
      <xdr:rowOff>46504</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2200-000006000000}"/>
            </a:ext>
          </a:extLst>
        </xdr:cNvPr>
        <xdr:cNvSpPr>
          <a:spLocks noChangeArrowheads="1"/>
        </xdr:cNvSpPr>
      </xdr:nvSpPr>
      <xdr:spPr bwMode="auto">
        <a:xfrm>
          <a:off x="8029575"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457200</xdr:colOff>
      <xdr:row>24</xdr:row>
      <xdr:rowOff>9525</xdr:rowOff>
    </xdr:from>
    <xdr:to>
      <xdr:col>5</xdr:col>
      <xdr:colOff>1432113</xdr:colOff>
      <xdr:row>27</xdr:row>
      <xdr:rowOff>46504</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2200-000007000000}"/>
            </a:ext>
          </a:extLst>
        </xdr:cNvPr>
        <xdr:cNvSpPr>
          <a:spLocks noChangeArrowheads="1"/>
        </xdr:cNvSpPr>
      </xdr:nvSpPr>
      <xdr:spPr bwMode="auto">
        <a:xfrm>
          <a:off x="5915025"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10" name="Chart 5">
          <a:extLst>
            <a:ext uri="{FF2B5EF4-FFF2-40B4-BE49-F238E27FC236}">
              <a16:creationId xmlns:a16="http://schemas.microsoft.com/office/drawing/2014/main" id="{00000000-0008-0000-2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2300-000002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2300-000003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1514475</xdr:colOff>
      <xdr:row>24</xdr:row>
      <xdr:rowOff>9525</xdr:rowOff>
    </xdr:from>
    <xdr:to>
      <xdr:col>5</xdr:col>
      <xdr:colOff>2489388</xdr:colOff>
      <xdr:row>27</xdr:row>
      <xdr:rowOff>46504</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2300-000004000000}"/>
            </a:ext>
          </a:extLst>
        </xdr:cNvPr>
        <xdr:cNvSpPr>
          <a:spLocks noChangeArrowheads="1"/>
        </xdr:cNvSpPr>
      </xdr:nvSpPr>
      <xdr:spPr bwMode="auto">
        <a:xfrm>
          <a:off x="6972300"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2571750</xdr:colOff>
      <xdr:row>24</xdr:row>
      <xdr:rowOff>9525</xdr:rowOff>
    </xdr:from>
    <xdr:to>
      <xdr:col>5</xdr:col>
      <xdr:colOff>3546663</xdr:colOff>
      <xdr:row>27</xdr:row>
      <xdr:rowOff>46504</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2300-000005000000}"/>
            </a:ext>
          </a:extLst>
        </xdr:cNvPr>
        <xdr:cNvSpPr>
          <a:spLocks noChangeArrowheads="1"/>
        </xdr:cNvSpPr>
      </xdr:nvSpPr>
      <xdr:spPr bwMode="auto">
        <a:xfrm>
          <a:off x="8029575"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457200</xdr:colOff>
      <xdr:row>24</xdr:row>
      <xdr:rowOff>9525</xdr:rowOff>
    </xdr:from>
    <xdr:to>
      <xdr:col>5</xdr:col>
      <xdr:colOff>1432113</xdr:colOff>
      <xdr:row>27</xdr:row>
      <xdr:rowOff>46504</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2300-000006000000}"/>
            </a:ext>
          </a:extLst>
        </xdr:cNvPr>
        <xdr:cNvSpPr>
          <a:spLocks noChangeArrowheads="1"/>
        </xdr:cNvSpPr>
      </xdr:nvSpPr>
      <xdr:spPr bwMode="auto">
        <a:xfrm>
          <a:off x="5915025"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2e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8" name="Chart 5">
          <a:extLst>
            <a:ext uri="{FF2B5EF4-FFF2-40B4-BE49-F238E27FC236}">
              <a16:creationId xmlns:a16="http://schemas.microsoft.com/office/drawing/2014/main" id="{00000000-0008-0000-2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0</xdr:colOff>
      <xdr:row>6</xdr:row>
      <xdr:rowOff>0</xdr:rowOff>
    </xdr:from>
    <xdr:to>
      <xdr:col>21</xdr:col>
      <xdr:colOff>587188</xdr:colOff>
      <xdr:row>9</xdr:row>
      <xdr:rowOff>142875</xdr:rowOff>
    </xdr:to>
    <xdr:sp macro="" textlink="">
      <xdr:nvSpPr>
        <xdr:cNvPr id="65" name="AutoShape 48">
          <a:hlinkClick xmlns:r="http://schemas.openxmlformats.org/officeDocument/2006/relationships" r:id="rId1"/>
          <a:extLst>
            <a:ext uri="{FF2B5EF4-FFF2-40B4-BE49-F238E27FC236}">
              <a16:creationId xmlns:a16="http://schemas.microsoft.com/office/drawing/2014/main" id="{00000000-0008-0000-2400-000041000000}"/>
            </a:ext>
          </a:extLst>
        </xdr:cNvPr>
        <xdr:cNvSpPr>
          <a:spLocks noChangeArrowheads="1"/>
        </xdr:cNvSpPr>
      </xdr:nvSpPr>
      <xdr:spPr bwMode="auto">
        <a:xfrm>
          <a:off x="12052300" y="1174750"/>
          <a:ext cx="1184088" cy="619125"/>
        </a:xfrm>
        <a:prstGeom prst="actionButtonBlank">
          <a:avLst/>
        </a:prstGeom>
        <a:solidFill>
          <a:schemeClr val="accent6">
            <a:lumMod val="75000"/>
          </a:schemeClr>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r>
            <a:rPr lang="nl-NL" sz="1100" b="0" i="0" baseline="0">
              <a:effectLst/>
              <a:latin typeface="Arial" panose="020B0604020202020204" pitchFamily="34" charset="0"/>
              <a:ea typeface="+mn-ea"/>
              <a:cs typeface="Arial" panose="020B0604020202020204" pitchFamily="34" charset="0"/>
            </a:rPr>
            <a:t>intensieve aanpak 2e periode</a:t>
          </a:r>
          <a:endParaRPr lang="nl-NL" sz="1100">
            <a:effectLst/>
            <a:latin typeface="Arial" panose="020B0604020202020204" pitchFamily="34" charset="0"/>
            <a:cs typeface="Arial" panose="020B0604020202020204" pitchFamily="34" charset="0"/>
          </a:endParaRPr>
        </a:p>
      </xdr:txBody>
    </xdr:sp>
    <xdr:clientData/>
  </xdr:twoCellAnchor>
  <xdr:twoCellAnchor>
    <xdr:from>
      <xdr:col>20</xdr:col>
      <xdr:colOff>0</xdr:colOff>
      <xdr:row>10</xdr:row>
      <xdr:rowOff>0</xdr:rowOff>
    </xdr:from>
    <xdr:to>
      <xdr:col>21</xdr:col>
      <xdr:colOff>587188</xdr:colOff>
      <xdr:row>13</xdr:row>
      <xdr:rowOff>142875</xdr:rowOff>
    </xdr:to>
    <xdr:sp macro="" textlink="">
      <xdr:nvSpPr>
        <xdr:cNvPr id="67" name="AutoShape 48">
          <a:hlinkClick xmlns:r="http://schemas.openxmlformats.org/officeDocument/2006/relationships" r:id="rId2"/>
          <a:extLst>
            <a:ext uri="{FF2B5EF4-FFF2-40B4-BE49-F238E27FC236}">
              <a16:creationId xmlns:a16="http://schemas.microsoft.com/office/drawing/2014/main" id="{00000000-0008-0000-2400-000043000000}"/>
            </a:ext>
          </a:extLst>
        </xdr:cNvPr>
        <xdr:cNvSpPr>
          <a:spLocks noChangeArrowheads="1"/>
        </xdr:cNvSpPr>
      </xdr:nvSpPr>
      <xdr:spPr bwMode="auto">
        <a:xfrm>
          <a:off x="12052300" y="1809750"/>
          <a:ext cx="1184088" cy="619125"/>
        </a:xfrm>
        <a:prstGeom prst="actionButtonBlank">
          <a:avLst/>
        </a:prstGeom>
        <a:solidFill>
          <a:schemeClr val="accent6">
            <a:lumMod val="75000"/>
          </a:schemeClr>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basisaanpak</a:t>
          </a:r>
        </a:p>
        <a:p>
          <a:pPr algn="ctr" rtl="0">
            <a:defRPr sz="1000"/>
          </a:pPr>
          <a:r>
            <a:rPr lang="nl-NL" sz="1100" b="0" i="0" u="none" strike="noStrike" baseline="0">
              <a:solidFill>
                <a:srgbClr val="000000"/>
              </a:solidFill>
              <a:latin typeface="Arial"/>
              <a:cs typeface="Arial"/>
            </a:rPr>
            <a:t>2e periode</a:t>
          </a:r>
        </a:p>
      </xdr:txBody>
    </xdr:sp>
    <xdr:clientData/>
  </xdr:twoCellAnchor>
  <xdr:twoCellAnchor>
    <xdr:from>
      <xdr:col>20</xdr:col>
      <xdr:colOff>0</xdr:colOff>
      <xdr:row>14</xdr:row>
      <xdr:rowOff>0</xdr:rowOff>
    </xdr:from>
    <xdr:to>
      <xdr:col>21</xdr:col>
      <xdr:colOff>587188</xdr:colOff>
      <xdr:row>17</xdr:row>
      <xdr:rowOff>142875</xdr:rowOff>
    </xdr:to>
    <xdr:sp macro="" textlink="">
      <xdr:nvSpPr>
        <xdr:cNvPr id="69" name="AutoShape 48">
          <a:hlinkClick xmlns:r="http://schemas.openxmlformats.org/officeDocument/2006/relationships" r:id="rId3"/>
          <a:extLst>
            <a:ext uri="{FF2B5EF4-FFF2-40B4-BE49-F238E27FC236}">
              <a16:creationId xmlns:a16="http://schemas.microsoft.com/office/drawing/2014/main" id="{00000000-0008-0000-2400-000045000000}"/>
            </a:ext>
          </a:extLst>
        </xdr:cNvPr>
        <xdr:cNvSpPr>
          <a:spLocks noChangeArrowheads="1"/>
        </xdr:cNvSpPr>
      </xdr:nvSpPr>
      <xdr:spPr bwMode="auto">
        <a:xfrm>
          <a:off x="12052300" y="2444750"/>
          <a:ext cx="1184088" cy="619125"/>
        </a:xfrm>
        <a:prstGeom prst="actionButtonBlank">
          <a:avLst/>
        </a:prstGeom>
        <a:solidFill>
          <a:schemeClr val="accent6">
            <a:lumMod val="75000"/>
          </a:schemeClr>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verrijkte aanpak</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8</xdr:col>
      <xdr:colOff>6350</xdr:colOff>
      <xdr:row>6</xdr:row>
      <xdr:rowOff>0</xdr:rowOff>
    </xdr:from>
    <xdr:to>
      <xdr:col>9</xdr:col>
      <xdr:colOff>593538</xdr:colOff>
      <xdr:row>9</xdr:row>
      <xdr:rowOff>142875</xdr:rowOff>
    </xdr:to>
    <xdr:sp macro="" textlink="">
      <xdr:nvSpPr>
        <xdr:cNvPr id="75" name="AutoShape 48">
          <a:hlinkClick xmlns:r="http://schemas.openxmlformats.org/officeDocument/2006/relationships" r:id="rId4"/>
          <a:extLst>
            <a:ext uri="{FF2B5EF4-FFF2-40B4-BE49-F238E27FC236}">
              <a16:creationId xmlns:a16="http://schemas.microsoft.com/office/drawing/2014/main" id="{00000000-0008-0000-2400-00004B000000}"/>
            </a:ext>
          </a:extLst>
        </xdr:cNvPr>
        <xdr:cNvSpPr>
          <a:spLocks noChangeArrowheads="1"/>
        </xdr:cNvSpPr>
      </xdr:nvSpPr>
      <xdr:spPr bwMode="auto">
        <a:xfrm>
          <a:off x="4895850" y="1174750"/>
          <a:ext cx="1196788" cy="619125"/>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aanleg</a:t>
          </a:r>
        </a:p>
      </xdr:txBody>
    </xdr:sp>
    <xdr:clientData/>
  </xdr:twoCellAnchor>
  <xdr:twoCellAnchor>
    <xdr:from>
      <xdr:col>8</xdr:col>
      <xdr:colOff>6350</xdr:colOff>
      <xdr:row>10</xdr:row>
      <xdr:rowOff>0</xdr:rowOff>
    </xdr:from>
    <xdr:to>
      <xdr:col>9</xdr:col>
      <xdr:colOff>593538</xdr:colOff>
      <xdr:row>13</xdr:row>
      <xdr:rowOff>142875</xdr:rowOff>
    </xdr:to>
    <xdr:sp macro="" textlink="">
      <xdr:nvSpPr>
        <xdr:cNvPr id="76" name="AutoShape 48">
          <a:hlinkClick xmlns:r="http://schemas.openxmlformats.org/officeDocument/2006/relationships" r:id="rId5"/>
          <a:extLst>
            <a:ext uri="{FF2B5EF4-FFF2-40B4-BE49-F238E27FC236}">
              <a16:creationId xmlns:a16="http://schemas.microsoft.com/office/drawing/2014/main" id="{00000000-0008-0000-2400-00004C000000}"/>
            </a:ext>
          </a:extLst>
        </xdr:cNvPr>
        <xdr:cNvSpPr>
          <a:spLocks noChangeArrowheads="1"/>
        </xdr:cNvSpPr>
      </xdr:nvSpPr>
      <xdr:spPr bwMode="auto">
        <a:xfrm>
          <a:off x="4895850" y="1809750"/>
          <a:ext cx="1196788" cy="61912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Opbrenstgericht Passend Onderwijs </a:t>
          </a:r>
          <a:endParaRPr lang="nl-NL" sz="1100"/>
        </a:p>
      </xdr:txBody>
    </xdr:sp>
    <xdr:clientData/>
  </xdr:twoCellAnchor>
  <xdr:twoCellAnchor>
    <xdr:from>
      <xdr:col>7</xdr:col>
      <xdr:colOff>523874</xdr:colOff>
      <xdr:row>5</xdr:row>
      <xdr:rowOff>28575</xdr:rowOff>
    </xdr:from>
    <xdr:to>
      <xdr:col>12</xdr:col>
      <xdr:colOff>112058</xdr:colOff>
      <xdr:row>30</xdr:row>
      <xdr:rowOff>142875</xdr:rowOff>
    </xdr:to>
    <xdr:sp macro="" textlink="">
      <xdr:nvSpPr>
        <xdr:cNvPr id="6" name="Rechthoek 5">
          <a:extLst>
            <a:ext uri="{FF2B5EF4-FFF2-40B4-BE49-F238E27FC236}">
              <a16:creationId xmlns:a16="http://schemas.microsoft.com/office/drawing/2014/main" id="{00000000-0008-0000-2400-000006000000}"/>
            </a:ext>
          </a:extLst>
        </xdr:cNvPr>
        <xdr:cNvSpPr/>
      </xdr:nvSpPr>
      <xdr:spPr bwMode="auto">
        <a:xfrm>
          <a:off x="4797050" y="887693"/>
          <a:ext cx="2621243" cy="4036358"/>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12</xdr:col>
      <xdr:colOff>491936</xdr:colOff>
      <xdr:row>5</xdr:row>
      <xdr:rowOff>28576</xdr:rowOff>
    </xdr:from>
    <xdr:to>
      <xdr:col>17</xdr:col>
      <xdr:colOff>104587</xdr:colOff>
      <xdr:row>30</xdr:row>
      <xdr:rowOff>142875</xdr:rowOff>
    </xdr:to>
    <xdr:sp macro="" textlink="">
      <xdr:nvSpPr>
        <xdr:cNvPr id="99" name="Rechthoek 98">
          <a:extLst>
            <a:ext uri="{FF2B5EF4-FFF2-40B4-BE49-F238E27FC236}">
              <a16:creationId xmlns:a16="http://schemas.microsoft.com/office/drawing/2014/main" id="{00000000-0008-0000-2400-000063000000}"/>
            </a:ext>
          </a:extLst>
        </xdr:cNvPr>
        <xdr:cNvSpPr/>
      </xdr:nvSpPr>
      <xdr:spPr bwMode="auto">
        <a:xfrm>
          <a:off x="7798171" y="887694"/>
          <a:ext cx="2600887" cy="4036357"/>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485589</xdr:colOff>
      <xdr:row>5</xdr:row>
      <xdr:rowOff>28576</xdr:rowOff>
    </xdr:from>
    <xdr:to>
      <xdr:col>22</xdr:col>
      <xdr:colOff>112059</xdr:colOff>
      <xdr:row>30</xdr:row>
      <xdr:rowOff>142875</xdr:rowOff>
    </xdr:to>
    <xdr:sp macro="" textlink="">
      <xdr:nvSpPr>
        <xdr:cNvPr id="100" name="Rechthoek 99">
          <a:extLst>
            <a:ext uri="{FF2B5EF4-FFF2-40B4-BE49-F238E27FC236}">
              <a16:creationId xmlns:a16="http://schemas.microsoft.com/office/drawing/2014/main" id="{00000000-0008-0000-2400-000064000000}"/>
            </a:ext>
          </a:extLst>
        </xdr:cNvPr>
        <xdr:cNvSpPr/>
      </xdr:nvSpPr>
      <xdr:spPr bwMode="auto">
        <a:xfrm>
          <a:off x="10780060" y="887694"/>
          <a:ext cx="2614705" cy="4036357"/>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13</xdr:col>
      <xdr:colOff>0</xdr:colOff>
      <xdr:row>6</xdr:row>
      <xdr:rowOff>0</xdr:rowOff>
    </xdr:from>
    <xdr:to>
      <xdr:col>14</xdr:col>
      <xdr:colOff>587188</xdr:colOff>
      <xdr:row>9</xdr:row>
      <xdr:rowOff>142875</xdr:rowOff>
    </xdr:to>
    <xdr:sp macro="" textlink="">
      <xdr:nvSpPr>
        <xdr:cNvPr id="107" name="AutoShape 48">
          <a:hlinkClick xmlns:r="http://schemas.openxmlformats.org/officeDocument/2006/relationships" r:id="rId6"/>
          <a:extLst>
            <a:ext uri="{FF2B5EF4-FFF2-40B4-BE49-F238E27FC236}">
              <a16:creationId xmlns:a16="http://schemas.microsoft.com/office/drawing/2014/main" id="{00000000-0008-0000-2400-00006B000000}"/>
            </a:ext>
          </a:extLst>
        </xdr:cNvPr>
        <xdr:cNvSpPr>
          <a:spLocks noChangeArrowheads="1"/>
        </xdr:cNvSpPr>
      </xdr:nvSpPr>
      <xdr:spPr bwMode="auto">
        <a:xfrm>
          <a:off x="4848225" y="1400175"/>
          <a:ext cx="1196788" cy="628650"/>
        </a:xfrm>
        <a:prstGeom prst="actionButtonBlank">
          <a:avLst/>
        </a:prstGeom>
        <a:solidFill>
          <a:srgbClr val="99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niveauwaarde</a:t>
          </a:r>
        </a:p>
        <a:p>
          <a:pPr algn="ctr" rtl="0">
            <a:defRPr sz="1000"/>
          </a:pPr>
          <a:r>
            <a:rPr lang="nl-NL" sz="1100" b="0" i="0" u="none" strike="noStrike" baseline="0">
              <a:solidFill>
                <a:srgbClr val="000000"/>
              </a:solidFill>
              <a:latin typeface="Arial"/>
              <a:cs typeface="Arial"/>
            </a:rPr>
            <a:t>1e toetsperiode </a:t>
          </a:r>
          <a:endParaRPr lang="nl-NL" sz="1100"/>
        </a:p>
      </xdr:txBody>
    </xdr:sp>
    <xdr:clientData/>
  </xdr:twoCellAnchor>
  <xdr:twoCellAnchor>
    <xdr:from>
      <xdr:col>13</xdr:col>
      <xdr:colOff>0</xdr:colOff>
      <xdr:row>10</xdr:row>
      <xdr:rowOff>0</xdr:rowOff>
    </xdr:from>
    <xdr:to>
      <xdr:col>14</xdr:col>
      <xdr:colOff>587188</xdr:colOff>
      <xdr:row>13</xdr:row>
      <xdr:rowOff>142875</xdr:rowOff>
    </xdr:to>
    <xdr:sp macro="" textlink="">
      <xdr:nvSpPr>
        <xdr:cNvPr id="108" name="AutoShape 48">
          <a:hlinkClick xmlns:r="http://schemas.openxmlformats.org/officeDocument/2006/relationships" r:id="rId7"/>
          <a:extLst>
            <a:ext uri="{FF2B5EF4-FFF2-40B4-BE49-F238E27FC236}">
              <a16:creationId xmlns:a16="http://schemas.microsoft.com/office/drawing/2014/main" id="{00000000-0008-0000-2400-00006C000000}"/>
            </a:ext>
          </a:extLst>
        </xdr:cNvPr>
        <xdr:cNvSpPr>
          <a:spLocks noChangeArrowheads="1"/>
        </xdr:cNvSpPr>
      </xdr:nvSpPr>
      <xdr:spPr bwMode="auto">
        <a:xfrm>
          <a:off x="4848225" y="2047875"/>
          <a:ext cx="1196788" cy="628650"/>
        </a:xfrm>
        <a:prstGeom prst="actionButtonBlank">
          <a:avLst/>
        </a:prstGeom>
        <a:solidFill>
          <a:srgbClr val="99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na 1e toetsperiode</a:t>
          </a:r>
          <a:endParaRPr lang="nl-NL" sz="1100"/>
        </a:p>
      </xdr:txBody>
    </xdr:sp>
    <xdr:clientData/>
  </xdr:twoCellAnchor>
  <xdr:twoCellAnchor>
    <xdr:from>
      <xdr:col>15</xdr:col>
      <xdr:colOff>0</xdr:colOff>
      <xdr:row>6</xdr:row>
      <xdr:rowOff>0</xdr:rowOff>
    </xdr:from>
    <xdr:to>
      <xdr:col>16</xdr:col>
      <xdr:colOff>587188</xdr:colOff>
      <xdr:row>9</xdr:row>
      <xdr:rowOff>142875</xdr:rowOff>
    </xdr:to>
    <xdr:sp macro="" textlink="">
      <xdr:nvSpPr>
        <xdr:cNvPr id="109" name="AutoShape 48">
          <a:hlinkClick xmlns:r="http://schemas.openxmlformats.org/officeDocument/2006/relationships" r:id="rId8"/>
          <a:extLst>
            <a:ext uri="{FF2B5EF4-FFF2-40B4-BE49-F238E27FC236}">
              <a16:creationId xmlns:a16="http://schemas.microsoft.com/office/drawing/2014/main" id="{00000000-0008-0000-2400-00006D000000}"/>
            </a:ext>
          </a:extLst>
        </xdr:cNvPr>
        <xdr:cNvSpPr>
          <a:spLocks noChangeArrowheads="1"/>
        </xdr:cNvSpPr>
      </xdr:nvSpPr>
      <xdr:spPr bwMode="auto">
        <a:xfrm>
          <a:off x="6067425" y="14001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intensieve aanpak 1e periode</a:t>
          </a:r>
          <a:endParaRPr lang="nl-NL" sz="1100"/>
        </a:p>
      </xdr:txBody>
    </xdr:sp>
    <xdr:clientData/>
  </xdr:twoCellAnchor>
  <xdr:twoCellAnchor>
    <xdr:from>
      <xdr:col>15</xdr:col>
      <xdr:colOff>0</xdr:colOff>
      <xdr:row>10</xdr:row>
      <xdr:rowOff>0</xdr:rowOff>
    </xdr:from>
    <xdr:to>
      <xdr:col>16</xdr:col>
      <xdr:colOff>587188</xdr:colOff>
      <xdr:row>13</xdr:row>
      <xdr:rowOff>142875</xdr:rowOff>
    </xdr:to>
    <xdr:sp macro="" textlink="">
      <xdr:nvSpPr>
        <xdr:cNvPr id="110" name="AutoShape 48">
          <a:hlinkClick xmlns:r="http://schemas.openxmlformats.org/officeDocument/2006/relationships" r:id="rId9"/>
          <a:extLst>
            <a:ext uri="{FF2B5EF4-FFF2-40B4-BE49-F238E27FC236}">
              <a16:creationId xmlns:a16="http://schemas.microsoft.com/office/drawing/2014/main" id="{00000000-0008-0000-2400-00006E000000}"/>
            </a:ext>
          </a:extLst>
        </xdr:cNvPr>
        <xdr:cNvSpPr>
          <a:spLocks noChangeArrowheads="1"/>
        </xdr:cNvSpPr>
      </xdr:nvSpPr>
      <xdr:spPr bwMode="auto">
        <a:xfrm>
          <a:off x="6067425" y="20478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basisaanpak </a:t>
          </a:r>
        </a:p>
        <a:p>
          <a:pPr algn="ctr" rtl="0">
            <a:defRPr sz="1000"/>
          </a:pPr>
          <a:r>
            <a:rPr lang="nl-NL" sz="1100" b="0" i="0" u="none" strike="noStrike" baseline="0">
              <a:solidFill>
                <a:srgbClr val="000000"/>
              </a:solidFill>
              <a:latin typeface="Arial"/>
              <a:cs typeface="Arial"/>
            </a:rPr>
            <a:t>1e periode</a:t>
          </a:r>
        </a:p>
      </xdr:txBody>
    </xdr:sp>
    <xdr:clientData/>
  </xdr:twoCellAnchor>
  <xdr:twoCellAnchor>
    <xdr:from>
      <xdr:col>18</xdr:col>
      <xdr:colOff>0</xdr:colOff>
      <xdr:row>6</xdr:row>
      <xdr:rowOff>0</xdr:rowOff>
    </xdr:from>
    <xdr:to>
      <xdr:col>19</xdr:col>
      <xdr:colOff>587188</xdr:colOff>
      <xdr:row>9</xdr:row>
      <xdr:rowOff>142875</xdr:rowOff>
    </xdr:to>
    <xdr:sp macro="" textlink="">
      <xdr:nvSpPr>
        <xdr:cNvPr id="111" name="AutoShape 48">
          <a:hlinkClick xmlns:r="http://schemas.openxmlformats.org/officeDocument/2006/relationships" r:id="rId10"/>
          <a:extLst>
            <a:ext uri="{FF2B5EF4-FFF2-40B4-BE49-F238E27FC236}">
              <a16:creationId xmlns:a16="http://schemas.microsoft.com/office/drawing/2014/main" id="{00000000-0008-0000-2400-00006F000000}"/>
            </a:ext>
          </a:extLst>
        </xdr:cNvPr>
        <xdr:cNvSpPr>
          <a:spLocks noChangeArrowheads="1"/>
        </xdr:cNvSpPr>
      </xdr:nvSpPr>
      <xdr:spPr bwMode="auto">
        <a:xfrm>
          <a:off x="7896225" y="1400175"/>
          <a:ext cx="1196788" cy="628650"/>
        </a:xfrm>
        <a:prstGeom prst="actionButtonBlank">
          <a:avLst/>
        </a:prstGeom>
        <a:solidFill>
          <a:srgbClr val="00B0F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niveauwaarde</a:t>
          </a:r>
        </a:p>
        <a:p>
          <a:pPr algn="ctr" rtl="0">
            <a:defRPr sz="1000"/>
          </a:pPr>
          <a:r>
            <a:rPr lang="nl-NL" sz="1100" b="0" i="0" u="none" strike="noStrike" baseline="0">
              <a:solidFill>
                <a:srgbClr val="000000"/>
              </a:solidFill>
              <a:latin typeface="Arial"/>
              <a:cs typeface="Arial"/>
            </a:rPr>
            <a:t>2e toetsperiode</a:t>
          </a:r>
          <a:endParaRPr lang="nl-NL" sz="1100"/>
        </a:p>
      </xdr:txBody>
    </xdr:sp>
    <xdr:clientData/>
  </xdr:twoCellAnchor>
  <xdr:twoCellAnchor>
    <xdr:from>
      <xdr:col>18</xdr:col>
      <xdr:colOff>0</xdr:colOff>
      <xdr:row>10</xdr:row>
      <xdr:rowOff>0</xdr:rowOff>
    </xdr:from>
    <xdr:to>
      <xdr:col>19</xdr:col>
      <xdr:colOff>587188</xdr:colOff>
      <xdr:row>13</xdr:row>
      <xdr:rowOff>142875</xdr:rowOff>
    </xdr:to>
    <xdr:sp macro="" textlink="">
      <xdr:nvSpPr>
        <xdr:cNvPr id="112" name="AutoShape 48">
          <a:hlinkClick xmlns:r="http://schemas.openxmlformats.org/officeDocument/2006/relationships" r:id="rId11"/>
          <a:extLst>
            <a:ext uri="{FF2B5EF4-FFF2-40B4-BE49-F238E27FC236}">
              <a16:creationId xmlns:a16="http://schemas.microsoft.com/office/drawing/2014/main" id="{00000000-0008-0000-2400-000070000000}"/>
            </a:ext>
          </a:extLst>
        </xdr:cNvPr>
        <xdr:cNvSpPr>
          <a:spLocks noChangeArrowheads="1"/>
        </xdr:cNvSpPr>
      </xdr:nvSpPr>
      <xdr:spPr bwMode="auto">
        <a:xfrm>
          <a:off x="7896225" y="2047875"/>
          <a:ext cx="1196788" cy="628650"/>
        </a:xfrm>
        <a:prstGeom prst="actionButtonBlank">
          <a:avLst/>
        </a:prstGeom>
        <a:solidFill>
          <a:srgbClr val="00B0F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na 2e toetsperiode</a:t>
          </a:r>
        </a:p>
      </xdr:txBody>
    </xdr:sp>
    <xdr:clientData/>
  </xdr:twoCellAnchor>
  <xdr:twoCellAnchor>
    <xdr:from>
      <xdr:col>15</xdr:col>
      <xdr:colOff>0</xdr:colOff>
      <xdr:row>14</xdr:row>
      <xdr:rowOff>0</xdr:rowOff>
    </xdr:from>
    <xdr:to>
      <xdr:col>16</xdr:col>
      <xdr:colOff>587188</xdr:colOff>
      <xdr:row>17</xdr:row>
      <xdr:rowOff>142875</xdr:rowOff>
    </xdr:to>
    <xdr:sp macro="" textlink="">
      <xdr:nvSpPr>
        <xdr:cNvPr id="113" name="AutoShape 48">
          <a:hlinkClick xmlns:r="http://schemas.openxmlformats.org/officeDocument/2006/relationships" r:id="rId12"/>
          <a:extLst>
            <a:ext uri="{FF2B5EF4-FFF2-40B4-BE49-F238E27FC236}">
              <a16:creationId xmlns:a16="http://schemas.microsoft.com/office/drawing/2014/main" id="{00000000-0008-0000-2400-000071000000}"/>
            </a:ext>
          </a:extLst>
        </xdr:cNvPr>
        <xdr:cNvSpPr>
          <a:spLocks noChangeArrowheads="1"/>
        </xdr:cNvSpPr>
      </xdr:nvSpPr>
      <xdr:spPr bwMode="auto">
        <a:xfrm>
          <a:off x="6067425" y="26955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a:latin typeface="Arial" panose="020B0604020202020204" pitchFamily="34" charset="0"/>
              <a:cs typeface="Arial" panose="020B0604020202020204" pitchFamily="34" charset="0"/>
            </a:rPr>
            <a:t>verrijkte</a:t>
          </a:r>
          <a:r>
            <a:rPr lang="nl-NL" sz="1100" baseline="0">
              <a:latin typeface="Arial" panose="020B0604020202020204" pitchFamily="34" charset="0"/>
              <a:cs typeface="Arial" panose="020B0604020202020204" pitchFamily="34" charset="0"/>
            </a:rPr>
            <a:t> </a:t>
          </a:r>
          <a:r>
            <a:rPr lang="nl-NL" sz="1100">
              <a:latin typeface="Arial" panose="020B0604020202020204" pitchFamily="34" charset="0"/>
              <a:cs typeface="Arial" panose="020B0604020202020204" pitchFamily="34" charset="0"/>
            </a:rPr>
            <a:t>aanpak  </a:t>
          </a:r>
        </a:p>
        <a:p>
          <a:pPr algn="ctr" rtl="0">
            <a:defRPr sz="1000"/>
          </a:pPr>
          <a:r>
            <a:rPr lang="nl-NL" sz="1100">
              <a:latin typeface="Arial" panose="020B0604020202020204" pitchFamily="34" charset="0"/>
              <a:cs typeface="Arial" panose="020B0604020202020204" pitchFamily="34" charset="0"/>
            </a:rPr>
            <a:t>1e periode</a:t>
          </a:r>
        </a:p>
      </xdr:txBody>
    </xdr:sp>
    <xdr:clientData/>
  </xdr:twoCellAnchor>
  <xdr:twoCellAnchor>
    <xdr:from>
      <xdr:col>15</xdr:col>
      <xdr:colOff>0</xdr:colOff>
      <xdr:row>22</xdr:row>
      <xdr:rowOff>0</xdr:rowOff>
    </xdr:from>
    <xdr:to>
      <xdr:col>16</xdr:col>
      <xdr:colOff>587188</xdr:colOff>
      <xdr:row>25</xdr:row>
      <xdr:rowOff>142875</xdr:rowOff>
    </xdr:to>
    <xdr:sp macro="" textlink="">
      <xdr:nvSpPr>
        <xdr:cNvPr id="114" name="AutoShape 48">
          <a:hlinkClick xmlns:r="http://schemas.openxmlformats.org/officeDocument/2006/relationships" r:id="rId13"/>
          <a:extLst>
            <a:ext uri="{FF2B5EF4-FFF2-40B4-BE49-F238E27FC236}">
              <a16:creationId xmlns:a16="http://schemas.microsoft.com/office/drawing/2014/main" id="{00000000-0008-0000-2400-000072000000}"/>
            </a:ext>
          </a:extLst>
        </xdr:cNvPr>
        <xdr:cNvSpPr>
          <a:spLocks noChangeArrowheads="1"/>
        </xdr:cNvSpPr>
      </xdr:nvSpPr>
      <xdr:spPr bwMode="auto">
        <a:xfrm>
          <a:off x="6067425" y="39909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begrijpend lezen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15</xdr:col>
      <xdr:colOff>0</xdr:colOff>
      <xdr:row>26</xdr:row>
      <xdr:rowOff>0</xdr:rowOff>
    </xdr:from>
    <xdr:to>
      <xdr:col>16</xdr:col>
      <xdr:colOff>587188</xdr:colOff>
      <xdr:row>29</xdr:row>
      <xdr:rowOff>142875</xdr:rowOff>
    </xdr:to>
    <xdr:sp macro="" textlink="">
      <xdr:nvSpPr>
        <xdr:cNvPr id="116" name="AutoShape 48">
          <a:hlinkClick xmlns:r="http://schemas.openxmlformats.org/officeDocument/2006/relationships" r:id="rId14"/>
          <a:extLst>
            <a:ext uri="{FF2B5EF4-FFF2-40B4-BE49-F238E27FC236}">
              <a16:creationId xmlns:a16="http://schemas.microsoft.com/office/drawing/2014/main" id="{00000000-0008-0000-2400-000074000000}"/>
            </a:ext>
          </a:extLst>
        </xdr:cNvPr>
        <xdr:cNvSpPr>
          <a:spLocks noChangeArrowheads="1"/>
        </xdr:cNvSpPr>
      </xdr:nvSpPr>
      <xdr:spPr bwMode="auto">
        <a:xfrm>
          <a:off x="6067425" y="46386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hoofdrekenen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20</xdr:col>
      <xdr:colOff>0</xdr:colOff>
      <xdr:row>22</xdr:row>
      <xdr:rowOff>0</xdr:rowOff>
    </xdr:from>
    <xdr:to>
      <xdr:col>21</xdr:col>
      <xdr:colOff>587188</xdr:colOff>
      <xdr:row>25</xdr:row>
      <xdr:rowOff>142875</xdr:rowOff>
    </xdr:to>
    <xdr:sp macro="" textlink="">
      <xdr:nvSpPr>
        <xdr:cNvPr id="118" name="AutoShape 48">
          <a:hlinkClick xmlns:r="http://schemas.openxmlformats.org/officeDocument/2006/relationships" r:id="rId15"/>
          <a:extLst>
            <a:ext uri="{FF2B5EF4-FFF2-40B4-BE49-F238E27FC236}">
              <a16:creationId xmlns:a16="http://schemas.microsoft.com/office/drawing/2014/main" id="{00000000-0008-0000-2400-000076000000}"/>
            </a:ext>
          </a:extLst>
        </xdr:cNvPr>
        <xdr:cNvSpPr>
          <a:spLocks noChangeArrowheads="1"/>
        </xdr:cNvSpPr>
      </xdr:nvSpPr>
      <xdr:spPr bwMode="auto">
        <a:xfrm>
          <a:off x="9115425" y="39909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begrijpend lezen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20</xdr:col>
      <xdr:colOff>0</xdr:colOff>
      <xdr:row>26</xdr:row>
      <xdr:rowOff>0</xdr:rowOff>
    </xdr:from>
    <xdr:to>
      <xdr:col>21</xdr:col>
      <xdr:colOff>587188</xdr:colOff>
      <xdr:row>29</xdr:row>
      <xdr:rowOff>142875</xdr:rowOff>
    </xdr:to>
    <xdr:sp macro="" textlink="">
      <xdr:nvSpPr>
        <xdr:cNvPr id="120" name="AutoShape 48">
          <a:hlinkClick xmlns:r="http://schemas.openxmlformats.org/officeDocument/2006/relationships" r:id="rId16"/>
          <a:extLst>
            <a:ext uri="{FF2B5EF4-FFF2-40B4-BE49-F238E27FC236}">
              <a16:creationId xmlns:a16="http://schemas.microsoft.com/office/drawing/2014/main" id="{00000000-0008-0000-2400-000078000000}"/>
            </a:ext>
          </a:extLst>
        </xdr:cNvPr>
        <xdr:cNvSpPr>
          <a:spLocks noChangeArrowheads="1"/>
        </xdr:cNvSpPr>
      </xdr:nvSpPr>
      <xdr:spPr bwMode="auto">
        <a:xfrm>
          <a:off x="9115425" y="46386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hoofdrekenen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18</xdr:row>
      <xdr:rowOff>0</xdr:rowOff>
    </xdr:from>
    <xdr:to>
      <xdr:col>14</xdr:col>
      <xdr:colOff>587188</xdr:colOff>
      <xdr:row>21</xdr:row>
      <xdr:rowOff>142875</xdr:rowOff>
    </xdr:to>
    <xdr:sp macro="" textlink="">
      <xdr:nvSpPr>
        <xdr:cNvPr id="122" name="AutoShape 48">
          <a:hlinkClick xmlns:r="http://schemas.openxmlformats.org/officeDocument/2006/relationships" r:id="rId17"/>
          <a:extLst>
            <a:ext uri="{FF2B5EF4-FFF2-40B4-BE49-F238E27FC236}">
              <a16:creationId xmlns:a16="http://schemas.microsoft.com/office/drawing/2014/main" id="{00000000-0008-0000-2400-00007A000000}"/>
            </a:ext>
          </a:extLst>
        </xdr:cNvPr>
        <xdr:cNvSpPr>
          <a:spLocks noChangeArrowheads="1"/>
        </xdr:cNvSpPr>
      </xdr:nvSpPr>
      <xdr:spPr bwMode="auto">
        <a:xfrm>
          <a:off x="4848225" y="33432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technisch lezen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13</xdr:col>
      <xdr:colOff>0</xdr:colOff>
      <xdr:row>22</xdr:row>
      <xdr:rowOff>0</xdr:rowOff>
    </xdr:from>
    <xdr:to>
      <xdr:col>14</xdr:col>
      <xdr:colOff>587188</xdr:colOff>
      <xdr:row>25</xdr:row>
      <xdr:rowOff>142875</xdr:rowOff>
    </xdr:to>
    <xdr:sp macro="" textlink="">
      <xdr:nvSpPr>
        <xdr:cNvPr id="123" name="AutoShape 48">
          <a:hlinkClick xmlns:r="http://schemas.openxmlformats.org/officeDocument/2006/relationships" r:id="rId18"/>
          <a:extLst>
            <a:ext uri="{FF2B5EF4-FFF2-40B4-BE49-F238E27FC236}">
              <a16:creationId xmlns:a16="http://schemas.microsoft.com/office/drawing/2014/main" id="{00000000-0008-0000-2400-00007B000000}"/>
            </a:ext>
          </a:extLst>
        </xdr:cNvPr>
        <xdr:cNvSpPr>
          <a:spLocks noChangeArrowheads="1"/>
        </xdr:cNvSpPr>
      </xdr:nvSpPr>
      <xdr:spPr bwMode="auto">
        <a:xfrm>
          <a:off x="4848225" y="39909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spellen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18</xdr:col>
      <xdr:colOff>0</xdr:colOff>
      <xdr:row>18</xdr:row>
      <xdr:rowOff>0</xdr:rowOff>
    </xdr:from>
    <xdr:to>
      <xdr:col>19</xdr:col>
      <xdr:colOff>587188</xdr:colOff>
      <xdr:row>21</xdr:row>
      <xdr:rowOff>142875</xdr:rowOff>
    </xdr:to>
    <xdr:sp macro="" textlink="">
      <xdr:nvSpPr>
        <xdr:cNvPr id="124" name="AutoShape 48">
          <a:hlinkClick xmlns:r="http://schemas.openxmlformats.org/officeDocument/2006/relationships" r:id="rId19"/>
          <a:extLst>
            <a:ext uri="{FF2B5EF4-FFF2-40B4-BE49-F238E27FC236}">
              <a16:creationId xmlns:a16="http://schemas.microsoft.com/office/drawing/2014/main" id="{00000000-0008-0000-2400-00007C000000}"/>
            </a:ext>
          </a:extLst>
        </xdr:cNvPr>
        <xdr:cNvSpPr>
          <a:spLocks noChangeArrowheads="1"/>
        </xdr:cNvSpPr>
      </xdr:nvSpPr>
      <xdr:spPr bwMode="auto">
        <a:xfrm>
          <a:off x="7896225" y="33432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technisch lezen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18</xdr:col>
      <xdr:colOff>0</xdr:colOff>
      <xdr:row>22</xdr:row>
      <xdr:rowOff>0</xdr:rowOff>
    </xdr:from>
    <xdr:to>
      <xdr:col>19</xdr:col>
      <xdr:colOff>587188</xdr:colOff>
      <xdr:row>25</xdr:row>
      <xdr:rowOff>142875</xdr:rowOff>
    </xdr:to>
    <xdr:sp macro="" textlink="">
      <xdr:nvSpPr>
        <xdr:cNvPr id="125" name="AutoShape 48">
          <a:hlinkClick xmlns:r="http://schemas.openxmlformats.org/officeDocument/2006/relationships" r:id="rId20"/>
          <a:extLst>
            <a:ext uri="{FF2B5EF4-FFF2-40B4-BE49-F238E27FC236}">
              <a16:creationId xmlns:a16="http://schemas.microsoft.com/office/drawing/2014/main" id="{00000000-0008-0000-2400-00007D000000}"/>
            </a:ext>
          </a:extLst>
        </xdr:cNvPr>
        <xdr:cNvSpPr>
          <a:spLocks noChangeArrowheads="1"/>
        </xdr:cNvSpPr>
      </xdr:nvSpPr>
      <xdr:spPr bwMode="auto">
        <a:xfrm>
          <a:off x="7896225" y="39909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spellen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26</xdr:row>
      <xdr:rowOff>0</xdr:rowOff>
    </xdr:from>
    <xdr:to>
      <xdr:col>14</xdr:col>
      <xdr:colOff>587188</xdr:colOff>
      <xdr:row>29</xdr:row>
      <xdr:rowOff>142875</xdr:rowOff>
    </xdr:to>
    <xdr:sp macro="" textlink="">
      <xdr:nvSpPr>
        <xdr:cNvPr id="126" name="AutoShape 48">
          <a:hlinkClick xmlns:r="http://schemas.openxmlformats.org/officeDocument/2006/relationships" r:id="rId21"/>
          <a:extLst>
            <a:ext uri="{FF2B5EF4-FFF2-40B4-BE49-F238E27FC236}">
              <a16:creationId xmlns:a16="http://schemas.microsoft.com/office/drawing/2014/main" id="{00000000-0008-0000-2400-00007E000000}"/>
            </a:ext>
          </a:extLst>
        </xdr:cNvPr>
        <xdr:cNvSpPr>
          <a:spLocks noChangeArrowheads="1"/>
        </xdr:cNvSpPr>
      </xdr:nvSpPr>
      <xdr:spPr bwMode="auto">
        <a:xfrm>
          <a:off x="4848225" y="46386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rekenen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18</xdr:col>
      <xdr:colOff>0</xdr:colOff>
      <xdr:row>26</xdr:row>
      <xdr:rowOff>0</xdr:rowOff>
    </xdr:from>
    <xdr:to>
      <xdr:col>19</xdr:col>
      <xdr:colOff>587188</xdr:colOff>
      <xdr:row>29</xdr:row>
      <xdr:rowOff>142875</xdr:rowOff>
    </xdr:to>
    <xdr:sp macro="" textlink="">
      <xdr:nvSpPr>
        <xdr:cNvPr id="127" name="AutoShape 48">
          <a:hlinkClick xmlns:r="http://schemas.openxmlformats.org/officeDocument/2006/relationships" r:id="rId22"/>
          <a:extLst>
            <a:ext uri="{FF2B5EF4-FFF2-40B4-BE49-F238E27FC236}">
              <a16:creationId xmlns:a16="http://schemas.microsoft.com/office/drawing/2014/main" id="{00000000-0008-0000-2400-00007F000000}"/>
            </a:ext>
          </a:extLst>
        </xdr:cNvPr>
        <xdr:cNvSpPr>
          <a:spLocks noChangeArrowheads="1"/>
        </xdr:cNvSpPr>
      </xdr:nvSpPr>
      <xdr:spPr bwMode="auto">
        <a:xfrm>
          <a:off x="7896225" y="46386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rekenen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14</xdr:row>
      <xdr:rowOff>0</xdr:rowOff>
    </xdr:from>
    <xdr:to>
      <xdr:col>14</xdr:col>
      <xdr:colOff>587188</xdr:colOff>
      <xdr:row>17</xdr:row>
      <xdr:rowOff>142875</xdr:rowOff>
    </xdr:to>
    <xdr:sp macro="" textlink="">
      <xdr:nvSpPr>
        <xdr:cNvPr id="128" name="AutoShape 48">
          <a:hlinkClick xmlns:r="http://schemas.openxmlformats.org/officeDocument/2006/relationships" r:id="rId23"/>
          <a:extLst>
            <a:ext uri="{FF2B5EF4-FFF2-40B4-BE49-F238E27FC236}">
              <a16:creationId xmlns:a16="http://schemas.microsoft.com/office/drawing/2014/main" id="{00000000-0008-0000-2400-000080000000}"/>
            </a:ext>
          </a:extLst>
        </xdr:cNvPr>
        <xdr:cNvSpPr>
          <a:spLocks noChangeArrowheads="1"/>
        </xdr:cNvSpPr>
      </xdr:nvSpPr>
      <xdr:spPr bwMode="auto">
        <a:xfrm>
          <a:off x="4848225" y="26955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signalering HB</a:t>
          </a:r>
          <a:endParaRPr lang="nl-NL" sz="1100"/>
        </a:p>
      </xdr:txBody>
    </xdr:sp>
    <xdr:clientData/>
  </xdr:twoCellAnchor>
  <xdr:twoCellAnchor>
    <xdr:from>
      <xdr:col>15</xdr:col>
      <xdr:colOff>0</xdr:colOff>
      <xdr:row>18</xdr:row>
      <xdr:rowOff>0</xdr:rowOff>
    </xdr:from>
    <xdr:to>
      <xdr:col>16</xdr:col>
      <xdr:colOff>587188</xdr:colOff>
      <xdr:row>21</xdr:row>
      <xdr:rowOff>142875</xdr:rowOff>
    </xdr:to>
    <xdr:sp macro="" textlink="">
      <xdr:nvSpPr>
        <xdr:cNvPr id="129" name="AutoShape 48">
          <a:hlinkClick xmlns:r="http://schemas.openxmlformats.org/officeDocument/2006/relationships" r:id="rId24"/>
          <a:extLst>
            <a:ext uri="{FF2B5EF4-FFF2-40B4-BE49-F238E27FC236}">
              <a16:creationId xmlns:a16="http://schemas.microsoft.com/office/drawing/2014/main" id="{00000000-0008-0000-2400-000081000000}"/>
            </a:ext>
          </a:extLst>
        </xdr:cNvPr>
        <xdr:cNvSpPr>
          <a:spLocks noChangeArrowheads="1"/>
        </xdr:cNvSpPr>
      </xdr:nvSpPr>
      <xdr:spPr bwMode="auto">
        <a:xfrm>
          <a:off x="6067425" y="33432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leerlingprofiel HB</a:t>
          </a:r>
          <a:endParaRPr lang="nl-NL" sz="1100"/>
        </a:p>
      </xdr:txBody>
    </xdr:sp>
    <xdr:clientData/>
  </xdr:twoCellAnchor>
  <xdr:twoCellAnchor>
    <xdr:from>
      <xdr:col>18</xdr:col>
      <xdr:colOff>0</xdr:colOff>
      <xdr:row>14</xdr:row>
      <xdr:rowOff>0</xdr:rowOff>
    </xdr:from>
    <xdr:to>
      <xdr:col>19</xdr:col>
      <xdr:colOff>587188</xdr:colOff>
      <xdr:row>17</xdr:row>
      <xdr:rowOff>142875</xdr:rowOff>
    </xdr:to>
    <xdr:sp macro="" textlink="">
      <xdr:nvSpPr>
        <xdr:cNvPr id="130" name="AutoShape 48">
          <a:hlinkClick xmlns:r="http://schemas.openxmlformats.org/officeDocument/2006/relationships" r:id="rId25"/>
          <a:extLst>
            <a:ext uri="{FF2B5EF4-FFF2-40B4-BE49-F238E27FC236}">
              <a16:creationId xmlns:a16="http://schemas.microsoft.com/office/drawing/2014/main" id="{00000000-0008-0000-2400-000082000000}"/>
            </a:ext>
          </a:extLst>
        </xdr:cNvPr>
        <xdr:cNvSpPr>
          <a:spLocks noChangeArrowheads="1"/>
        </xdr:cNvSpPr>
      </xdr:nvSpPr>
      <xdr:spPr bwMode="auto">
        <a:xfrm>
          <a:off x="7896225" y="26955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Toetsafspraken </a:t>
          </a:r>
          <a:endParaRPr lang="nl-NL" sz="1100"/>
        </a:p>
      </xdr:txBody>
    </xdr:sp>
    <xdr:clientData/>
  </xdr:twoCellAnchor>
  <xdr:twoCellAnchor>
    <xdr:from>
      <xdr:col>20</xdr:col>
      <xdr:colOff>0</xdr:colOff>
      <xdr:row>18</xdr:row>
      <xdr:rowOff>0</xdr:rowOff>
    </xdr:from>
    <xdr:to>
      <xdr:col>21</xdr:col>
      <xdr:colOff>587188</xdr:colOff>
      <xdr:row>21</xdr:row>
      <xdr:rowOff>142875</xdr:rowOff>
    </xdr:to>
    <xdr:sp macro="" textlink="">
      <xdr:nvSpPr>
        <xdr:cNvPr id="131" name="AutoShape 48">
          <a:hlinkClick xmlns:r="http://schemas.openxmlformats.org/officeDocument/2006/relationships" r:id="rId26"/>
          <a:extLst>
            <a:ext uri="{FF2B5EF4-FFF2-40B4-BE49-F238E27FC236}">
              <a16:creationId xmlns:a16="http://schemas.microsoft.com/office/drawing/2014/main" id="{00000000-0008-0000-2400-000083000000}"/>
            </a:ext>
          </a:extLst>
        </xdr:cNvPr>
        <xdr:cNvSpPr>
          <a:spLocks noChangeArrowheads="1"/>
        </xdr:cNvSpPr>
      </xdr:nvSpPr>
      <xdr:spPr bwMode="auto">
        <a:xfrm>
          <a:off x="9115425" y="33432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Notities </a:t>
          </a:r>
          <a:endParaRPr lang="nl-NL" sz="1100"/>
        </a:p>
      </xdr:txBody>
    </xdr:sp>
    <xdr:clientData/>
  </xdr:twoCellAnchor>
  <xdr:twoCellAnchor>
    <xdr:from>
      <xdr:col>10</xdr:col>
      <xdr:colOff>0</xdr:colOff>
      <xdr:row>6</xdr:row>
      <xdr:rowOff>0</xdr:rowOff>
    </xdr:from>
    <xdr:to>
      <xdr:col>11</xdr:col>
      <xdr:colOff>587188</xdr:colOff>
      <xdr:row>9</xdr:row>
      <xdr:rowOff>150346</xdr:rowOff>
    </xdr:to>
    <xdr:sp macro="" textlink="">
      <xdr:nvSpPr>
        <xdr:cNvPr id="43" name="AutoShape 48">
          <a:hlinkClick xmlns:r="http://schemas.openxmlformats.org/officeDocument/2006/relationships" r:id="rId27"/>
          <a:extLst>
            <a:ext uri="{FF2B5EF4-FFF2-40B4-BE49-F238E27FC236}">
              <a16:creationId xmlns:a16="http://schemas.microsoft.com/office/drawing/2014/main" id="{00000000-0008-0000-2400-00002B000000}"/>
            </a:ext>
          </a:extLst>
        </xdr:cNvPr>
        <xdr:cNvSpPr>
          <a:spLocks noChangeArrowheads="1"/>
        </xdr:cNvSpPr>
      </xdr:nvSpPr>
      <xdr:spPr bwMode="auto">
        <a:xfrm>
          <a:off x="6096000" y="1172882"/>
          <a:ext cx="1184835" cy="620993"/>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chemeClr val="bg1"/>
              </a:solidFill>
              <a:latin typeface="Arial"/>
              <a:cs typeface="Arial"/>
            </a:rPr>
            <a:t>niveauwaarde</a:t>
          </a:r>
        </a:p>
        <a:p>
          <a:pPr algn="ctr" rtl="0">
            <a:defRPr sz="1000"/>
          </a:pPr>
          <a:r>
            <a:rPr lang="nl-NL" sz="1100" b="0" i="0" u="none" strike="noStrike" baseline="0">
              <a:solidFill>
                <a:schemeClr val="bg1"/>
              </a:solidFill>
              <a:latin typeface="Arial"/>
              <a:cs typeface="Arial"/>
            </a:rPr>
            <a:t>vorig jaar </a:t>
          </a:r>
          <a:endParaRPr lang="nl-NL" sz="1100">
            <a:solidFill>
              <a:schemeClr val="bg1"/>
            </a:solidFill>
          </a:endParaRPr>
        </a:p>
      </xdr:txBody>
    </xdr:sp>
    <xdr:clientData/>
  </xdr:twoCellAnchor>
  <xdr:twoCellAnchor>
    <xdr:from>
      <xdr:col>10</xdr:col>
      <xdr:colOff>0</xdr:colOff>
      <xdr:row>10</xdr:row>
      <xdr:rowOff>0</xdr:rowOff>
    </xdr:from>
    <xdr:to>
      <xdr:col>11</xdr:col>
      <xdr:colOff>587188</xdr:colOff>
      <xdr:row>13</xdr:row>
      <xdr:rowOff>142875</xdr:rowOff>
    </xdr:to>
    <xdr:sp macro="" textlink="">
      <xdr:nvSpPr>
        <xdr:cNvPr id="44" name="AutoShape 48">
          <a:hlinkClick xmlns:r="http://schemas.openxmlformats.org/officeDocument/2006/relationships" r:id="rId28"/>
          <a:extLst>
            <a:ext uri="{FF2B5EF4-FFF2-40B4-BE49-F238E27FC236}">
              <a16:creationId xmlns:a16="http://schemas.microsoft.com/office/drawing/2014/main" id="{00000000-0008-0000-2400-00002C000000}"/>
            </a:ext>
          </a:extLst>
        </xdr:cNvPr>
        <xdr:cNvSpPr>
          <a:spLocks noChangeArrowheads="1"/>
        </xdr:cNvSpPr>
      </xdr:nvSpPr>
      <xdr:spPr bwMode="auto">
        <a:xfrm>
          <a:off x="5715000" y="18288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begin van het jaar </a:t>
          </a:r>
          <a:endParaRPr lang="nl-NL" sz="1100"/>
        </a:p>
      </xdr:txBody>
    </xdr:sp>
    <xdr:clientData/>
  </xdr:twoCellAnchor>
  <xdr:twoCellAnchor>
    <xdr:from>
      <xdr:col>10</xdr:col>
      <xdr:colOff>0</xdr:colOff>
      <xdr:row>14</xdr:row>
      <xdr:rowOff>0</xdr:rowOff>
    </xdr:from>
    <xdr:to>
      <xdr:col>11</xdr:col>
      <xdr:colOff>587188</xdr:colOff>
      <xdr:row>17</xdr:row>
      <xdr:rowOff>142875</xdr:rowOff>
    </xdr:to>
    <xdr:sp macro="" textlink="">
      <xdr:nvSpPr>
        <xdr:cNvPr id="45" name="AutoShape 48">
          <a:hlinkClick xmlns:r="http://schemas.openxmlformats.org/officeDocument/2006/relationships" r:id="rId29"/>
          <a:extLst>
            <a:ext uri="{FF2B5EF4-FFF2-40B4-BE49-F238E27FC236}">
              <a16:creationId xmlns:a16="http://schemas.microsoft.com/office/drawing/2014/main" id="{00000000-0008-0000-2400-00002D000000}"/>
            </a:ext>
          </a:extLst>
        </xdr:cNvPr>
        <xdr:cNvSpPr>
          <a:spLocks noChangeArrowheads="1"/>
        </xdr:cNvSpPr>
      </xdr:nvSpPr>
      <xdr:spPr bwMode="auto">
        <a:xfrm>
          <a:off x="5715000" y="2476500"/>
          <a:ext cx="1196788" cy="628650"/>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overzicht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xdr:from>
      <xdr:col>8</xdr:col>
      <xdr:colOff>6350</xdr:colOff>
      <xdr:row>18</xdr:row>
      <xdr:rowOff>0</xdr:rowOff>
    </xdr:from>
    <xdr:to>
      <xdr:col>9</xdr:col>
      <xdr:colOff>593538</xdr:colOff>
      <xdr:row>21</xdr:row>
      <xdr:rowOff>142875</xdr:rowOff>
    </xdr:to>
    <xdr:sp macro="" textlink="">
      <xdr:nvSpPr>
        <xdr:cNvPr id="51" name="AutoShape 48">
          <a:hlinkClick xmlns:r="http://schemas.openxmlformats.org/officeDocument/2006/relationships" r:id="rId30"/>
          <a:extLst>
            <a:ext uri="{FF2B5EF4-FFF2-40B4-BE49-F238E27FC236}">
              <a16:creationId xmlns:a16="http://schemas.microsoft.com/office/drawing/2014/main" id="{00000000-0008-0000-2400-000033000000}"/>
            </a:ext>
          </a:extLst>
        </xdr:cNvPr>
        <xdr:cNvSpPr>
          <a:spLocks noChangeArrowheads="1"/>
        </xdr:cNvSpPr>
      </xdr:nvSpPr>
      <xdr:spPr bwMode="auto">
        <a:xfrm>
          <a:off x="4895850" y="3079750"/>
          <a:ext cx="1196788" cy="61912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Diversiteits Quötient (DQ)</a:t>
          </a:r>
          <a:endParaRPr lang="nl-NL" sz="1100"/>
        </a:p>
      </xdr:txBody>
    </xdr:sp>
    <xdr:clientData/>
  </xdr:twoCellAnchor>
  <xdr:twoCellAnchor>
    <xdr:from>
      <xdr:col>8</xdr:col>
      <xdr:colOff>6350</xdr:colOff>
      <xdr:row>14</xdr:row>
      <xdr:rowOff>0</xdr:rowOff>
    </xdr:from>
    <xdr:to>
      <xdr:col>9</xdr:col>
      <xdr:colOff>593538</xdr:colOff>
      <xdr:row>17</xdr:row>
      <xdr:rowOff>142875</xdr:rowOff>
    </xdr:to>
    <xdr:sp macro="" textlink="">
      <xdr:nvSpPr>
        <xdr:cNvPr id="52" name="AutoShape 48">
          <a:hlinkClick xmlns:r="http://schemas.openxmlformats.org/officeDocument/2006/relationships" r:id="rId31"/>
          <a:extLst>
            <a:ext uri="{FF2B5EF4-FFF2-40B4-BE49-F238E27FC236}">
              <a16:creationId xmlns:a16="http://schemas.microsoft.com/office/drawing/2014/main" id="{00000000-0008-0000-2400-000034000000}"/>
            </a:ext>
          </a:extLst>
        </xdr:cNvPr>
        <xdr:cNvSpPr>
          <a:spLocks noChangeArrowheads="1"/>
        </xdr:cNvSpPr>
      </xdr:nvSpPr>
      <xdr:spPr bwMode="auto">
        <a:xfrm>
          <a:off x="4895850" y="2444750"/>
          <a:ext cx="1196788" cy="619125"/>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Lekker in je Vel</a:t>
          </a:r>
        </a:p>
        <a:p>
          <a:pPr algn="ctr" rtl="0">
            <a:defRPr sz="1000"/>
          </a:pPr>
          <a:r>
            <a:rPr lang="nl-NL" sz="1100" b="0" i="0" u="none" strike="noStrike" baseline="0">
              <a:solidFill>
                <a:srgbClr val="000000"/>
              </a:solidFill>
              <a:latin typeface="Arial"/>
              <a:cs typeface="Arial"/>
            </a:rPr>
            <a:t>LijV-meter</a:t>
          </a:r>
        </a:p>
      </xdr:txBody>
    </xdr:sp>
    <xdr:clientData/>
  </xdr:twoCellAnchor>
  <xdr:twoCellAnchor>
    <xdr:from>
      <xdr:col>8</xdr:col>
      <xdr:colOff>6350</xdr:colOff>
      <xdr:row>22</xdr:row>
      <xdr:rowOff>0</xdr:rowOff>
    </xdr:from>
    <xdr:to>
      <xdr:col>9</xdr:col>
      <xdr:colOff>593538</xdr:colOff>
      <xdr:row>25</xdr:row>
      <xdr:rowOff>142875</xdr:rowOff>
    </xdr:to>
    <xdr:sp macro="" textlink="">
      <xdr:nvSpPr>
        <xdr:cNvPr id="53" name="AutoShape 48">
          <a:hlinkClick xmlns:r="http://schemas.openxmlformats.org/officeDocument/2006/relationships" r:id="rId32"/>
          <a:extLst>
            <a:ext uri="{FF2B5EF4-FFF2-40B4-BE49-F238E27FC236}">
              <a16:creationId xmlns:a16="http://schemas.microsoft.com/office/drawing/2014/main" id="{00000000-0008-0000-2400-000035000000}"/>
            </a:ext>
          </a:extLst>
        </xdr:cNvPr>
        <xdr:cNvSpPr>
          <a:spLocks noChangeArrowheads="1"/>
        </xdr:cNvSpPr>
      </xdr:nvSpPr>
      <xdr:spPr bwMode="auto">
        <a:xfrm>
          <a:off x="4895850" y="3714750"/>
          <a:ext cx="1196788" cy="619125"/>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brief voor de ouders </a:t>
          </a:r>
          <a:endParaRPr lang="nl-NL" sz="1100"/>
        </a:p>
      </xdr:txBody>
    </xdr:sp>
    <xdr:clientData/>
  </xdr:twoCellAnchor>
  <xdr:twoCellAnchor>
    <xdr:from>
      <xdr:col>8</xdr:col>
      <xdr:colOff>6350</xdr:colOff>
      <xdr:row>26</xdr:row>
      <xdr:rowOff>0</xdr:rowOff>
    </xdr:from>
    <xdr:to>
      <xdr:col>9</xdr:col>
      <xdr:colOff>593538</xdr:colOff>
      <xdr:row>29</xdr:row>
      <xdr:rowOff>142875</xdr:rowOff>
    </xdr:to>
    <xdr:sp macro="" textlink="">
      <xdr:nvSpPr>
        <xdr:cNvPr id="54" name="AutoShape 48">
          <a:hlinkClick xmlns:r="http://schemas.openxmlformats.org/officeDocument/2006/relationships" r:id="rId33"/>
          <a:extLst>
            <a:ext uri="{FF2B5EF4-FFF2-40B4-BE49-F238E27FC236}">
              <a16:creationId xmlns:a16="http://schemas.microsoft.com/office/drawing/2014/main" id="{00000000-0008-0000-2400-000036000000}"/>
            </a:ext>
          </a:extLst>
        </xdr:cNvPr>
        <xdr:cNvSpPr>
          <a:spLocks noChangeArrowheads="1"/>
        </xdr:cNvSpPr>
      </xdr:nvSpPr>
      <xdr:spPr bwMode="auto">
        <a:xfrm>
          <a:off x="4895850" y="4349750"/>
          <a:ext cx="1196788" cy="61912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Referentieniveau</a:t>
          </a:r>
        </a:p>
      </xdr:txBody>
    </xdr:sp>
    <xdr:clientData/>
  </xdr:twoCellAnchor>
  <xdr:twoCellAnchor>
    <xdr:from>
      <xdr:col>10</xdr:col>
      <xdr:colOff>0</xdr:colOff>
      <xdr:row>26</xdr:row>
      <xdr:rowOff>0</xdr:rowOff>
    </xdr:from>
    <xdr:to>
      <xdr:col>11</xdr:col>
      <xdr:colOff>587188</xdr:colOff>
      <xdr:row>29</xdr:row>
      <xdr:rowOff>142875</xdr:rowOff>
    </xdr:to>
    <xdr:sp macro="" textlink="">
      <xdr:nvSpPr>
        <xdr:cNvPr id="48" name="AutoShape 48">
          <a:hlinkClick xmlns:r="http://schemas.openxmlformats.org/officeDocument/2006/relationships" r:id="rId34"/>
          <a:extLst>
            <a:ext uri="{FF2B5EF4-FFF2-40B4-BE49-F238E27FC236}">
              <a16:creationId xmlns:a16="http://schemas.microsoft.com/office/drawing/2014/main" id="{00000000-0008-0000-2400-000030000000}"/>
            </a:ext>
          </a:extLst>
        </xdr:cNvPr>
        <xdr:cNvSpPr>
          <a:spLocks noChangeArrowheads="1"/>
        </xdr:cNvSpPr>
      </xdr:nvSpPr>
      <xdr:spPr bwMode="auto">
        <a:xfrm>
          <a:off x="5876925" y="44196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Advies </a:t>
          </a:r>
        </a:p>
        <a:p>
          <a:pPr algn="ctr" rtl="0">
            <a:defRPr sz="1000"/>
          </a:pPr>
          <a:r>
            <a:rPr lang="nl-NL" sz="1100" b="0" i="0" u="none" strike="noStrike" baseline="0">
              <a:solidFill>
                <a:srgbClr val="000000"/>
              </a:solidFill>
              <a:latin typeface="Arial"/>
              <a:cs typeface="Arial"/>
            </a:rPr>
            <a:t>Voortgezet Onderwijs</a:t>
          </a:r>
        </a:p>
      </xdr:txBody>
    </xdr:sp>
    <xdr:clientData/>
  </xdr:twoCellAnchor>
  <xdr:twoCellAnchor>
    <xdr:from>
      <xdr:col>10</xdr:col>
      <xdr:colOff>0</xdr:colOff>
      <xdr:row>22</xdr:row>
      <xdr:rowOff>0</xdr:rowOff>
    </xdr:from>
    <xdr:to>
      <xdr:col>11</xdr:col>
      <xdr:colOff>587188</xdr:colOff>
      <xdr:row>25</xdr:row>
      <xdr:rowOff>142875</xdr:rowOff>
    </xdr:to>
    <xdr:sp macro="" textlink="">
      <xdr:nvSpPr>
        <xdr:cNvPr id="49" name="AutoShape 48">
          <a:hlinkClick xmlns:r="http://schemas.openxmlformats.org/officeDocument/2006/relationships" r:id="rId35"/>
          <a:extLst>
            <a:ext uri="{FF2B5EF4-FFF2-40B4-BE49-F238E27FC236}">
              <a16:creationId xmlns:a16="http://schemas.microsoft.com/office/drawing/2014/main" id="{00000000-0008-0000-2400-000031000000}"/>
            </a:ext>
          </a:extLst>
        </xdr:cNvPr>
        <xdr:cNvSpPr>
          <a:spLocks noChangeArrowheads="1"/>
        </xdr:cNvSpPr>
      </xdr:nvSpPr>
      <xdr:spPr bwMode="auto">
        <a:xfrm>
          <a:off x="5876925" y="3771900"/>
          <a:ext cx="1196788" cy="628650"/>
        </a:xfrm>
        <a:prstGeom prst="actionButtonBlank">
          <a:avLst/>
        </a:prstGeom>
        <a:solidFill>
          <a:srgbClr val="CCFF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Sociaal Emotioneel</a:t>
          </a:r>
        </a:p>
      </xdr:txBody>
    </xdr:sp>
    <xdr:clientData/>
  </xdr:twoCellAnchor>
  <xdr:twoCellAnchor>
    <xdr:from>
      <xdr:col>10</xdr:col>
      <xdr:colOff>0</xdr:colOff>
      <xdr:row>18</xdr:row>
      <xdr:rowOff>0</xdr:rowOff>
    </xdr:from>
    <xdr:to>
      <xdr:col>11</xdr:col>
      <xdr:colOff>587188</xdr:colOff>
      <xdr:row>21</xdr:row>
      <xdr:rowOff>142875</xdr:rowOff>
    </xdr:to>
    <xdr:sp macro="" textlink="">
      <xdr:nvSpPr>
        <xdr:cNvPr id="50" name="AutoShape 48">
          <a:hlinkClick xmlns:r="http://schemas.openxmlformats.org/officeDocument/2006/relationships" r:id="rId36"/>
          <a:extLst>
            <a:ext uri="{FF2B5EF4-FFF2-40B4-BE49-F238E27FC236}">
              <a16:creationId xmlns:a16="http://schemas.microsoft.com/office/drawing/2014/main" id="{00000000-0008-0000-2400-000032000000}"/>
            </a:ext>
          </a:extLst>
        </xdr:cNvPr>
        <xdr:cNvSpPr>
          <a:spLocks noChangeArrowheads="1"/>
        </xdr:cNvSpPr>
      </xdr:nvSpPr>
      <xdr:spPr bwMode="auto">
        <a:xfrm>
          <a:off x="5876925" y="31242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DL - DLE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editAs="oneCell">
    <xdr:from>
      <xdr:col>8</xdr:col>
      <xdr:colOff>53416</xdr:colOff>
      <xdr:row>32</xdr:row>
      <xdr:rowOff>93944</xdr:rowOff>
    </xdr:from>
    <xdr:to>
      <xdr:col>9</xdr:col>
      <xdr:colOff>375139</xdr:colOff>
      <xdr:row>38</xdr:row>
      <xdr:rowOff>41089</xdr:rowOff>
    </xdr:to>
    <xdr:pic>
      <xdr:nvPicPr>
        <xdr:cNvPr id="47" name="Afbeelding 46">
          <a:hlinkClick xmlns:r="http://schemas.openxmlformats.org/officeDocument/2006/relationships" r:id="rId37"/>
          <a:extLst>
            <a:ext uri="{FF2B5EF4-FFF2-40B4-BE49-F238E27FC236}">
              <a16:creationId xmlns:a16="http://schemas.microsoft.com/office/drawing/2014/main" id="{00000000-0008-0000-2400-00002F000000}"/>
            </a:ext>
          </a:extLst>
        </xdr:cNvPr>
        <xdr:cNvPicPr>
          <a:picLocks noChangeAspect="1"/>
        </xdr:cNvPicPr>
      </xdr:nvPicPr>
      <xdr:blipFill>
        <a:blip xmlns:r="http://schemas.openxmlformats.org/officeDocument/2006/relationships" r:embed="rId38"/>
        <a:stretch>
          <a:fillRect/>
        </a:stretch>
      </xdr:blipFill>
      <xdr:spPr>
        <a:xfrm>
          <a:off x="4969063" y="5345768"/>
          <a:ext cx="919370" cy="888439"/>
        </a:xfrm>
        <a:prstGeom prst="roundRect">
          <a:avLst>
            <a:gd name="adj" fmla="val 4167"/>
          </a:avLst>
        </a:prstGeom>
        <a:solidFill>
          <a:srgbClr val="FFFFFF"/>
        </a:solidFill>
        <a:ln w="31750" cap="sq">
          <a:solidFill>
            <a:srgbClr val="66CCFF"/>
          </a:solidFill>
          <a:miter lim="800000"/>
        </a:ln>
        <a:effectLst/>
      </xdr:spPr>
    </xdr:pic>
    <xdr:clientData/>
  </xdr:twoCellAnchor>
  <xdr:twoCellAnchor>
    <xdr:from>
      <xdr:col>7</xdr:col>
      <xdr:colOff>524063</xdr:colOff>
      <xdr:row>32</xdr:row>
      <xdr:rowOff>11768</xdr:rowOff>
    </xdr:from>
    <xdr:to>
      <xdr:col>22</xdr:col>
      <xdr:colOff>112059</xdr:colOff>
      <xdr:row>38</xdr:row>
      <xdr:rowOff>141942</xdr:rowOff>
    </xdr:to>
    <xdr:sp macro="" textlink="">
      <xdr:nvSpPr>
        <xdr:cNvPr id="59" name="Rechthoek 58">
          <a:extLst>
            <a:ext uri="{FF2B5EF4-FFF2-40B4-BE49-F238E27FC236}">
              <a16:creationId xmlns:a16="http://schemas.microsoft.com/office/drawing/2014/main" id="{00000000-0008-0000-2400-00003B000000}"/>
            </a:ext>
          </a:extLst>
        </xdr:cNvPr>
        <xdr:cNvSpPr/>
      </xdr:nvSpPr>
      <xdr:spPr bwMode="auto">
        <a:xfrm>
          <a:off x="4797239" y="5106709"/>
          <a:ext cx="8597526" cy="1071468"/>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10</xdr:col>
      <xdr:colOff>216647</xdr:colOff>
      <xdr:row>32</xdr:row>
      <xdr:rowOff>82176</xdr:rowOff>
    </xdr:from>
    <xdr:to>
      <xdr:col>18</xdr:col>
      <xdr:colOff>366058</xdr:colOff>
      <xdr:row>38</xdr:row>
      <xdr:rowOff>29881</xdr:rowOff>
    </xdr:to>
    <xdr:sp macro="" textlink="">
      <xdr:nvSpPr>
        <xdr:cNvPr id="60" name="Pijl: links 7">
          <a:hlinkClick xmlns:r="http://schemas.openxmlformats.org/officeDocument/2006/relationships" r:id="rId39"/>
          <a:extLst>
            <a:ext uri="{FF2B5EF4-FFF2-40B4-BE49-F238E27FC236}">
              <a16:creationId xmlns:a16="http://schemas.microsoft.com/office/drawing/2014/main" id="{00000000-0008-0000-2400-00003C000000}"/>
            </a:ext>
          </a:extLst>
        </xdr:cNvPr>
        <xdr:cNvSpPr/>
      </xdr:nvSpPr>
      <xdr:spPr bwMode="auto">
        <a:xfrm>
          <a:off x="6327588" y="5177117"/>
          <a:ext cx="4930588" cy="888999"/>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Klik</a:t>
          </a:r>
          <a:r>
            <a:rPr lang="nl-NL" sz="2000" baseline="0">
              <a:solidFill>
                <a:schemeClr val="bg1"/>
              </a:solidFill>
            </a:rPr>
            <a:t> hier voor het </a:t>
          </a:r>
          <a:r>
            <a:rPr lang="nl-NL" sz="2000">
              <a:solidFill>
                <a:schemeClr val="bg1"/>
              </a:solidFill>
            </a:rPr>
            <a:t>Stappenplan</a:t>
          </a:r>
          <a:r>
            <a:rPr lang="nl-NL" sz="2000" baseline="0">
              <a:solidFill>
                <a:schemeClr val="bg1"/>
              </a:solidFill>
            </a:rPr>
            <a:t> Groepsplan</a:t>
          </a:r>
          <a:endParaRPr lang="nl-NL" sz="2000">
            <a:solidFill>
              <a:schemeClr val="bg1"/>
            </a:solidFill>
          </a:endParaRP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4</xdr:col>
      <xdr:colOff>400050</xdr:colOff>
      <xdr:row>1</xdr:row>
      <xdr:rowOff>9525</xdr:rowOff>
    </xdr:from>
    <xdr:to>
      <xdr:col>4</xdr:col>
      <xdr:colOff>1085850</xdr:colOff>
      <xdr:row>3</xdr:row>
      <xdr:rowOff>142875</xdr:rowOff>
    </xdr:to>
    <xdr:sp macro="" textlink="">
      <xdr:nvSpPr>
        <xdr:cNvPr id="3" name="PIJL-OMLAAG 2">
          <a:extLst>
            <a:ext uri="{FF2B5EF4-FFF2-40B4-BE49-F238E27FC236}">
              <a16:creationId xmlns:a16="http://schemas.microsoft.com/office/drawing/2014/main" id="{00000000-0008-0000-2500-000003000000}"/>
            </a:ext>
          </a:extLst>
        </xdr:cNvPr>
        <xdr:cNvSpPr/>
      </xdr:nvSpPr>
      <xdr:spPr bwMode="auto">
        <a:xfrm>
          <a:off x="2809875" y="9525"/>
          <a:ext cx="685800" cy="457200"/>
        </a:xfrm>
        <a:prstGeom prst="downArrow">
          <a:avLst/>
        </a:prstGeom>
        <a:solidFill>
          <a:srgbClr val="66CCFF"/>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wrap="square" lIns="18288" tIns="0" rIns="0" bIns="0" rtlCol="0" anchor="t" upright="1"/>
        <a:lstStyle/>
        <a:p>
          <a:pPr algn="l"/>
          <a:endParaRPr lang="nl-NL" sz="1100"/>
        </a:p>
      </xdr:txBody>
    </xdr:sp>
    <xdr:clientData/>
  </xdr:twoCellAnchor>
  <xdr:twoCellAnchor>
    <xdr:from>
      <xdr:col>27</xdr:col>
      <xdr:colOff>133350</xdr:colOff>
      <xdr:row>6</xdr:row>
      <xdr:rowOff>11393</xdr:rowOff>
    </xdr:from>
    <xdr:to>
      <xdr:col>29</xdr:col>
      <xdr:colOff>188</xdr:colOff>
      <xdr:row>9</xdr:row>
      <xdr:rowOff>19797</xdr:rowOff>
    </xdr:to>
    <xdr:sp macro="" textlink="">
      <xdr:nvSpPr>
        <xdr:cNvPr id="4" name="AutoShape 48">
          <a:hlinkClick xmlns:r="http://schemas.openxmlformats.org/officeDocument/2006/relationships" r:id="rId1"/>
          <a:extLst>
            <a:ext uri="{FF2B5EF4-FFF2-40B4-BE49-F238E27FC236}">
              <a16:creationId xmlns:a16="http://schemas.microsoft.com/office/drawing/2014/main" id="{00000000-0008-0000-2500-000004000000}"/>
            </a:ext>
          </a:extLst>
        </xdr:cNvPr>
        <xdr:cNvSpPr>
          <a:spLocks noChangeArrowheads="1"/>
        </xdr:cNvSpPr>
      </xdr:nvSpPr>
      <xdr:spPr bwMode="auto">
        <a:xfrm>
          <a:off x="12715875" y="1068668"/>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27</xdr:col>
      <xdr:colOff>133350</xdr:colOff>
      <xdr:row>4</xdr:row>
      <xdr:rowOff>0</xdr:rowOff>
    </xdr:from>
    <xdr:to>
      <xdr:col>29</xdr:col>
      <xdr:colOff>188</xdr:colOff>
      <xdr:row>5</xdr:row>
      <xdr:rowOff>344954</xdr:rowOff>
    </xdr:to>
    <xdr:sp macro="" textlink="">
      <xdr:nvSpPr>
        <xdr:cNvPr id="5" name="AutoShape 48">
          <a:hlinkClick xmlns:r="http://schemas.openxmlformats.org/officeDocument/2006/relationships" r:id="rId2"/>
          <a:extLst>
            <a:ext uri="{FF2B5EF4-FFF2-40B4-BE49-F238E27FC236}">
              <a16:creationId xmlns:a16="http://schemas.microsoft.com/office/drawing/2014/main" id="{00000000-0008-0000-2500-000005000000}"/>
            </a:ext>
          </a:extLst>
        </xdr:cNvPr>
        <xdr:cNvSpPr>
          <a:spLocks noChangeArrowheads="1"/>
        </xdr:cNvSpPr>
      </xdr:nvSpPr>
      <xdr:spPr bwMode="auto">
        <a:xfrm>
          <a:off x="12715875" y="485775"/>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8</xdr:col>
      <xdr:colOff>23813</xdr:colOff>
      <xdr:row>6</xdr:row>
      <xdr:rowOff>23812</xdr:rowOff>
    </xdr:from>
    <xdr:to>
      <xdr:col>9</xdr:col>
      <xdr:colOff>250032</xdr:colOff>
      <xdr:row>41</xdr:row>
      <xdr:rowOff>154780</xdr:rowOff>
    </xdr:to>
    <xdr:sp macro="" textlink="">
      <xdr:nvSpPr>
        <xdr:cNvPr id="7" name="Rechthoek 6">
          <a:hlinkClick xmlns:r="http://schemas.openxmlformats.org/officeDocument/2006/relationships" r:id="rId3"/>
          <a:extLst>
            <a:ext uri="{FF2B5EF4-FFF2-40B4-BE49-F238E27FC236}">
              <a16:creationId xmlns:a16="http://schemas.microsoft.com/office/drawing/2014/main" id="{AD18431F-8A19-44F4-8B75-D8E9BB70BEA1}"/>
            </a:ext>
          </a:extLst>
        </xdr:cNvPr>
        <xdr:cNvSpPr/>
      </xdr:nvSpPr>
      <xdr:spPr bwMode="auto">
        <a:xfrm>
          <a:off x="4155282" y="1262062"/>
          <a:ext cx="1678781" cy="596503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342900</xdr:colOff>
      <xdr:row>0</xdr:row>
      <xdr:rowOff>0</xdr:rowOff>
    </xdr:from>
    <xdr:to>
      <xdr:col>26</xdr:col>
      <xdr:colOff>9525</xdr:colOff>
      <xdr:row>0</xdr:row>
      <xdr:rowOff>0</xdr:rowOff>
    </xdr:to>
    <xdr:sp macro="" textlink="">
      <xdr:nvSpPr>
        <xdr:cNvPr id="2" name="Line 1">
          <a:extLst>
            <a:ext uri="{FF2B5EF4-FFF2-40B4-BE49-F238E27FC236}">
              <a16:creationId xmlns:a16="http://schemas.microsoft.com/office/drawing/2014/main" id="{00000000-0008-0000-2600-000002000000}"/>
            </a:ext>
          </a:extLst>
        </xdr:cNvPr>
        <xdr:cNvSpPr>
          <a:spLocks noChangeShapeType="1"/>
        </xdr:cNvSpPr>
      </xdr:nvSpPr>
      <xdr:spPr bwMode="auto">
        <a:xfrm>
          <a:off x="10210800" y="0"/>
          <a:ext cx="9525" cy="0"/>
        </a:xfrm>
        <a:prstGeom prst="line">
          <a:avLst/>
        </a:prstGeom>
        <a:noFill/>
        <a:ln w="19050">
          <a:solidFill>
            <a:srgbClr val="000000"/>
          </a:solidFill>
          <a:round/>
          <a:headEnd/>
          <a:tailEnd/>
        </a:ln>
      </xdr:spPr>
    </xdr:sp>
    <xdr:clientData/>
  </xdr:twoCellAnchor>
  <xdr:twoCellAnchor editAs="oneCell">
    <xdr:from>
      <xdr:col>23</xdr:col>
      <xdr:colOff>38100</xdr:colOff>
      <xdr:row>9</xdr:row>
      <xdr:rowOff>9525</xdr:rowOff>
    </xdr:from>
    <xdr:to>
      <xdr:col>23</xdr:col>
      <xdr:colOff>371475</xdr:colOff>
      <xdr:row>9</xdr:row>
      <xdr:rowOff>228600</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id="{00000000-0008-0000-26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8</xdr:row>
      <xdr:rowOff>9525</xdr:rowOff>
    </xdr:from>
    <xdr:to>
      <xdr:col>23</xdr:col>
      <xdr:colOff>371475</xdr:colOff>
      <xdr:row>8</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id="{00000000-0008-0000-26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10</xdr:row>
      <xdr:rowOff>19050</xdr:rowOff>
    </xdr:from>
    <xdr:to>
      <xdr:col>23</xdr:col>
      <xdr:colOff>371475</xdr:colOff>
      <xdr:row>10</xdr:row>
      <xdr:rowOff>238125</xdr:rowOff>
    </xdr:to>
    <xdr:sp macro="" textlink="">
      <xdr:nvSpPr>
        <xdr:cNvPr id="98307" name="Check Box 3" hidden="1">
          <a:extLst>
            <a:ext uri="{63B3BB69-23CF-44E3-9099-C40C66FF867C}">
              <a14:compatExt xmlns:a14="http://schemas.microsoft.com/office/drawing/2010/main" spid="_x0000_s98307"/>
            </a:ext>
            <a:ext uri="{FF2B5EF4-FFF2-40B4-BE49-F238E27FC236}">
              <a16:creationId xmlns:a16="http://schemas.microsoft.com/office/drawing/2014/main" id="{00000000-0008-0000-2600-000003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11</xdr:row>
      <xdr:rowOff>19050</xdr:rowOff>
    </xdr:from>
    <xdr:to>
      <xdr:col>23</xdr:col>
      <xdr:colOff>371475</xdr:colOff>
      <xdr:row>11</xdr:row>
      <xdr:rowOff>238125</xdr:rowOff>
    </xdr:to>
    <xdr:sp macro="" textlink="">
      <xdr:nvSpPr>
        <xdr:cNvPr id="98308" name="Check Box 4" hidden="1">
          <a:extLst>
            <a:ext uri="{63B3BB69-23CF-44E3-9099-C40C66FF867C}">
              <a14:compatExt xmlns:a14="http://schemas.microsoft.com/office/drawing/2010/main" spid="_x0000_s98308"/>
            </a:ext>
            <a:ext uri="{FF2B5EF4-FFF2-40B4-BE49-F238E27FC236}">
              <a16:creationId xmlns:a16="http://schemas.microsoft.com/office/drawing/2014/main" id="{00000000-0008-0000-2600-000004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13</xdr:row>
      <xdr:rowOff>19050</xdr:rowOff>
    </xdr:from>
    <xdr:to>
      <xdr:col>23</xdr:col>
      <xdr:colOff>371475</xdr:colOff>
      <xdr:row>13</xdr:row>
      <xdr:rowOff>238125</xdr:rowOff>
    </xdr:to>
    <xdr:sp macro="" textlink="">
      <xdr:nvSpPr>
        <xdr:cNvPr id="98309" name="Check Box 5" hidden="1">
          <a:extLst>
            <a:ext uri="{63B3BB69-23CF-44E3-9099-C40C66FF867C}">
              <a14:compatExt xmlns:a14="http://schemas.microsoft.com/office/drawing/2010/main" spid="_x0000_s98309"/>
            </a:ext>
            <a:ext uri="{FF2B5EF4-FFF2-40B4-BE49-F238E27FC236}">
              <a16:creationId xmlns:a16="http://schemas.microsoft.com/office/drawing/2014/main" id="{00000000-0008-0000-2600-000005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12</xdr:row>
      <xdr:rowOff>19050</xdr:rowOff>
    </xdr:from>
    <xdr:to>
      <xdr:col>23</xdr:col>
      <xdr:colOff>371475</xdr:colOff>
      <xdr:row>13</xdr:row>
      <xdr:rowOff>0</xdr:rowOff>
    </xdr:to>
    <xdr:sp macro="" textlink="">
      <xdr:nvSpPr>
        <xdr:cNvPr id="98310" name="Check Box 6" hidden="1">
          <a:extLst>
            <a:ext uri="{63B3BB69-23CF-44E3-9099-C40C66FF867C}">
              <a14:compatExt xmlns:a14="http://schemas.microsoft.com/office/drawing/2010/main" spid="_x0000_s98310"/>
            </a:ext>
            <a:ext uri="{FF2B5EF4-FFF2-40B4-BE49-F238E27FC236}">
              <a16:creationId xmlns:a16="http://schemas.microsoft.com/office/drawing/2014/main" id="{00000000-0008-0000-2600-000006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14</xdr:row>
      <xdr:rowOff>19050</xdr:rowOff>
    </xdr:from>
    <xdr:to>
      <xdr:col>23</xdr:col>
      <xdr:colOff>371475</xdr:colOff>
      <xdr:row>14</xdr:row>
      <xdr:rowOff>238125</xdr:rowOff>
    </xdr:to>
    <xdr:sp macro="" textlink="">
      <xdr:nvSpPr>
        <xdr:cNvPr id="98311" name="Check Box 7" hidden="1">
          <a:extLst>
            <a:ext uri="{63B3BB69-23CF-44E3-9099-C40C66FF867C}">
              <a14:compatExt xmlns:a14="http://schemas.microsoft.com/office/drawing/2010/main" spid="_x0000_s98311"/>
            </a:ext>
            <a:ext uri="{FF2B5EF4-FFF2-40B4-BE49-F238E27FC236}">
              <a16:creationId xmlns:a16="http://schemas.microsoft.com/office/drawing/2014/main" id="{00000000-0008-0000-2600-000007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15</xdr:row>
      <xdr:rowOff>19050</xdr:rowOff>
    </xdr:from>
    <xdr:to>
      <xdr:col>23</xdr:col>
      <xdr:colOff>371475</xdr:colOff>
      <xdr:row>15</xdr:row>
      <xdr:rowOff>238125</xdr:rowOff>
    </xdr:to>
    <xdr:sp macro="" textlink="">
      <xdr:nvSpPr>
        <xdr:cNvPr id="98312" name="Check Box 8" hidden="1">
          <a:extLst>
            <a:ext uri="{63B3BB69-23CF-44E3-9099-C40C66FF867C}">
              <a14:compatExt xmlns:a14="http://schemas.microsoft.com/office/drawing/2010/main" spid="_x0000_s98312"/>
            </a:ext>
            <a:ext uri="{FF2B5EF4-FFF2-40B4-BE49-F238E27FC236}">
              <a16:creationId xmlns:a16="http://schemas.microsoft.com/office/drawing/2014/main" id="{00000000-0008-0000-2600-000008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17</xdr:row>
      <xdr:rowOff>9525</xdr:rowOff>
    </xdr:from>
    <xdr:to>
      <xdr:col>23</xdr:col>
      <xdr:colOff>371475</xdr:colOff>
      <xdr:row>17</xdr:row>
      <xdr:rowOff>228600</xdr:rowOff>
    </xdr:to>
    <xdr:sp macro="" textlink="">
      <xdr:nvSpPr>
        <xdr:cNvPr id="98313" name="Check Box 9" hidden="1">
          <a:extLst>
            <a:ext uri="{63B3BB69-23CF-44E3-9099-C40C66FF867C}">
              <a14:compatExt xmlns:a14="http://schemas.microsoft.com/office/drawing/2010/main" spid="_x0000_s98313"/>
            </a:ext>
            <a:ext uri="{FF2B5EF4-FFF2-40B4-BE49-F238E27FC236}">
              <a16:creationId xmlns:a16="http://schemas.microsoft.com/office/drawing/2014/main" id="{00000000-0008-0000-2600-000009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16</xdr:row>
      <xdr:rowOff>9525</xdr:rowOff>
    </xdr:from>
    <xdr:to>
      <xdr:col>23</xdr:col>
      <xdr:colOff>371475</xdr:colOff>
      <xdr:row>16</xdr:row>
      <xdr:rowOff>228600</xdr:rowOff>
    </xdr:to>
    <xdr:sp macro="" textlink="">
      <xdr:nvSpPr>
        <xdr:cNvPr id="98314" name="Check Box 10" hidden="1">
          <a:extLst>
            <a:ext uri="{63B3BB69-23CF-44E3-9099-C40C66FF867C}">
              <a14:compatExt xmlns:a14="http://schemas.microsoft.com/office/drawing/2010/main" spid="_x0000_s98314"/>
            </a:ext>
            <a:ext uri="{FF2B5EF4-FFF2-40B4-BE49-F238E27FC236}">
              <a16:creationId xmlns:a16="http://schemas.microsoft.com/office/drawing/2014/main" id="{00000000-0008-0000-2600-00000A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18</xdr:row>
      <xdr:rowOff>19050</xdr:rowOff>
    </xdr:from>
    <xdr:to>
      <xdr:col>23</xdr:col>
      <xdr:colOff>371475</xdr:colOff>
      <xdr:row>18</xdr:row>
      <xdr:rowOff>238125</xdr:rowOff>
    </xdr:to>
    <xdr:sp macro="" textlink="">
      <xdr:nvSpPr>
        <xdr:cNvPr id="98315" name="Check Box 11" hidden="1">
          <a:extLst>
            <a:ext uri="{63B3BB69-23CF-44E3-9099-C40C66FF867C}">
              <a14:compatExt xmlns:a14="http://schemas.microsoft.com/office/drawing/2010/main" spid="_x0000_s98315"/>
            </a:ext>
            <a:ext uri="{FF2B5EF4-FFF2-40B4-BE49-F238E27FC236}">
              <a16:creationId xmlns:a16="http://schemas.microsoft.com/office/drawing/2014/main" id="{00000000-0008-0000-2600-00000B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19</xdr:row>
      <xdr:rowOff>19050</xdr:rowOff>
    </xdr:from>
    <xdr:to>
      <xdr:col>23</xdr:col>
      <xdr:colOff>371475</xdr:colOff>
      <xdr:row>19</xdr:row>
      <xdr:rowOff>238125</xdr:rowOff>
    </xdr:to>
    <xdr:sp macro="" textlink="">
      <xdr:nvSpPr>
        <xdr:cNvPr id="98316" name="Check Box 12" hidden="1">
          <a:extLst>
            <a:ext uri="{63B3BB69-23CF-44E3-9099-C40C66FF867C}">
              <a14:compatExt xmlns:a14="http://schemas.microsoft.com/office/drawing/2010/main" spid="_x0000_s98316"/>
            </a:ext>
            <a:ext uri="{FF2B5EF4-FFF2-40B4-BE49-F238E27FC236}">
              <a16:creationId xmlns:a16="http://schemas.microsoft.com/office/drawing/2014/main" id="{00000000-0008-0000-2600-00000C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21</xdr:row>
      <xdr:rowOff>19050</xdr:rowOff>
    </xdr:from>
    <xdr:to>
      <xdr:col>23</xdr:col>
      <xdr:colOff>371475</xdr:colOff>
      <xdr:row>21</xdr:row>
      <xdr:rowOff>238125</xdr:rowOff>
    </xdr:to>
    <xdr:sp macro="" textlink="">
      <xdr:nvSpPr>
        <xdr:cNvPr id="98317" name="Check Box 13" hidden="1">
          <a:extLst>
            <a:ext uri="{63B3BB69-23CF-44E3-9099-C40C66FF867C}">
              <a14:compatExt xmlns:a14="http://schemas.microsoft.com/office/drawing/2010/main" spid="_x0000_s98317"/>
            </a:ext>
            <a:ext uri="{FF2B5EF4-FFF2-40B4-BE49-F238E27FC236}">
              <a16:creationId xmlns:a16="http://schemas.microsoft.com/office/drawing/2014/main" id="{00000000-0008-0000-2600-00000D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20</xdr:row>
      <xdr:rowOff>19050</xdr:rowOff>
    </xdr:from>
    <xdr:to>
      <xdr:col>23</xdr:col>
      <xdr:colOff>371475</xdr:colOff>
      <xdr:row>20</xdr:row>
      <xdr:rowOff>238125</xdr:rowOff>
    </xdr:to>
    <xdr:sp macro="" textlink="">
      <xdr:nvSpPr>
        <xdr:cNvPr id="98318" name="Check Box 14" hidden="1">
          <a:extLst>
            <a:ext uri="{63B3BB69-23CF-44E3-9099-C40C66FF867C}">
              <a14:compatExt xmlns:a14="http://schemas.microsoft.com/office/drawing/2010/main" spid="_x0000_s98318"/>
            </a:ext>
            <a:ext uri="{FF2B5EF4-FFF2-40B4-BE49-F238E27FC236}">
              <a16:creationId xmlns:a16="http://schemas.microsoft.com/office/drawing/2014/main" id="{00000000-0008-0000-2600-00000E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22</xdr:row>
      <xdr:rowOff>19050</xdr:rowOff>
    </xdr:from>
    <xdr:to>
      <xdr:col>23</xdr:col>
      <xdr:colOff>371475</xdr:colOff>
      <xdr:row>22</xdr:row>
      <xdr:rowOff>238125</xdr:rowOff>
    </xdr:to>
    <xdr:sp macro="" textlink="">
      <xdr:nvSpPr>
        <xdr:cNvPr id="98319" name="Check Box 15" hidden="1">
          <a:extLst>
            <a:ext uri="{63B3BB69-23CF-44E3-9099-C40C66FF867C}">
              <a14:compatExt xmlns:a14="http://schemas.microsoft.com/office/drawing/2010/main" spid="_x0000_s98319"/>
            </a:ext>
            <a:ext uri="{FF2B5EF4-FFF2-40B4-BE49-F238E27FC236}">
              <a16:creationId xmlns:a16="http://schemas.microsoft.com/office/drawing/2014/main" id="{00000000-0008-0000-2600-00000F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23</xdr:row>
      <xdr:rowOff>19050</xdr:rowOff>
    </xdr:from>
    <xdr:to>
      <xdr:col>23</xdr:col>
      <xdr:colOff>371475</xdr:colOff>
      <xdr:row>23</xdr:row>
      <xdr:rowOff>238125</xdr:rowOff>
    </xdr:to>
    <xdr:sp macro="" textlink="">
      <xdr:nvSpPr>
        <xdr:cNvPr id="98320" name="Check Box 16" hidden="1">
          <a:extLst>
            <a:ext uri="{63B3BB69-23CF-44E3-9099-C40C66FF867C}">
              <a14:compatExt xmlns:a14="http://schemas.microsoft.com/office/drawing/2010/main" spid="_x0000_s98320"/>
            </a:ext>
            <a:ext uri="{FF2B5EF4-FFF2-40B4-BE49-F238E27FC236}">
              <a16:creationId xmlns:a16="http://schemas.microsoft.com/office/drawing/2014/main" id="{00000000-0008-0000-2600-000010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25</xdr:row>
      <xdr:rowOff>9525</xdr:rowOff>
    </xdr:from>
    <xdr:to>
      <xdr:col>23</xdr:col>
      <xdr:colOff>371475</xdr:colOff>
      <xdr:row>25</xdr:row>
      <xdr:rowOff>228600</xdr:rowOff>
    </xdr:to>
    <xdr:sp macro="" textlink="">
      <xdr:nvSpPr>
        <xdr:cNvPr id="98321" name="Check Box 17" hidden="1">
          <a:extLst>
            <a:ext uri="{63B3BB69-23CF-44E3-9099-C40C66FF867C}">
              <a14:compatExt xmlns:a14="http://schemas.microsoft.com/office/drawing/2010/main" spid="_x0000_s98321"/>
            </a:ext>
            <a:ext uri="{FF2B5EF4-FFF2-40B4-BE49-F238E27FC236}">
              <a16:creationId xmlns:a16="http://schemas.microsoft.com/office/drawing/2014/main" id="{00000000-0008-0000-2600-00001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24</xdr:row>
      <xdr:rowOff>9525</xdr:rowOff>
    </xdr:from>
    <xdr:to>
      <xdr:col>23</xdr:col>
      <xdr:colOff>371475</xdr:colOff>
      <xdr:row>24</xdr:row>
      <xdr:rowOff>228600</xdr:rowOff>
    </xdr:to>
    <xdr:sp macro="" textlink="">
      <xdr:nvSpPr>
        <xdr:cNvPr id="98322" name="Check Box 18" hidden="1">
          <a:extLst>
            <a:ext uri="{63B3BB69-23CF-44E3-9099-C40C66FF867C}">
              <a14:compatExt xmlns:a14="http://schemas.microsoft.com/office/drawing/2010/main" spid="_x0000_s98322"/>
            </a:ext>
            <a:ext uri="{FF2B5EF4-FFF2-40B4-BE49-F238E27FC236}">
              <a16:creationId xmlns:a16="http://schemas.microsoft.com/office/drawing/2014/main" id="{00000000-0008-0000-2600-00001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26</xdr:row>
      <xdr:rowOff>19050</xdr:rowOff>
    </xdr:from>
    <xdr:to>
      <xdr:col>23</xdr:col>
      <xdr:colOff>371475</xdr:colOff>
      <xdr:row>26</xdr:row>
      <xdr:rowOff>238125</xdr:rowOff>
    </xdr:to>
    <xdr:sp macro="" textlink="">
      <xdr:nvSpPr>
        <xdr:cNvPr id="98323" name="Check Box 19" hidden="1">
          <a:extLst>
            <a:ext uri="{63B3BB69-23CF-44E3-9099-C40C66FF867C}">
              <a14:compatExt xmlns:a14="http://schemas.microsoft.com/office/drawing/2010/main" spid="_x0000_s98323"/>
            </a:ext>
            <a:ext uri="{FF2B5EF4-FFF2-40B4-BE49-F238E27FC236}">
              <a16:creationId xmlns:a16="http://schemas.microsoft.com/office/drawing/2014/main" id="{00000000-0008-0000-2600-000013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27</xdr:row>
      <xdr:rowOff>19050</xdr:rowOff>
    </xdr:from>
    <xdr:to>
      <xdr:col>23</xdr:col>
      <xdr:colOff>371475</xdr:colOff>
      <xdr:row>27</xdr:row>
      <xdr:rowOff>238125</xdr:rowOff>
    </xdr:to>
    <xdr:sp macro="" textlink="">
      <xdr:nvSpPr>
        <xdr:cNvPr id="98324" name="Check Box 20" hidden="1">
          <a:extLst>
            <a:ext uri="{63B3BB69-23CF-44E3-9099-C40C66FF867C}">
              <a14:compatExt xmlns:a14="http://schemas.microsoft.com/office/drawing/2010/main" spid="_x0000_s98324"/>
            </a:ext>
            <a:ext uri="{FF2B5EF4-FFF2-40B4-BE49-F238E27FC236}">
              <a16:creationId xmlns:a16="http://schemas.microsoft.com/office/drawing/2014/main" id="{00000000-0008-0000-2600-000014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29</xdr:row>
      <xdr:rowOff>19050</xdr:rowOff>
    </xdr:from>
    <xdr:to>
      <xdr:col>23</xdr:col>
      <xdr:colOff>371475</xdr:colOff>
      <xdr:row>29</xdr:row>
      <xdr:rowOff>238125</xdr:rowOff>
    </xdr:to>
    <xdr:sp macro="" textlink="">
      <xdr:nvSpPr>
        <xdr:cNvPr id="98325" name="Check Box 21" hidden="1">
          <a:extLst>
            <a:ext uri="{63B3BB69-23CF-44E3-9099-C40C66FF867C}">
              <a14:compatExt xmlns:a14="http://schemas.microsoft.com/office/drawing/2010/main" spid="_x0000_s98325"/>
            </a:ext>
            <a:ext uri="{FF2B5EF4-FFF2-40B4-BE49-F238E27FC236}">
              <a16:creationId xmlns:a16="http://schemas.microsoft.com/office/drawing/2014/main" id="{00000000-0008-0000-2600-000015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28</xdr:row>
      <xdr:rowOff>19050</xdr:rowOff>
    </xdr:from>
    <xdr:to>
      <xdr:col>23</xdr:col>
      <xdr:colOff>371475</xdr:colOff>
      <xdr:row>28</xdr:row>
      <xdr:rowOff>238125</xdr:rowOff>
    </xdr:to>
    <xdr:sp macro="" textlink="">
      <xdr:nvSpPr>
        <xdr:cNvPr id="98326" name="Check Box 22" hidden="1">
          <a:extLst>
            <a:ext uri="{63B3BB69-23CF-44E3-9099-C40C66FF867C}">
              <a14:compatExt xmlns:a14="http://schemas.microsoft.com/office/drawing/2010/main" spid="_x0000_s98326"/>
            </a:ext>
            <a:ext uri="{FF2B5EF4-FFF2-40B4-BE49-F238E27FC236}">
              <a16:creationId xmlns:a16="http://schemas.microsoft.com/office/drawing/2014/main" id="{00000000-0008-0000-2600-000016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30</xdr:row>
      <xdr:rowOff>19050</xdr:rowOff>
    </xdr:from>
    <xdr:to>
      <xdr:col>23</xdr:col>
      <xdr:colOff>371475</xdr:colOff>
      <xdr:row>30</xdr:row>
      <xdr:rowOff>238125</xdr:rowOff>
    </xdr:to>
    <xdr:sp macro="" textlink="">
      <xdr:nvSpPr>
        <xdr:cNvPr id="98327" name="Check Box 23" hidden="1">
          <a:extLst>
            <a:ext uri="{63B3BB69-23CF-44E3-9099-C40C66FF867C}">
              <a14:compatExt xmlns:a14="http://schemas.microsoft.com/office/drawing/2010/main" spid="_x0000_s98327"/>
            </a:ext>
            <a:ext uri="{FF2B5EF4-FFF2-40B4-BE49-F238E27FC236}">
              <a16:creationId xmlns:a16="http://schemas.microsoft.com/office/drawing/2014/main" id="{00000000-0008-0000-2600-000017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31</xdr:row>
      <xdr:rowOff>19050</xdr:rowOff>
    </xdr:from>
    <xdr:to>
      <xdr:col>23</xdr:col>
      <xdr:colOff>371475</xdr:colOff>
      <xdr:row>31</xdr:row>
      <xdr:rowOff>238125</xdr:rowOff>
    </xdr:to>
    <xdr:sp macro="" textlink="">
      <xdr:nvSpPr>
        <xdr:cNvPr id="98328" name="Check Box 24" hidden="1">
          <a:extLst>
            <a:ext uri="{63B3BB69-23CF-44E3-9099-C40C66FF867C}">
              <a14:compatExt xmlns:a14="http://schemas.microsoft.com/office/drawing/2010/main" spid="_x0000_s98328"/>
            </a:ext>
            <a:ext uri="{FF2B5EF4-FFF2-40B4-BE49-F238E27FC236}">
              <a16:creationId xmlns:a16="http://schemas.microsoft.com/office/drawing/2014/main" id="{00000000-0008-0000-2600-000018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33</xdr:row>
      <xdr:rowOff>9525</xdr:rowOff>
    </xdr:from>
    <xdr:to>
      <xdr:col>23</xdr:col>
      <xdr:colOff>371475</xdr:colOff>
      <xdr:row>33</xdr:row>
      <xdr:rowOff>228600</xdr:rowOff>
    </xdr:to>
    <xdr:sp macro="" textlink="">
      <xdr:nvSpPr>
        <xdr:cNvPr id="98329" name="Check Box 25" hidden="1">
          <a:extLst>
            <a:ext uri="{63B3BB69-23CF-44E3-9099-C40C66FF867C}">
              <a14:compatExt xmlns:a14="http://schemas.microsoft.com/office/drawing/2010/main" spid="_x0000_s98329"/>
            </a:ext>
            <a:ext uri="{FF2B5EF4-FFF2-40B4-BE49-F238E27FC236}">
              <a16:creationId xmlns:a16="http://schemas.microsoft.com/office/drawing/2014/main" id="{00000000-0008-0000-2600-000019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32</xdr:row>
      <xdr:rowOff>9525</xdr:rowOff>
    </xdr:from>
    <xdr:to>
      <xdr:col>23</xdr:col>
      <xdr:colOff>371475</xdr:colOff>
      <xdr:row>32</xdr:row>
      <xdr:rowOff>228600</xdr:rowOff>
    </xdr:to>
    <xdr:sp macro="" textlink="">
      <xdr:nvSpPr>
        <xdr:cNvPr id="98330" name="Check Box 26" hidden="1">
          <a:extLst>
            <a:ext uri="{63B3BB69-23CF-44E3-9099-C40C66FF867C}">
              <a14:compatExt xmlns:a14="http://schemas.microsoft.com/office/drawing/2010/main" spid="_x0000_s98330"/>
            </a:ext>
            <a:ext uri="{FF2B5EF4-FFF2-40B4-BE49-F238E27FC236}">
              <a16:creationId xmlns:a16="http://schemas.microsoft.com/office/drawing/2014/main" id="{00000000-0008-0000-2600-00001A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34</xdr:row>
      <xdr:rowOff>19050</xdr:rowOff>
    </xdr:from>
    <xdr:to>
      <xdr:col>23</xdr:col>
      <xdr:colOff>371475</xdr:colOff>
      <xdr:row>34</xdr:row>
      <xdr:rowOff>238125</xdr:rowOff>
    </xdr:to>
    <xdr:sp macro="" textlink="">
      <xdr:nvSpPr>
        <xdr:cNvPr id="98331" name="Check Box 27" hidden="1">
          <a:extLst>
            <a:ext uri="{63B3BB69-23CF-44E3-9099-C40C66FF867C}">
              <a14:compatExt xmlns:a14="http://schemas.microsoft.com/office/drawing/2010/main" spid="_x0000_s98331"/>
            </a:ext>
            <a:ext uri="{FF2B5EF4-FFF2-40B4-BE49-F238E27FC236}">
              <a16:creationId xmlns:a16="http://schemas.microsoft.com/office/drawing/2014/main" id="{00000000-0008-0000-2600-00001B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35</xdr:row>
      <xdr:rowOff>19050</xdr:rowOff>
    </xdr:from>
    <xdr:to>
      <xdr:col>23</xdr:col>
      <xdr:colOff>371475</xdr:colOff>
      <xdr:row>35</xdr:row>
      <xdr:rowOff>238125</xdr:rowOff>
    </xdr:to>
    <xdr:sp macro="" textlink="">
      <xdr:nvSpPr>
        <xdr:cNvPr id="98332" name="Check Box 28" hidden="1">
          <a:extLst>
            <a:ext uri="{63B3BB69-23CF-44E3-9099-C40C66FF867C}">
              <a14:compatExt xmlns:a14="http://schemas.microsoft.com/office/drawing/2010/main" spid="_x0000_s98332"/>
            </a:ext>
            <a:ext uri="{FF2B5EF4-FFF2-40B4-BE49-F238E27FC236}">
              <a16:creationId xmlns:a16="http://schemas.microsoft.com/office/drawing/2014/main" id="{00000000-0008-0000-2600-00001C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37</xdr:row>
      <xdr:rowOff>19050</xdr:rowOff>
    </xdr:from>
    <xdr:to>
      <xdr:col>23</xdr:col>
      <xdr:colOff>371475</xdr:colOff>
      <xdr:row>37</xdr:row>
      <xdr:rowOff>238125</xdr:rowOff>
    </xdr:to>
    <xdr:sp macro="" textlink="">
      <xdr:nvSpPr>
        <xdr:cNvPr id="98333" name="Check Box 29" hidden="1">
          <a:extLst>
            <a:ext uri="{63B3BB69-23CF-44E3-9099-C40C66FF867C}">
              <a14:compatExt xmlns:a14="http://schemas.microsoft.com/office/drawing/2010/main" spid="_x0000_s98333"/>
            </a:ext>
            <a:ext uri="{FF2B5EF4-FFF2-40B4-BE49-F238E27FC236}">
              <a16:creationId xmlns:a16="http://schemas.microsoft.com/office/drawing/2014/main" id="{00000000-0008-0000-2600-00001D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36</xdr:row>
      <xdr:rowOff>19050</xdr:rowOff>
    </xdr:from>
    <xdr:to>
      <xdr:col>23</xdr:col>
      <xdr:colOff>371475</xdr:colOff>
      <xdr:row>36</xdr:row>
      <xdr:rowOff>238125</xdr:rowOff>
    </xdr:to>
    <xdr:sp macro="" textlink="">
      <xdr:nvSpPr>
        <xdr:cNvPr id="98334" name="Check Box 30" hidden="1">
          <a:extLst>
            <a:ext uri="{63B3BB69-23CF-44E3-9099-C40C66FF867C}">
              <a14:compatExt xmlns:a14="http://schemas.microsoft.com/office/drawing/2010/main" spid="_x0000_s98334"/>
            </a:ext>
            <a:ext uri="{FF2B5EF4-FFF2-40B4-BE49-F238E27FC236}">
              <a16:creationId xmlns:a16="http://schemas.microsoft.com/office/drawing/2014/main" id="{00000000-0008-0000-2600-00001E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38</xdr:row>
      <xdr:rowOff>19050</xdr:rowOff>
    </xdr:from>
    <xdr:to>
      <xdr:col>23</xdr:col>
      <xdr:colOff>371475</xdr:colOff>
      <xdr:row>38</xdr:row>
      <xdr:rowOff>238125</xdr:rowOff>
    </xdr:to>
    <xdr:sp macro="" textlink="">
      <xdr:nvSpPr>
        <xdr:cNvPr id="98335" name="Check Box 31" hidden="1">
          <a:extLst>
            <a:ext uri="{63B3BB69-23CF-44E3-9099-C40C66FF867C}">
              <a14:compatExt xmlns:a14="http://schemas.microsoft.com/office/drawing/2010/main" spid="_x0000_s98335"/>
            </a:ext>
            <a:ext uri="{FF2B5EF4-FFF2-40B4-BE49-F238E27FC236}">
              <a16:creationId xmlns:a16="http://schemas.microsoft.com/office/drawing/2014/main" id="{00000000-0008-0000-2600-00001F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39</xdr:row>
      <xdr:rowOff>19050</xdr:rowOff>
    </xdr:from>
    <xdr:to>
      <xdr:col>23</xdr:col>
      <xdr:colOff>371475</xdr:colOff>
      <xdr:row>39</xdr:row>
      <xdr:rowOff>238125</xdr:rowOff>
    </xdr:to>
    <xdr:sp macro="" textlink="">
      <xdr:nvSpPr>
        <xdr:cNvPr id="98336" name="Check Box 32" hidden="1">
          <a:extLst>
            <a:ext uri="{63B3BB69-23CF-44E3-9099-C40C66FF867C}">
              <a14:compatExt xmlns:a14="http://schemas.microsoft.com/office/drawing/2010/main" spid="_x0000_s98336"/>
            </a:ext>
            <a:ext uri="{FF2B5EF4-FFF2-40B4-BE49-F238E27FC236}">
              <a16:creationId xmlns:a16="http://schemas.microsoft.com/office/drawing/2014/main" id="{00000000-0008-0000-2600-000020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41</xdr:row>
      <xdr:rowOff>9525</xdr:rowOff>
    </xdr:from>
    <xdr:to>
      <xdr:col>23</xdr:col>
      <xdr:colOff>371475</xdr:colOff>
      <xdr:row>41</xdr:row>
      <xdr:rowOff>228600</xdr:rowOff>
    </xdr:to>
    <xdr:sp macro="" textlink="">
      <xdr:nvSpPr>
        <xdr:cNvPr id="98337" name="Check Box 33" hidden="1">
          <a:extLst>
            <a:ext uri="{63B3BB69-23CF-44E3-9099-C40C66FF867C}">
              <a14:compatExt xmlns:a14="http://schemas.microsoft.com/office/drawing/2010/main" spid="_x0000_s98337"/>
            </a:ext>
            <a:ext uri="{FF2B5EF4-FFF2-40B4-BE49-F238E27FC236}">
              <a16:creationId xmlns:a16="http://schemas.microsoft.com/office/drawing/2014/main" id="{00000000-0008-0000-2600-00002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40</xdr:row>
      <xdr:rowOff>9525</xdr:rowOff>
    </xdr:from>
    <xdr:to>
      <xdr:col>23</xdr:col>
      <xdr:colOff>371475</xdr:colOff>
      <xdr:row>40</xdr:row>
      <xdr:rowOff>228600</xdr:rowOff>
    </xdr:to>
    <xdr:sp macro="" textlink="">
      <xdr:nvSpPr>
        <xdr:cNvPr id="98338" name="Check Box 34" hidden="1">
          <a:extLst>
            <a:ext uri="{63B3BB69-23CF-44E3-9099-C40C66FF867C}">
              <a14:compatExt xmlns:a14="http://schemas.microsoft.com/office/drawing/2010/main" spid="_x0000_s98338"/>
            </a:ext>
            <a:ext uri="{FF2B5EF4-FFF2-40B4-BE49-F238E27FC236}">
              <a16:creationId xmlns:a16="http://schemas.microsoft.com/office/drawing/2014/main" id="{00000000-0008-0000-2600-00002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xdr:from>
      <xdr:col>2</xdr:col>
      <xdr:colOff>11203</xdr:colOff>
      <xdr:row>5</xdr:row>
      <xdr:rowOff>717172</xdr:rowOff>
    </xdr:from>
    <xdr:to>
      <xdr:col>2</xdr:col>
      <xdr:colOff>821764</xdr:colOff>
      <xdr:row>5</xdr:row>
      <xdr:rowOff>926353</xdr:rowOff>
    </xdr:to>
    <xdr:sp macro="" textlink="">
      <xdr:nvSpPr>
        <xdr:cNvPr id="37" name="Text Box 9">
          <a:extLst>
            <a:ext uri="{FF2B5EF4-FFF2-40B4-BE49-F238E27FC236}">
              <a16:creationId xmlns:a16="http://schemas.microsoft.com/office/drawing/2014/main" id="{00000000-0008-0000-2600-000025000000}"/>
            </a:ext>
          </a:extLst>
        </xdr:cNvPr>
        <xdr:cNvSpPr txBox="1">
          <a:spLocks noChangeArrowheads="1"/>
        </xdr:cNvSpPr>
      </xdr:nvSpPr>
      <xdr:spPr bwMode="auto">
        <a:xfrm>
          <a:off x="430303" y="1574422"/>
          <a:ext cx="772461" cy="209181"/>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5</xdr:row>
      <xdr:rowOff>952496</xdr:rowOff>
    </xdr:from>
    <xdr:to>
      <xdr:col>3</xdr:col>
      <xdr:colOff>0</xdr:colOff>
      <xdr:row>5</xdr:row>
      <xdr:rowOff>1167088</xdr:rowOff>
    </xdr:to>
    <xdr:sp macro="" textlink="">
      <xdr:nvSpPr>
        <xdr:cNvPr id="38" name="Text Box 9">
          <a:extLst>
            <a:ext uri="{FF2B5EF4-FFF2-40B4-BE49-F238E27FC236}">
              <a16:creationId xmlns:a16="http://schemas.microsoft.com/office/drawing/2014/main" id="{00000000-0008-0000-2600-000026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5</xdr:row>
      <xdr:rowOff>1187820</xdr:rowOff>
    </xdr:from>
    <xdr:to>
      <xdr:col>3</xdr:col>
      <xdr:colOff>0</xdr:colOff>
      <xdr:row>5</xdr:row>
      <xdr:rowOff>1402412</xdr:rowOff>
    </xdr:to>
    <xdr:sp macro="" textlink="">
      <xdr:nvSpPr>
        <xdr:cNvPr id="39" name="Text Box 9">
          <a:extLst>
            <a:ext uri="{FF2B5EF4-FFF2-40B4-BE49-F238E27FC236}">
              <a16:creationId xmlns:a16="http://schemas.microsoft.com/office/drawing/2014/main" id="{00000000-0008-0000-2600-000027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5</xdr:row>
      <xdr:rowOff>11204</xdr:rowOff>
    </xdr:from>
    <xdr:to>
      <xdr:col>3</xdr:col>
      <xdr:colOff>0</xdr:colOff>
      <xdr:row>5</xdr:row>
      <xdr:rowOff>225796</xdr:rowOff>
    </xdr:to>
    <xdr:sp macro="" textlink="">
      <xdr:nvSpPr>
        <xdr:cNvPr id="40" name="Text Box 9">
          <a:extLst>
            <a:ext uri="{FF2B5EF4-FFF2-40B4-BE49-F238E27FC236}">
              <a16:creationId xmlns:a16="http://schemas.microsoft.com/office/drawing/2014/main" id="{00000000-0008-0000-2600-000028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5</xdr:row>
      <xdr:rowOff>246528</xdr:rowOff>
    </xdr:from>
    <xdr:to>
      <xdr:col>3</xdr:col>
      <xdr:colOff>1</xdr:colOff>
      <xdr:row>5</xdr:row>
      <xdr:rowOff>461120</xdr:rowOff>
    </xdr:to>
    <xdr:sp macro="" textlink="">
      <xdr:nvSpPr>
        <xdr:cNvPr id="41" name="Text Box 9">
          <a:extLst>
            <a:ext uri="{FF2B5EF4-FFF2-40B4-BE49-F238E27FC236}">
              <a16:creationId xmlns:a16="http://schemas.microsoft.com/office/drawing/2014/main" id="{00000000-0008-0000-2600-000029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5</xdr:row>
      <xdr:rowOff>481852</xdr:rowOff>
    </xdr:from>
    <xdr:to>
      <xdr:col>3</xdr:col>
      <xdr:colOff>1</xdr:colOff>
      <xdr:row>5</xdr:row>
      <xdr:rowOff>696444</xdr:rowOff>
    </xdr:to>
    <xdr:sp macro="" textlink="">
      <xdr:nvSpPr>
        <xdr:cNvPr id="42" name="Text Box 9">
          <a:extLst>
            <a:ext uri="{FF2B5EF4-FFF2-40B4-BE49-F238E27FC236}">
              <a16:creationId xmlns:a16="http://schemas.microsoft.com/office/drawing/2014/main" id="{00000000-0008-0000-2600-00002A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23</xdr:row>
      <xdr:rowOff>212910</xdr:rowOff>
    </xdr:from>
    <xdr:to>
      <xdr:col>2</xdr:col>
      <xdr:colOff>773206</xdr:colOff>
      <xdr:row>24</xdr:row>
      <xdr:rowOff>180972</xdr:rowOff>
    </xdr:to>
    <xdr:sp macro="" textlink="">
      <xdr:nvSpPr>
        <xdr:cNvPr id="43" name="Text Box 9">
          <a:extLst>
            <a:ext uri="{FF2B5EF4-FFF2-40B4-BE49-F238E27FC236}">
              <a16:creationId xmlns:a16="http://schemas.microsoft.com/office/drawing/2014/main" id="{00000000-0008-0000-2600-00002B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24</xdr:row>
      <xdr:rowOff>201704</xdr:rowOff>
    </xdr:from>
    <xdr:to>
      <xdr:col>2</xdr:col>
      <xdr:colOff>773207</xdr:colOff>
      <xdr:row>25</xdr:row>
      <xdr:rowOff>169767</xdr:rowOff>
    </xdr:to>
    <xdr:sp macro="" textlink="">
      <xdr:nvSpPr>
        <xdr:cNvPr id="44" name="Text Box 9">
          <a:extLst>
            <a:ext uri="{FF2B5EF4-FFF2-40B4-BE49-F238E27FC236}">
              <a16:creationId xmlns:a16="http://schemas.microsoft.com/office/drawing/2014/main" id="{00000000-0008-0000-2600-00002C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25</xdr:row>
      <xdr:rowOff>190499</xdr:rowOff>
    </xdr:from>
    <xdr:to>
      <xdr:col>2</xdr:col>
      <xdr:colOff>773207</xdr:colOff>
      <xdr:row>26</xdr:row>
      <xdr:rowOff>158561</xdr:rowOff>
    </xdr:to>
    <xdr:sp macro="" textlink="">
      <xdr:nvSpPr>
        <xdr:cNvPr id="45" name="Text Box 9">
          <a:extLst>
            <a:ext uri="{FF2B5EF4-FFF2-40B4-BE49-F238E27FC236}">
              <a16:creationId xmlns:a16="http://schemas.microsoft.com/office/drawing/2014/main" id="{00000000-0008-0000-2600-00002D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21</xdr:row>
      <xdr:rowOff>0</xdr:rowOff>
    </xdr:from>
    <xdr:to>
      <xdr:col>2</xdr:col>
      <xdr:colOff>773207</xdr:colOff>
      <xdr:row>21</xdr:row>
      <xdr:rowOff>214592</xdr:rowOff>
    </xdr:to>
    <xdr:sp macro="" textlink="">
      <xdr:nvSpPr>
        <xdr:cNvPr id="46" name="Text Box 9">
          <a:extLst>
            <a:ext uri="{FF2B5EF4-FFF2-40B4-BE49-F238E27FC236}">
              <a16:creationId xmlns:a16="http://schemas.microsoft.com/office/drawing/2014/main" id="{00000000-0008-0000-2600-00002E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21</xdr:row>
      <xdr:rowOff>235324</xdr:rowOff>
    </xdr:from>
    <xdr:to>
      <xdr:col>2</xdr:col>
      <xdr:colOff>773208</xdr:colOff>
      <xdr:row>22</xdr:row>
      <xdr:rowOff>203387</xdr:rowOff>
    </xdr:to>
    <xdr:sp macro="" textlink="">
      <xdr:nvSpPr>
        <xdr:cNvPr id="47" name="Text Box 9">
          <a:extLst>
            <a:ext uri="{FF2B5EF4-FFF2-40B4-BE49-F238E27FC236}">
              <a16:creationId xmlns:a16="http://schemas.microsoft.com/office/drawing/2014/main" id="{00000000-0008-0000-2600-00002F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22</xdr:row>
      <xdr:rowOff>224119</xdr:rowOff>
    </xdr:from>
    <xdr:to>
      <xdr:col>2</xdr:col>
      <xdr:colOff>773208</xdr:colOff>
      <xdr:row>23</xdr:row>
      <xdr:rowOff>192182</xdr:rowOff>
    </xdr:to>
    <xdr:sp macro="" textlink="">
      <xdr:nvSpPr>
        <xdr:cNvPr id="48" name="Text Box 9">
          <a:extLst>
            <a:ext uri="{FF2B5EF4-FFF2-40B4-BE49-F238E27FC236}">
              <a16:creationId xmlns:a16="http://schemas.microsoft.com/office/drawing/2014/main" id="{00000000-0008-0000-2600-000030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37</xdr:col>
      <xdr:colOff>485775</xdr:colOff>
      <xdr:row>4</xdr:row>
      <xdr:rowOff>115421</xdr:rowOff>
    </xdr:from>
    <xdr:to>
      <xdr:col>39</xdr:col>
      <xdr:colOff>173131</xdr:colOff>
      <xdr:row>5</xdr:row>
      <xdr:rowOff>466725</xdr:rowOff>
    </xdr:to>
    <xdr:sp macro="" textlink="">
      <xdr:nvSpPr>
        <xdr:cNvPr id="49" name="AutoShape 48">
          <a:hlinkClick xmlns:r="http://schemas.openxmlformats.org/officeDocument/2006/relationships" r:id="rId1"/>
          <a:extLst>
            <a:ext uri="{FF2B5EF4-FFF2-40B4-BE49-F238E27FC236}">
              <a16:creationId xmlns:a16="http://schemas.microsoft.com/office/drawing/2014/main" id="{00000000-0008-0000-2600-000031000000}"/>
            </a:ext>
          </a:extLst>
        </xdr:cNvPr>
        <xdr:cNvSpPr>
          <a:spLocks noChangeArrowheads="1"/>
        </xdr:cNvSpPr>
      </xdr:nvSpPr>
      <xdr:spPr bwMode="auto">
        <a:xfrm>
          <a:off x="13925550" y="972671"/>
          <a:ext cx="906556"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37</xdr:col>
      <xdr:colOff>485775</xdr:colOff>
      <xdr:row>1</xdr:row>
      <xdr:rowOff>257175</xdr:rowOff>
    </xdr:from>
    <xdr:to>
      <xdr:col>39</xdr:col>
      <xdr:colOff>173131</xdr:colOff>
      <xdr:row>4</xdr:row>
      <xdr:rowOff>33058</xdr:rowOff>
    </xdr:to>
    <xdr:sp macro="" textlink="">
      <xdr:nvSpPr>
        <xdr:cNvPr id="50" name="AutoShape 48">
          <a:hlinkClick xmlns:r="http://schemas.openxmlformats.org/officeDocument/2006/relationships" r:id="rId2"/>
          <a:extLst>
            <a:ext uri="{FF2B5EF4-FFF2-40B4-BE49-F238E27FC236}">
              <a16:creationId xmlns:a16="http://schemas.microsoft.com/office/drawing/2014/main" id="{00000000-0008-0000-2600-000032000000}"/>
            </a:ext>
          </a:extLst>
        </xdr:cNvPr>
        <xdr:cNvSpPr>
          <a:spLocks noChangeArrowheads="1"/>
        </xdr:cNvSpPr>
      </xdr:nvSpPr>
      <xdr:spPr bwMode="auto">
        <a:xfrm>
          <a:off x="13925550" y="638175"/>
          <a:ext cx="906556" cy="499783"/>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editAs="oneCell">
    <xdr:from>
      <xdr:col>23</xdr:col>
      <xdr:colOff>38100</xdr:colOff>
      <xdr:row>6</xdr:row>
      <xdr:rowOff>9525</xdr:rowOff>
    </xdr:from>
    <xdr:to>
      <xdr:col>23</xdr:col>
      <xdr:colOff>371475</xdr:colOff>
      <xdr:row>6</xdr:row>
      <xdr:rowOff>228600</xdr:rowOff>
    </xdr:to>
    <xdr:sp macro="" textlink="">
      <xdr:nvSpPr>
        <xdr:cNvPr id="98339" name="Check Box 35" hidden="1">
          <a:extLst>
            <a:ext uri="{63B3BB69-23CF-44E3-9099-C40C66FF867C}">
              <a14:compatExt xmlns:a14="http://schemas.microsoft.com/office/drawing/2010/main" spid="_x0000_s98339"/>
            </a:ext>
            <a:ext uri="{FF2B5EF4-FFF2-40B4-BE49-F238E27FC236}">
              <a16:creationId xmlns:a16="http://schemas.microsoft.com/office/drawing/2014/main" id="{00000000-0008-0000-2600-000023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7</xdr:row>
      <xdr:rowOff>9525</xdr:rowOff>
    </xdr:from>
    <xdr:to>
      <xdr:col>23</xdr:col>
      <xdr:colOff>371475</xdr:colOff>
      <xdr:row>7</xdr:row>
      <xdr:rowOff>228600</xdr:rowOff>
    </xdr:to>
    <xdr:sp macro="" textlink="">
      <xdr:nvSpPr>
        <xdr:cNvPr id="98340" name="Check Box 36" hidden="1">
          <a:extLst>
            <a:ext uri="{63B3BB69-23CF-44E3-9099-C40C66FF867C}">
              <a14:compatExt xmlns:a14="http://schemas.microsoft.com/office/drawing/2010/main" spid="_x0000_s98340"/>
            </a:ext>
            <a:ext uri="{FF2B5EF4-FFF2-40B4-BE49-F238E27FC236}">
              <a16:creationId xmlns:a16="http://schemas.microsoft.com/office/drawing/2014/main" id="{00000000-0008-0000-2600-000024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53" name="Line 114">
          <a:extLst>
            <a:ext uri="{FF2B5EF4-FFF2-40B4-BE49-F238E27FC236}">
              <a16:creationId xmlns:a16="http://schemas.microsoft.com/office/drawing/2014/main" id="{00000000-0008-0000-2600-000035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38100</xdr:colOff>
          <xdr:row>9</xdr:row>
          <xdr:rowOff>9525</xdr:rowOff>
        </xdr:from>
        <xdr:to>
          <xdr:col>23</xdr:col>
          <xdr:colOff>371475</xdr:colOff>
          <xdr:row>9</xdr:row>
          <xdr:rowOff>228600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26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8</xdr:row>
          <xdr:rowOff>9525</xdr:rowOff>
        </xdr:from>
        <xdr:to>
          <xdr:col>23</xdr:col>
          <xdr:colOff>371475</xdr:colOff>
          <xdr:row>8</xdr:row>
          <xdr:rowOff>228600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26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10</xdr:row>
          <xdr:rowOff>19050</xdr:rowOff>
        </xdr:from>
        <xdr:to>
          <xdr:col>23</xdr:col>
          <xdr:colOff>371475</xdr:colOff>
          <xdr:row>10</xdr:row>
          <xdr:rowOff>238125</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26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11</xdr:row>
          <xdr:rowOff>19050</xdr:rowOff>
        </xdr:from>
        <xdr:to>
          <xdr:col>23</xdr:col>
          <xdr:colOff>371475</xdr:colOff>
          <xdr:row>11</xdr:row>
          <xdr:rowOff>238125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26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13</xdr:row>
          <xdr:rowOff>19050</xdr:rowOff>
        </xdr:from>
        <xdr:to>
          <xdr:col>23</xdr:col>
          <xdr:colOff>371475</xdr:colOff>
          <xdr:row>13</xdr:row>
          <xdr:rowOff>238125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26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12</xdr:row>
          <xdr:rowOff>19050</xdr:rowOff>
        </xdr:from>
        <xdr:to>
          <xdr:col>23</xdr:col>
          <xdr:colOff>371475</xdr:colOff>
          <xdr:row>13</xdr:row>
          <xdr:rowOff>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26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14</xdr:row>
          <xdr:rowOff>19050</xdr:rowOff>
        </xdr:from>
        <xdr:to>
          <xdr:col>23</xdr:col>
          <xdr:colOff>371475</xdr:colOff>
          <xdr:row>14</xdr:row>
          <xdr:rowOff>238125</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2600-00000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15</xdr:row>
          <xdr:rowOff>19050</xdr:rowOff>
        </xdr:from>
        <xdr:to>
          <xdr:col>23</xdr:col>
          <xdr:colOff>371475</xdr:colOff>
          <xdr:row>15</xdr:row>
          <xdr:rowOff>238125</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2600-00000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17</xdr:row>
          <xdr:rowOff>9525</xdr:rowOff>
        </xdr:from>
        <xdr:to>
          <xdr:col>23</xdr:col>
          <xdr:colOff>371475</xdr:colOff>
          <xdr:row>17</xdr:row>
          <xdr:rowOff>228600</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2600-00000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16</xdr:row>
          <xdr:rowOff>9525</xdr:rowOff>
        </xdr:from>
        <xdr:to>
          <xdr:col>23</xdr:col>
          <xdr:colOff>371475</xdr:colOff>
          <xdr:row>16</xdr:row>
          <xdr:rowOff>228600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26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18</xdr:row>
          <xdr:rowOff>19050</xdr:rowOff>
        </xdr:from>
        <xdr:to>
          <xdr:col>23</xdr:col>
          <xdr:colOff>371475</xdr:colOff>
          <xdr:row>18</xdr:row>
          <xdr:rowOff>238125</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26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19</xdr:row>
          <xdr:rowOff>19050</xdr:rowOff>
        </xdr:from>
        <xdr:to>
          <xdr:col>23</xdr:col>
          <xdr:colOff>371475</xdr:colOff>
          <xdr:row>19</xdr:row>
          <xdr:rowOff>238125</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2600-00000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21</xdr:row>
          <xdr:rowOff>19050</xdr:rowOff>
        </xdr:from>
        <xdr:to>
          <xdr:col>23</xdr:col>
          <xdr:colOff>371475</xdr:colOff>
          <xdr:row>21</xdr:row>
          <xdr:rowOff>238125</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2600-00000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20</xdr:row>
          <xdr:rowOff>19050</xdr:rowOff>
        </xdr:from>
        <xdr:to>
          <xdr:col>23</xdr:col>
          <xdr:colOff>371475</xdr:colOff>
          <xdr:row>20</xdr:row>
          <xdr:rowOff>238125</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26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22</xdr:row>
          <xdr:rowOff>19050</xdr:rowOff>
        </xdr:from>
        <xdr:to>
          <xdr:col>23</xdr:col>
          <xdr:colOff>371475</xdr:colOff>
          <xdr:row>22</xdr:row>
          <xdr:rowOff>238125</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26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23</xdr:row>
          <xdr:rowOff>19050</xdr:rowOff>
        </xdr:from>
        <xdr:to>
          <xdr:col>23</xdr:col>
          <xdr:colOff>371475</xdr:colOff>
          <xdr:row>23</xdr:row>
          <xdr:rowOff>238125</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26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25</xdr:row>
          <xdr:rowOff>9525</xdr:rowOff>
        </xdr:from>
        <xdr:to>
          <xdr:col>23</xdr:col>
          <xdr:colOff>371475</xdr:colOff>
          <xdr:row>25</xdr:row>
          <xdr:rowOff>228600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26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24</xdr:row>
          <xdr:rowOff>9525</xdr:rowOff>
        </xdr:from>
        <xdr:to>
          <xdr:col>23</xdr:col>
          <xdr:colOff>371475</xdr:colOff>
          <xdr:row>24</xdr:row>
          <xdr:rowOff>228600</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2600-00001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26</xdr:row>
          <xdr:rowOff>19050</xdr:rowOff>
        </xdr:from>
        <xdr:to>
          <xdr:col>23</xdr:col>
          <xdr:colOff>371475</xdr:colOff>
          <xdr:row>26</xdr:row>
          <xdr:rowOff>238125</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2600-00001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27</xdr:row>
          <xdr:rowOff>19050</xdr:rowOff>
        </xdr:from>
        <xdr:to>
          <xdr:col>23</xdr:col>
          <xdr:colOff>371475</xdr:colOff>
          <xdr:row>27</xdr:row>
          <xdr:rowOff>238125</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2600-00001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29</xdr:row>
          <xdr:rowOff>19050</xdr:rowOff>
        </xdr:from>
        <xdr:to>
          <xdr:col>23</xdr:col>
          <xdr:colOff>371475</xdr:colOff>
          <xdr:row>29</xdr:row>
          <xdr:rowOff>238125</xdr:rowOff>
        </xdr:to>
        <xdr:sp macro="" textlink="">
          <xdr:nvSpPr>
            <xdr:cNvPr id="38933" name="Check Box 21" hidden="1">
              <a:extLst>
                <a:ext uri="{63B3BB69-23CF-44E3-9099-C40C66FF867C}">
                  <a14:compatExt spid="_x0000_s38933"/>
                </a:ext>
                <a:ext uri="{FF2B5EF4-FFF2-40B4-BE49-F238E27FC236}">
                  <a16:creationId xmlns:a16="http://schemas.microsoft.com/office/drawing/2014/main" id="{00000000-0008-0000-26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28</xdr:row>
          <xdr:rowOff>19050</xdr:rowOff>
        </xdr:from>
        <xdr:to>
          <xdr:col>23</xdr:col>
          <xdr:colOff>371475</xdr:colOff>
          <xdr:row>28</xdr:row>
          <xdr:rowOff>238125</xdr:rowOff>
        </xdr:to>
        <xdr:sp macro="" textlink="">
          <xdr:nvSpPr>
            <xdr:cNvPr id="38934" name="Check Box 22" hidden="1">
              <a:extLst>
                <a:ext uri="{63B3BB69-23CF-44E3-9099-C40C66FF867C}">
                  <a14:compatExt spid="_x0000_s38934"/>
                </a:ext>
                <a:ext uri="{FF2B5EF4-FFF2-40B4-BE49-F238E27FC236}">
                  <a16:creationId xmlns:a16="http://schemas.microsoft.com/office/drawing/2014/main" id="{00000000-0008-0000-2600-00001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30</xdr:row>
          <xdr:rowOff>19050</xdr:rowOff>
        </xdr:from>
        <xdr:to>
          <xdr:col>23</xdr:col>
          <xdr:colOff>371475</xdr:colOff>
          <xdr:row>30</xdr:row>
          <xdr:rowOff>238125</xdr:rowOff>
        </xdr:to>
        <xdr:sp macro="" textlink="">
          <xdr:nvSpPr>
            <xdr:cNvPr id="38935" name="Check Box 23" hidden="1">
              <a:extLst>
                <a:ext uri="{63B3BB69-23CF-44E3-9099-C40C66FF867C}">
                  <a14:compatExt spid="_x0000_s38935"/>
                </a:ext>
                <a:ext uri="{FF2B5EF4-FFF2-40B4-BE49-F238E27FC236}">
                  <a16:creationId xmlns:a16="http://schemas.microsoft.com/office/drawing/2014/main" id="{00000000-0008-0000-2600-00001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31</xdr:row>
          <xdr:rowOff>19050</xdr:rowOff>
        </xdr:from>
        <xdr:to>
          <xdr:col>23</xdr:col>
          <xdr:colOff>371475</xdr:colOff>
          <xdr:row>31</xdr:row>
          <xdr:rowOff>238125</xdr:rowOff>
        </xdr:to>
        <xdr:sp macro="" textlink="">
          <xdr:nvSpPr>
            <xdr:cNvPr id="38936" name="Check Box 24" hidden="1">
              <a:extLst>
                <a:ext uri="{63B3BB69-23CF-44E3-9099-C40C66FF867C}">
                  <a14:compatExt spid="_x0000_s38936"/>
                </a:ext>
                <a:ext uri="{FF2B5EF4-FFF2-40B4-BE49-F238E27FC236}">
                  <a16:creationId xmlns:a16="http://schemas.microsoft.com/office/drawing/2014/main" id="{00000000-0008-0000-2600-00001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33</xdr:row>
          <xdr:rowOff>9525</xdr:rowOff>
        </xdr:from>
        <xdr:to>
          <xdr:col>23</xdr:col>
          <xdr:colOff>371475</xdr:colOff>
          <xdr:row>33</xdr:row>
          <xdr:rowOff>228600</xdr:rowOff>
        </xdr:to>
        <xdr:sp macro="" textlink="">
          <xdr:nvSpPr>
            <xdr:cNvPr id="38937" name="Check Box 25" hidden="1">
              <a:extLst>
                <a:ext uri="{63B3BB69-23CF-44E3-9099-C40C66FF867C}">
                  <a14:compatExt spid="_x0000_s38937"/>
                </a:ext>
                <a:ext uri="{FF2B5EF4-FFF2-40B4-BE49-F238E27FC236}">
                  <a16:creationId xmlns:a16="http://schemas.microsoft.com/office/drawing/2014/main" id="{00000000-0008-0000-2600-00001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32</xdr:row>
          <xdr:rowOff>9525</xdr:rowOff>
        </xdr:from>
        <xdr:to>
          <xdr:col>23</xdr:col>
          <xdr:colOff>371475</xdr:colOff>
          <xdr:row>32</xdr:row>
          <xdr:rowOff>228600</xdr:rowOff>
        </xdr:to>
        <xdr:sp macro="" textlink="">
          <xdr:nvSpPr>
            <xdr:cNvPr id="38938" name="Check Box 26" hidden="1">
              <a:extLst>
                <a:ext uri="{63B3BB69-23CF-44E3-9099-C40C66FF867C}">
                  <a14:compatExt spid="_x0000_s38938"/>
                </a:ext>
                <a:ext uri="{FF2B5EF4-FFF2-40B4-BE49-F238E27FC236}">
                  <a16:creationId xmlns:a16="http://schemas.microsoft.com/office/drawing/2014/main" id="{00000000-0008-0000-2600-00001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34</xdr:row>
          <xdr:rowOff>19050</xdr:rowOff>
        </xdr:from>
        <xdr:to>
          <xdr:col>23</xdr:col>
          <xdr:colOff>371475</xdr:colOff>
          <xdr:row>34</xdr:row>
          <xdr:rowOff>238125</xdr:rowOff>
        </xdr:to>
        <xdr:sp macro="" textlink="">
          <xdr:nvSpPr>
            <xdr:cNvPr id="38939" name="Check Box 27" hidden="1">
              <a:extLst>
                <a:ext uri="{63B3BB69-23CF-44E3-9099-C40C66FF867C}">
                  <a14:compatExt spid="_x0000_s38939"/>
                </a:ext>
                <a:ext uri="{FF2B5EF4-FFF2-40B4-BE49-F238E27FC236}">
                  <a16:creationId xmlns:a16="http://schemas.microsoft.com/office/drawing/2014/main" id="{00000000-0008-0000-2600-00001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35</xdr:row>
          <xdr:rowOff>19050</xdr:rowOff>
        </xdr:from>
        <xdr:to>
          <xdr:col>23</xdr:col>
          <xdr:colOff>371475</xdr:colOff>
          <xdr:row>35</xdr:row>
          <xdr:rowOff>238125</xdr:rowOff>
        </xdr:to>
        <xdr:sp macro="" textlink="">
          <xdr:nvSpPr>
            <xdr:cNvPr id="38940" name="Check Box 28" hidden="1">
              <a:extLst>
                <a:ext uri="{63B3BB69-23CF-44E3-9099-C40C66FF867C}">
                  <a14:compatExt spid="_x0000_s38940"/>
                </a:ext>
                <a:ext uri="{FF2B5EF4-FFF2-40B4-BE49-F238E27FC236}">
                  <a16:creationId xmlns:a16="http://schemas.microsoft.com/office/drawing/2014/main" id="{00000000-0008-0000-2600-00001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37</xdr:row>
          <xdr:rowOff>19050</xdr:rowOff>
        </xdr:from>
        <xdr:to>
          <xdr:col>23</xdr:col>
          <xdr:colOff>371475</xdr:colOff>
          <xdr:row>37</xdr:row>
          <xdr:rowOff>238125</xdr:rowOff>
        </xdr:to>
        <xdr:sp macro="" textlink="">
          <xdr:nvSpPr>
            <xdr:cNvPr id="38941" name="Check Box 29" hidden="1">
              <a:extLst>
                <a:ext uri="{63B3BB69-23CF-44E3-9099-C40C66FF867C}">
                  <a14:compatExt spid="_x0000_s38941"/>
                </a:ext>
                <a:ext uri="{FF2B5EF4-FFF2-40B4-BE49-F238E27FC236}">
                  <a16:creationId xmlns:a16="http://schemas.microsoft.com/office/drawing/2014/main" id="{00000000-0008-0000-2600-00001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36</xdr:row>
          <xdr:rowOff>19050</xdr:rowOff>
        </xdr:from>
        <xdr:to>
          <xdr:col>23</xdr:col>
          <xdr:colOff>371475</xdr:colOff>
          <xdr:row>36</xdr:row>
          <xdr:rowOff>238125</xdr:rowOff>
        </xdr:to>
        <xdr:sp macro="" textlink="">
          <xdr:nvSpPr>
            <xdr:cNvPr id="38942" name="Check Box 30" hidden="1">
              <a:extLst>
                <a:ext uri="{63B3BB69-23CF-44E3-9099-C40C66FF867C}">
                  <a14:compatExt spid="_x0000_s38942"/>
                </a:ext>
                <a:ext uri="{FF2B5EF4-FFF2-40B4-BE49-F238E27FC236}">
                  <a16:creationId xmlns:a16="http://schemas.microsoft.com/office/drawing/2014/main" id="{00000000-0008-0000-2600-00001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38</xdr:row>
          <xdr:rowOff>19050</xdr:rowOff>
        </xdr:from>
        <xdr:to>
          <xdr:col>23</xdr:col>
          <xdr:colOff>371475</xdr:colOff>
          <xdr:row>38</xdr:row>
          <xdr:rowOff>238125</xdr:rowOff>
        </xdr:to>
        <xdr:sp macro="" textlink="">
          <xdr:nvSpPr>
            <xdr:cNvPr id="38943" name="Check Box 31" hidden="1">
              <a:extLst>
                <a:ext uri="{63B3BB69-23CF-44E3-9099-C40C66FF867C}">
                  <a14:compatExt spid="_x0000_s38943"/>
                </a:ext>
                <a:ext uri="{FF2B5EF4-FFF2-40B4-BE49-F238E27FC236}">
                  <a16:creationId xmlns:a16="http://schemas.microsoft.com/office/drawing/2014/main" id="{00000000-0008-0000-2600-00001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39</xdr:row>
          <xdr:rowOff>19050</xdr:rowOff>
        </xdr:from>
        <xdr:to>
          <xdr:col>23</xdr:col>
          <xdr:colOff>371475</xdr:colOff>
          <xdr:row>39</xdr:row>
          <xdr:rowOff>238125</xdr:rowOff>
        </xdr:to>
        <xdr:sp macro="" textlink="">
          <xdr:nvSpPr>
            <xdr:cNvPr id="38944" name="Check Box 32" hidden="1">
              <a:extLst>
                <a:ext uri="{63B3BB69-23CF-44E3-9099-C40C66FF867C}">
                  <a14:compatExt spid="_x0000_s38944"/>
                </a:ext>
                <a:ext uri="{FF2B5EF4-FFF2-40B4-BE49-F238E27FC236}">
                  <a16:creationId xmlns:a16="http://schemas.microsoft.com/office/drawing/2014/main" id="{00000000-0008-0000-2600-00002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41</xdr:row>
          <xdr:rowOff>9525</xdr:rowOff>
        </xdr:from>
        <xdr:to>
          <xdr:col>23</xdr:col>
          <xdr:colOff>371475</xdr:colOff>
          <xdr:row>41</xdr:row>
          <xdr:rowOff>228600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26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40</xdr:row>
          <xdr:rowOff>9525</xdr:rowOff>
        </xdr:from>
        <xdr:to>
          <xdr:col>23</xdr:col>
          <xdr:colOff>371475</xdr:colOff>
          <xdr:row>40</xdr:row>
          <xdr:rowOff>228600</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2600-00002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6</xdr:row>
          <xdr:rowOff>9525</xdr:rowOff>
        </xdr:from>
        <xdr:to>
          <xdr:col>23</xdr:col>
          <xdr:colOff>371475</xdr:colOff>
          <xdr:row>6</xdr:row>
          <xdr:rowOff>228600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2600-00002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7</xdr:row>
          <xdr:rowOff>9525</xdr:rowOff>
        </xdr:from>
        <xdr:to>
          <xdr:col>23</xdr:col>
          <xdr:colOff>371475</xdr:colOff>
          <xdr:row>7</xdr:row>
          <xdr:rowOff>228600</xdr:rowOff>
        </xdr:to>
        <xdr:sp macro="" textlink="">
          <xdr:nvSpPr>
            <xdr:cNvPr id="38948" name="Check Box 36" hidden="1">
              <a:extLst>
                <a:ext uri="{63B3BB69-23CF-44E3-9099-C40C66FF867C}">
                  <a14:compatExt spid="_x0000_s38948"/>
                </a:ext>
                <a:ext uri="{FF2B5EF4-FFF2-40B4-BE49-F238E27FC236}">
                  <a16:creationId xmlns:a16="http://schemas.microsoft.com/office/drawing/2014/main" id="{00000000-0008-0000-2600-00002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2</xdr:col>
      <xdr:colOff>385483</xdr:colOff>
      <xdr:row>2</xdr:row>
      <xdr:rowOff>158003</xdr:rowOff>
    </xdr:from>
    <xdr:to>
      <xdr:col>2</xdr:col>
      <xdr:colOff>1280833</xdr:colOff>
      <xdr:row>2</xdr:row>
      <xdr:rowOff>691403</xdr:rowOff>
    </xdr:to>
    <xdr:sp macro="" textlink="">
      <xdr:nvSpPr>
        <xdr:cNvPr id="3" name="AutoShape 50">
          <a:hlinkClick xmlns:r="http://schemas.openxmlformats.org/officeDocument/2006/relationships" r:id="rId1"/>
          <a:extLst>
            <a:ext uri="{FF2B5EF4-FFF2-40B4-BE49-F238E27FC236}">
              <a16:creationId xmlns:a16="http://schemas.microsoft.com/office/drawing/2014/main" id="{00000000-0008-0000-2700-000003000000}"/>
            </a:ext>
          </a:extLst>
        </xdr:cNvPr>
        <xdr:cNvSpPr>
          <a:spLocks noChangeArrowheads="1"/>
        </xdr:cNvSpPr>
      </xdr:nvSpPr>
      <xdr:spPr bwMode="auto">
        <a:xfrm>
          <a:off x="871258" y="767603"/>
          <a:ext cx="895350" cy="53340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950" b="0" i="0" u="none" strike="noStrike" baseline="0">
              <a:solidFill>
                <a:srgbClr val="000000"/>
              </a:solidFill>
              <a:latin typeface="Arial"/>
              <a:cs typeface="Arial"/>
            </a:rPr>
            <a:t>beginblad </a:t>
          </a:r>
          <a:endParaRPr lang="nl-NL"/>
        </a:p>
      </xdr:txBody>
    </xdr:sp>
    <xdr:clientData fPrintsWithSheet="0"/>
  </xdr:twoCellAnchor>
  <xdr:twoCellAnchor>
    <xdr:from>
      <xdr:col>2</xdr:col>
      <xdr:colOff>375959</xdr:colOff>
      <xdr:row>2</xdr:row>
      <xdr:rowOff>783294</xdr:rowOff>
    </xdr:from>
    <xdr:to>
      <xdr:col>2</xdr:col>
      <xdr:colOff>1283636</xdr:colOff>
      <xdr:row>2</xdr:row>
      <xdr:rowOff>1306048</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2700-000004000000}"/>
            </a:ext>
          </a:extLst>
        </xdr:cNvPr>
        <xdr:cNvSpPr>
          <a:spLocks noChangeArrowheads="1"/>
        </xdr:cNvSpPr>
      </xdr:nvSpPr>
      <xdr:spPr bwMode="auto">
        <a:xfrm>
          <a:off x="861734" y="1392894"/>
          <a:ext cx="907677"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fPrintsWithSheet="0"/>
  </xdr:twoCellAnchor>
  <xdr:twoCellAnchor>
    <xdr:from>
      <xdr:col>36</xdr:col>
      <xdr:colOff>226281</xdr:colOff>
      <xdr:row>2</xdr:row>
      <xdr:rowOff>20731</xdr:rowOff>
    </xdr:from>
    <xdr:to>
      <xdr:col>44</xdr:col>
      <xdr:colOff>636416</xdr:colOff>
      <xdr:row>38</xdr:row>
      <xdr:rowOff>155202</xdr:rowOff>
    </xdr:to>
    <xdr:graphicFrame macro="">
      <xdr:nvGraphicFramePr>
        <xdr:cNvPr id="5" name="Grafiek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33</xdr:col>
      <xdr:colOff>38100</xdr:colOff>
      <xdr:row>6</xdr:row>
      <xdr:rowOff>9525</xdr:rowOff>
    </xdr:from>
    <xdr:to>
      <xdr:col>33</xdr:col>
      <xdr:colOff>371475</xdr:colOff>
      <xdr:row>6</xdr:row>
      <xdr:rowOff>228600</xdr:rowOff>
    </xdr:to>
    <xdr:sp macro="" textlink="">
      <xdr:nvSpPr>
        <xdr:cNvPr id="99329" name="Check Box 1" hidden="1">
          <a:extLst>
            <a:ext uri="{63B3BB69-23CF-44E3-9099-C40C66FF867C}">
              <a14:compatExt xmlns:a14="http://schemas.microsoft.com/office/drawing/2010/main" spid="_x0000_s99329"/>
            </a:ext>
            <a:ext uri="{FF2B5EF4-FFF2-40B4-BE49-F238E27FC236}">
              <a16:creationId xmlns:a16="http://schemas.microsoft.com/office/drawing/2014/main" id="{00000000-0008-0000-2700-000001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5</xdr:row>
      <xdr:rowOff>9525</xdr:rowOff>
    </xdr:from>
    <xdr:to>
      <xdr:col>33</xdr:col>
      <xdr:colOff>371475</xdr:colOff>
      <xdr:row>5</xdr:row>
      <xdr:rowOff>228600</xdr:rowOff>
    </xdr:to>
    <xdr:sp macro="" textlink="">
      <xdr:nvSpPr>
        <xdr:cNvPr id="99330" name="Check Box 2" hidden="1">
          <a:extLst>
            <a:ext uri="{63B3BB69-23CF-44E3-9099-C40C66FF867C}">
              <a14:compatExt xmlns:a14="http://schemas.microsoft.com/office/drawing/2010/main" spid="_x0000_s99330"/>
            </a:ext>
            <a:ext uri="{FF2B5EF4-FFF2-40B4-BE49-F238E27FC236}">
              <a16:creationId xmlns:a16="http://schemas.microsoft.com/office/drawing/2014/main" id="{00000000-0008-0000-2700-000002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7</xdr:row>
      <xdr:rowOff>19050</xdr:rowOff>
    </xdr:from>
    <xdr:to>
      <xdr:col>33</xdr:col>
      <xdr:colOff>371475</xdr:colOff>
      <xdr:row>7</xdr:row>
      <xdr:rowOff>238125</xdr:rowOff>
    </xdr:to>
    <xdr:sp macro="" textlink="">
      <xdr:nvSpPr>
        <xdr:cNvPr id="99331" name="Check Box 3" hidden="1">
          <a:extLst>
            <a:ext uri="{63B3BB69-23CF-44E3-9099-C40C66FF867C}">
              <a14:compatExt xmlns:a14="http://schemas.microsoft.com/office/drawing/2010/main" spid="_x0000_s99331"/>
            </a:ext>
            <a:ext uri="{FF2B5EF4-FFF2-40B4-BE49-F238E27FC236}">
              <a16:creationId xmlns:a16="http://schemas.microsoft.com/office/drawing/2014/main" id="{00000000-0008-0000-2700-000003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8</xdr:row>
      <xdr:rowOff>19050</xdr:rowOff>
    </xdr:from>
    <xdr:to>
      <xdr:col>33</xdr:col>
      <xdr:colOff>371475</xdr:colOff>
      <xdr:row>8</xdr:row>
      <xdr:rowOff>238125</xdr:rowOff>
    </xdr:to>
    <xdr:sp macro="" textlink="">
      <xdr:nvSpPr>
        <xdr:cNvPr id="99332" name="Check Box 4" hidden="1">
          <a:extLst>
            <a:ext uri="{63B3BB69-23CF-44E3-9099-C40C66FF867C}">
              <a14:compatExt xmlns:a14="http://schemas.microsoft.com/office/drawing/2010/main" spid="_x0000_s99332"/>
            </a:ext>
            <a:ext uri="{FF2B5EF4-FFF2-40B4-BE49-F238E27FC236}">
              <a16:creationId xmlns:a16="http://schemas.microsoft.com/office/drawing/2014/main" id="{00000000-0008-0000-2700-000004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10</xdr:row>
      <xdr:rowOff>19050</xdr:rowOff>
    </xdr:from>
    <xdr:to>
      <xdr:col>33</xdr:col>
      <xdr:colOff>371475</xdr:colOff>
      <xdr:row>10</xdr:row>
      <xdr:rowOff>238125</xdr:rowOff>
    </xdr:to>
    <xdr:sp macro="" textlink="">
      <xdr:nvSpPr>
        <xdr:cNvPr id="99333" name="Check Box 5" hidden="1">
          <a:extLst>
            <a:ext uri="{63B3BB69-23CF-44E3-9099-C40C66FF867C}">
              <a14:compatExt xmlns:a14="http://schemas.microsoft.com/office/drawing/2010/main" spid="_x0000_s99333"/>
            </a:ext>
            <a:ext uri="{FF2B5EF4-FFF2-40B4-BE49-F238E27FC236}">
              <a16:creationId xmlns:a16="http://schemas.microsoft.com/office/drawing/2014/main" id="{00000000-0008-0000-2700-000005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9</xdr:row>
      <xdr:rowOff>19050</xdr:rowOff>
    </xdr:from>
    <xdr:to>
      <xdr:col>33</xdr:col>
      <xdr:colOff>371475</xdr:colOff>
      <xdr:row>10</xdr:row>
      <xdr:rowOff>0</xdr:rowOff>
    </xdr:to>
    <xdr:sp macro="" textlink="">
      <xdr:nvSpPr>
        <xdr:cNvPr id="99334" name="Check Box 6" hidden="1">
          <a:extLst>
            <a:ext uri="{63B3BB69-23CF-44E3-9099-C40C66FF867C}">
              <a14:compatExt xmlns:a14="http://schemas.microsoft.com/office/drawing/2010/main" spid="_x0000_s99334"/>
            </a:ext>
            <a:ext uri="{FF2B5EF4-FFF2-40B4-BE49-F238E27FC236}">
              <a16:creationId xmlns:a16="http://schemas.microsoft.com/office/drawing/2014/main" id="{00000000-0008-0000-2700-000006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11</xdr:row>
      <xdr:rowOff>19050</xdr:rowOff>
    </xdr:from>
    <xdr:to>
      <xdr:col>33</xdr:col>
      <xdr:colOff>371475</xdr:colOff>
      <xdr:row>11</xdr:row>
      <xdr:rowOff>238125</xdr:rowOff>
    </xdr:to>
    <xdr:sp macro="" textlink="">
      <xdr:nvSpPr>
        <xdr:cNvPr id="99335" name="Check Box 7" hidden="1">
          <a:extLst>
            <a:ext uri="{63B3BB69-23CF-44E3-9099-C40C66FF867C}">
              <a14:compatExt xmlns:a14="http://schemas.microsoft.com/office/drawing/2010/main" spid="_x0000_s99335"/>
            </a:ext>
            <a:ext uri="{FF2B5EF4-FFF2-40B4-BE49-F238E27FC236}">
              <a16:creationId xmlns:a16="http://schemas.microsoft.com/office/drawing/2014/main" id="{00000000-0008-0000-2700-000007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12</xdr:row>
      <xdr:rowOff>19050</xdr:rowOff>
    </xdr:from>
    <xdr:to>
      <xdr:col>33</xdr:col>
      <xdr:colOff>371475</xdr:colOff>
      <xdr:row>12</xdr:row>
      <xdr:rowOff>238125</xdr:rowOff>
    </xdr:to>
    <xdr:sp macro="" textlink="">
      <xdr:nvSpPr>
        <xdr:cNvPr id="99336" name="Check Box 8" hidden="1">
          <a:extLst>
            <a:ext uri="{63B3BB69-23CF-44E3-9099-C40C66FF867C}">
              <a14:compatExt xmlns:a14="http://schemas.microsoft.com/office/drawing/2010/main" spid="_x0000_s99336"/>
            </a:ext>
            <a:ext uri="{FF2B5EF4-FFF2-40B4-BE49-F238E27FC236}">
              <a16:creationId xmlns:a16="http://schemas.microsoft.com/office/drawing/2014/main" id="{00000000-0008-0000-2700-000008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14</xdr:row>
      <xdr:rowOff>9525</xdr:rowOff>
    </xdr:from>
    <xdr:to>
      <xdr:col>33</xdr:col>
      <xdr:colOff>371475</xdr:colOff>
      <xdr:row>14</xdr:row>
      <xdr:rowOff>228600</xdr:rowOff>
    </xdr:to>
    <xdr:sp macro="" textlink="">
      <xdr:nvSpPr>
        <xdr:cNvPr id="99337" name="Check Box 9" hidden="1">
          <a:extLst>
            <a:ext uri="{63B3BB69-23CF-44E3-9099-C40C66FF867C}">
              <a14:compatExt xmlns:a14="http://schemas.microsoft.com/office/drawing/2010/main" spid="_x0000_s99337"/>
            </a:ext>
            <a:ext uri="{FF2B5EF4-FFF2-40B4-BE49-F238E27FC236}">
              <a16:creationId xmlns:a16="http://schemas.microsoft.com/office/drawing/2014/main" id="{00000000-0008-0000-2700-000009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13</xdr:row>
      <xdr:rowOff>9525</xdr:rowOff>
    </xdr:from>
    <xdr:to>
      <xdr:col>33</xdr:col>
      <xdr:colOff>371475</xdr:colOff>
      <xdr:row>13</xdr:row>
      <xdr:rowOff>228600</xdr:rowOff>
    </xdr:to>
    <xdr:sp macro="" textlink="">
      <xdr:nvSpPr>
        <xdr:cNvPr id="99338" name="Check Box 10" hidden="1">
          <a:extLst>
            <a:ext uri="{63B3BB69-23CF-44E3-9099-C40C66FF867C}">
              <a14:compatExt xmlns:a14="http://schemas.microsoft.com/office/drawing/2010/main" spid="_x0000_s99338"/>
            </a:ext>
            <a:ext uri="{FF2B5EF4-FFF2-40B4-BE49-F238E27FC236}">
              <a16:creationId xmlns:a16="http://schemas.microsoft.com/office/drawing/2014/main" id="{00000000-0008-0000-2700-00000A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15</xdr:row>
      <xdr:rowOff>19050</xdr:rowOff>
    </xdr:from>
    <xdr:to>
      <xdr:col>33</xdr:col>
      <xdr:colOff>371475</xdr:colOff>
      <xdr:row>15</xdr:row>
      <xdr:rowOff>238125</xdr:rowOff>
    </xdr:to>
    <xdr:sp macro="" textlink="">
      <xdr:nvSpPr>
        <xdr:cNvPr id="99339" name="Check Box 11" hidden="1">
          <a:extLst>
            <a:ext uri="{63B3BB69-23CF-44E3-9099-C40C66FF867C}">
              <a14:compatExt xmlns:a14="http://schemas.microsoft.com/office/drawing/2010/main" spid="_x0000_s99339"/>
            </a:ext>
            <a:ext uri="{FF2B5EF4-FFF2-40B4-BE49-F238E27FC236}">
              <a16:creationId xmlns:a16="http://schemas.microsoft.com/office/drawing/2014/main" id="{00000000-0008-0000-2700-00000B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16</xdr:row>
      <xdr:rowOff>19050</xdr:rowOff>
    </xdr:from>
    <xdr:to>
      <xdr:col>33</xdr:col>
      <xdr:colOff>371475</xdr:colOff>
      <xdr:row>16</xdr:row>
      <xdr:rowOff>238125</xdr:rowOff>
    </xdr:to>
    <xdr:sp macro="" textlink="">
      <xdr:nvSpPr>
        <xdr:cNvPr id="99340" name="Check Box 12" hidden="1">
          <a:extLst>
            <a:ext uri="{63B3BB69-23CF-44E3-9099-C40C66FF867C}">
              <a14:compatExt xmlns:a14="http://schemas.microsoft.com/office/drawing/2010/main" spid="_x0000_s99340"/>
            </a:ext>
            <a:ext uri="{FF2B5EF4-FFF2-40B4-BE49-F238E27FC236}">
              <a16:creationId xmlns:a16="http://schemas.microsoft.com/office/drawing/2014/main" id="{00000000-0008-0000-2700-00000C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18</xdr:row>
      <xdr:rowOff>19050</xdr:rowOff>
    </xdr:from>
    <xdr:to>
      <xdr:col>33</xdr:col>
      <xdr:colOff>371475</xdr:colOff>
      <xdr:row>18</xdr:row>
      <xdr:rowOff>238125</xdr:rowOff>
    </xdr:to>
    <xdr:sp macro="" textlink="">
      <xdr:nvSpPr>
        <xdr:cNvPr id="99341" name="Check Box 13" hidden="1">
          <a:extLst>
            <a:ext uri="{63B3BB69-23CF-44E3-9099-C40C66FF867C}">
              <a14:compatExt xmlns:a14="http://schemas.microsoft.com/office/drawing/2010/main" spid="_x0000_s99341"/>
            </a:ext>
            <a:ext uri="{FF2B5EF4-FFF2-40B4-BE49-F238E27FC236}">
              <a16:creationId xmlns:a16="http://schemas.microsoft.com/office/drawing/2014/main" id="{00000000-0008-0000-2700-00000D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17</xdr:row>
      <xdr:rowOff>19050</xdr:rowOff>
    </xdr:from>
    <xdr:to>
      <xdr:col>33</xdr:col>
      <xdr:colOff>371475</xdr:colOff>
      <xdr:row>17</xdr:row>
      <xdr:rowOff>238125</xdr:rowOff>
    </xdr:to>
    <xdr:sp macro="" textlink="">
      <xdr:nvSpPr>
        <xdr:cNvPr id="99342" name="Check Box 14" hidden="1">
          <a:extLst>
            <a:ext uri="{63B3BB69-23CF-44E3-9099-C40C66FF867C}">
              <a14:compatExt xmlns:a14="http://schemas.microsoft.com/office/drawing/2010/main" spid="_x0000_s99342"/>
            </a:ext>
            <a:ext uri="{FF2B5EF4-FFF2-40B4-BE49-F238E27FC236}">
              <a16:creationId xmlns:a16="http://schemas.microsoft.com/office/drawing/2014/main" id="{00000000-0008-0000-2700-00000E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19</xdr:row>
      <xdr:rowOff>19050</xdr:rowOff>
    </xdr:from>
    <xdr:to>
      <xdr:col>33</xdr:col>
      <xdr:colOff>371475</xdr:colOff>
      <xdr:row>19</xdr:row>
      <xdr:rowOff>238125</xdr:rowOff>
    </xdr:to>
    <xdr:sp macro="" textlink="">
      <xdr:nvSpPr>
        <xdr:cNvPr id="99343" name="Check Box 15" hidden="1">
          <a:extLst>
            <a:ext uri="{63B3BB69-23CF-44E3-9099-C40C66FF867C}">
              <a14:compatExt xmlns:a14="http://schemas.microsoft.com/office/drawing/2010/main" spid="_x0000_s99343"/>
            </a:ext>
            <a:ext uri="{FF2B5EF4-FFF2-40B4-BE49-F238E27FC236}">
              <a16:creationId xmlns:a16="http://schemas.microsoft.com/office/drawing/2014/main" id="{00000000-0008-0000-2700-00000F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20</xdr:row>
      <xdr:rowOff>19050</xdr:rowOff>
    </xdr:from>
    <xdr:to>
      <xdr:col>33</xdr:col>
      <xdr:colOff>371475</xdr:colOff>
      <xdr:row>20</xdr:row>
      <xdr:rowOff>238125</xdr:rowOff>
    </xdr:to>
    <xdr:sp macro="" textlink="">
      <xdr:nvSpPr>
        <xdr:cNvPr id="99344" name="Check Box 16" hidden="1">
          <a:extLst>
            <a:ext uri="{63B3BB69-23CF-44E3-9099-C40C66FF867C}">
              <a14:compatExt xmlns:a14="http://schemas.microsoft.com/office/drawing/2010/main" spid="_x0000_s99344"/>
            </a:ext>
            <a:ext uri="{FF2B5EF4-FFF2-40B4-BE49-F238E27FC236}">
              <a16:creationId xmlns:a16="http://schemas.microsoft.com/office/drawing/2014/main" id="{00000000-0008-0000-2700-000010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22</xdr:row>
      <xdr:rowOff>9525</xdr:rowOff>
    </xdr:from>
    <xdr:to>
      <xdr:col>33</xdr:col>
      <xdr:colOff>371475</xdr:colOff>
      <xdr:row>22</xdr:row>
      <xdr:rowOff>228600</xdr:rowOff>
    </xdr:to>
    <xdr:sp macro="" textlink="">
      <xdr:nvSpPr>
        <xdr:cNvPr id="99345" name="Check Box 17" hidden="1">
          <a:extLst>
            <a:ext uri="{63B3BB69-23CF-44E3-9099-C40C66FF867C}">
              <a14:compatExt xmlns:a14="http://schemas.microsoft.com/office/drawing/2010/main" spid="_x0000_s99345"/>
            </a:ext>
            <a:ext uri="{FF2B5EF4-FFF2-40B4-BE49-F238E27FC236}">
              <a16:creationId xmlns:a16="http://schemas.microsoft.com/office/drawing/2014/main" id="{00000000-0008-0000-2700-000011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21</xdr:row>
      <xdr:rowOff>9525</xdr:rowOff>
    </xdr:from>
    <xdr:to>
      <xdr:col>33</xdr:col>
      <xdr:colOff>371475</xdr:colOff>
      <xdr:row>21</xdr:row>
      <xdr:rowOff>228600</xdr:rowOff>
    </xdr:to>
    <xdr:sp macro="" textlink="">
      <xdr:nvSpPr>
        <xdr:cNvPr id="99346" name="Check Box 18" hidden="1">
          <a:extLst>
            <a:ext uri="{63B3BB69-23CF-44E3-9099-C40C66FF867C}">
              <a14:compatExt xmlns:a14="http://schemas.microsoft.com/office/drawing/2010/main" spid="_x0000_s99346"/>
            </a:ext>
            <a:ext uri="{FF2B5EF4-FFF2-40B4-BE49-F238E27FC236}">
              <a16:creationId xmlns:a16="http://schemas.microsoft.com/office/drawing/2014/main" id="{00000000-0008-0000-2700-000012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23</xdr:row>
      <xdr:rowOff>19050</xdr:rowOff>
    </xdr:from>
    <xdr:to>
      <xdr:col>33</xdr:col>
      <xdr:colOff>371475</xdr:colOff>
      <xdr:row>23</xdr:row>
      <xdr:rowOff>238125</xdr:rowOff>
    </xdr:to>
    <xdr:sp macro="" textlink="">
      <xdr:nvSpPr>
        <xdr:cNvPr id="99347" name="Check Box 19" hidden="1">
          <a:extLst>
            <a:ext uri="{63B3BB69-23CF-44E3-9099-C40C66FF867C}">
              <a14:compatExt xmlns:a14="http://schemas.microsoft.com/office/drawing/2010/main" spid="_x0000_s99347"/>
            </a:ext>
            <a:ext uri="{FF2B5EF4-FFF2-40B4-BE49-F238E27FC236}">
              <a16:creationId xmlns:a16="http://schemas.microsoft.com/office/drawing/2014/main" id="{00000000-0008-0000-2700-000013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24</xdr:row>
      <xdr:rowOff>19050</xdr:rowOff>
    </xdr:from>
    <xdr:to>
      <xdr:col>33</xdr:col>
      <xdr:colOff>371475</xdr:colOff>
      <xdr:row>24</xdr:row>
      <xdr:rowOff>238125</xdr:rowOff>
    </xdr:to>
    <xdr:sp macro="" textlink="">
      <xdr:nvSpPr>
        <xdr:cNvPr id="99348" name="Check Box 20" hidden="1">
          <a:extLst>
            <a:ext uri="{63B3BB69-23CF-44E3-9099-C40C66FF867C}">
              <a14:compatExt xmlns:a14="http://schemas.microsoft.com/office/drawing/2010/main" spid="_x0000_s99348"/>
            </a:ext>
            <a:ext uri="{FF2B5EF4-FFF2-40B4-BE49-F238E27FC236}">
              <a16:creationId xmlns:a16="http://schemas.microsoft.com/office/drawing/2014/main" id="{00000000-0008-0000-2700-000014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26</xdr:row>
      <xdr:rowOff>19050</xdr:rowOff>
    </xdr:from>
    <xdr:to>
      <xdr:col>33</xdr:col>
      <xdr:colOff>371475</xdr:colOff>
      <xdr:row>26</xdr:row>
      <xdr:rowOff>238125</xdr:rowOff>
    </xdr:to>
    <xdr:sp macro="" textlink="">
      <xdr:nvSpPr>
        <xdr:cNvPr id="99349" name="Check Box 21" hidden="1">
          <a:extLst>
            <a:ext uri="{63B3BB69-23CF-44E3-9099-C40C66FF867C}">
              <a14:compatExt xmlns:a14="http://schemas.microsoft.com/office/drawing/2010/main" spid="_x0000_s99349"/>
            </a:ext>
            <a:ext uri="{FF2B5EF4-FFF2-40B4-BE49-F238E27FC236}">
              <a16:creationId xmlns:a16="http://schemas.microsoft.com/office/drawing/2014/main" id="{00000000-0008-0000-2700-000015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25</xdr:row>
      <xdr:rowOff>19050</xdr:rowOff>
    </xdr:from>
    <xdr:to>
      <xdr:col>33</xdr:col>
      <xdr:colOff>371475</xdr:colOff>
      <xdr:row>25</xdr:row>
      <xdr:rowOff>238125</xdr:rowOff>
    </xdr:to>
    <xdr:sp macro="" textlink="">
      <xdr:nvSpPr>
        <xdr:cNvPr id="99350" name="Check Box 22" hidden="1">
          <a:extLst>
            <a:ext uri="{63B3BB69-23CF-44E3-9099-C40C66FF867C}">
              <a14:compatExt xmlns:a14="http://schemas.microsoft.com/office/drawing/2010/main" spid="_x0000_s99350"/>
            </a:ext>
            <a:ext uri="{FF2B5EF4-FFF2-40B4-BE49-F238E27FC236}">
              <a16:creationId xmlns:a16="http://schemas.microsoft.com/office/drawing/2014/main" id="{00000000-0008-0000-2700-000016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27</xdr:row>
      <xdr:rowOff>19050</xdr:rowOff>
    </xdr:from>
    <xdr:to>
      <xdr:col>33</xdr:col>
      <xdr:colOff>371475</xdr:colOff>
      <xdr:row>27</xdr:row>
      <xdr:rowOff>238125</xdr:rowOff>
    </xdr:to>
    <xdr:sp macro="" textlink="">
      <xdr:nvSpPr>
        <xdr:cNvPr id="99351" name="Check Box 23" hidden="1">
          <a:extLst>
            <a:ext uri="{63B3BB69-23CF-44E3-9099-C40C66FF867C}">
              <a14:compatExt xmlns:a14="http://schemas.microsoft.com/office/drawing/2010/main" spid="_x0000_s99351"/>
            </a:ext>
            <a:ext uri="{FF2B5EF4-FFF2-40B4-BE49-F238E27FC236}">
              <a16:creationId xmlns:a16="http://schemas.microsoft.com/office/drawing/2014/main" id="{00000000-0008-0000-2700-000017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28</xdr:row>
      <xdr:rowOff>19050</xdr:rowOff>
    </xdr:from>
    <xdr:to>
      <xdr:col>33</xdr:col>
      <xdr:colOff>371475</xdr:colOff>
      <xdr:row>28</xdr:row>
      <xdr:rowOff>238125</xdr:rowOff>
    </xdr:to>
    <xdr:sp macro="" textlink="">
      <xdr:nvSpPr>
        <xdr:cNvPr id="99352" name="Check Box 24" hidden="1">
          <a:extLst>
            <a:ext uri="{63B3BB69-23CF-44E3-9099-C40C66FF867C}">
              <a14:compatExt xmlns:a14="http://schemas.microsoft.com/office/drawing/2010/main" spid="_x0000_s99352"/>
            </a:ext>
            <a:ext uri="{FF2B5EF4-FFF2-40B4-BE49-F238E27FC236}">
              <a16:creationId xmlns:a16="http://schemas.microsoft.com/office/drawing/2014/main" id="{00000000-0008-0000-2700-000018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30</xdr:row>
      <xdr:rowOff>9525</xdr:rowOff>
    </xdr:from>
    <xdr:to>
      <xdr:col>33</xdr:col>
      <xdr:colOff>371475</xdr:colOff>
      <xdr:row>30</xdr:row>
      <xdr:rowOff>228600</xdr:rowOff>
    </xdr:to>
    <xdr:sp macro="" textlink="">
      <xdr:nvSpPr>
        <xdr:cNvPr id="99353" name="Check Box 25" hidden="1">
          <a:extLst>
            <a:ext uri="{63B3BB69-23CF-44E3-9099-C40C66FF867C}">
              <a14:compatExt xmlns:a14="http://schemas.microsoft.com/office/drawing/2010/main" spid="_x0000_s99353"/>
            </a:ext>
            <a:ext uri="{FF2B5EF4-FFF2-40B4-BE49-F238E27FC236}">
              <a16:creationId xmlns:a16="http://schemas.microsoft.com/office/drawing/2014/main" id="{00000000-0008-0000-2700-000019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29</xdr:row>
      <xdr:rowOff>9525</xdr:rowOff>
    </xdr:from>
    <xdr:to>
      <xdr:col>33</xdr:col>
      <xdr:colOff>371475</xdr:colOff>
      <xdr:row>29</xdr:row>
      <xdr:rowOff>228600</xdr:rowOff>
    </xdr:to>
    <xdr:sp macro="" textlink="">
      <xdr:nvSpPr>
        <xdr:cNvPr id="99354" name="Check Box 26" hidden="1">
          <a:extLst>
            <a:ext uri="{63B3BB69-23CF-44E3-9099-C40C66FF867C}">
              <a14:compatExt xmlns:a14="http://schemas.microsoft.com/office/drawing/2010/main" spid="_x0000_s99354"/>
            </a:ext>
            <a:ext uri="{FF2B5EF4-FFF2-40B4-BE49-F238E27FC236}">
              <a16:creationId xmlns:a16="http://schemas.microsoft.com/office/drawing/2014/main" id="{00000000-0008-0000-2700-00001A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31</xdr:row>
      <xdr:rowOff>19050</xdr:rowOff>
    </xdr:from>
    <xdr:to>
      <xdr:col>33</xdr:col>
      <xdr:colOff>371475</xdr:colOff>
      <xdr:row>31</xdr:row>
      <xdr:rowOff>238125</xdr:rowOff>
    </xdr:to>
    <xdr:sp macro="" textlink="">
      <xdr:nvSpPr>
        <xdr:cNvPr id="99355" name="Check Box 27" hidden="1">
          <a:extLst>
            <a:ext uri="{63B3BB69-23CF-44E3-9099-C40C66FF867C}">
              <a14:compatExt xmlns:a14="http://schemas.microsoft.com/office/drawing/2010/main" spid="_x0000_s99355"/>
            </a:ext>
            <a:ext uri="{FF2B5EF4-FFF2-40B4-BE49-F238E27FC236}">
              <a16:creationId xmlns:a16="http://schemas.microsoft.com/office/drawing/2014/main" id="{00000000-0008-0000-2700-00001B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32</xdr:row>
      <xdr:rowOff>19050</xdr:rowOff>
    </xdr:from>
    <xdr:to>
      <xdr:col>33</xdr:col>
      <xdr:colOff>371475</xdr:colOff>
      <xdr:row>32</xdr:row>
      <xdr:rowOff>238125</xdr:rowOff>
    </xdr:to>
    <xdr:sp macro="" textlink="">
      <xdr:nvSpPr>
        <xdr:cNvPr id="99356" name="Check Box 28" hidden="1">
          <a:extLst>
            <a:ext uri="{63B3BB69-23CF-44E3-9099-C40C66FF867C}">
              <a14:compatExt xmlns:a14="http://schemas.microsoft.com/office/drawing/2010/main" spid="_x0000_s99356"/>
            </a:ext>
            <a:ext uri="{FF2B5EF4-FFF2-40B4-BE49-F238E27FC236}">
              <a16:creationId xmlns:a16="http://schemas.microsoft.com/office/drawing/2014/main" id="{00000000-0008-0000-2700-00001C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34</xdr:row>
      <xdr:rowOff>19050</xdr:rowOff>
    </xdr:from>
    <xdr:to>
      <xdr:col>33</xdr:col>
      <xdr:colOff>371475</xdr:colOff>
      <xdr:row>34</xdr:row>
      <xdr:rowOff>238125</xdr:rowOff>
    </xdr:to>
    <xdr:sp macro="" textlink="">
      <xdr:nvSpPr>
        <xdr:cNvPr id="99357" name="Check Box 29" hidden="1">
          <a:extLst>
            <a:ext uri="{63B3BB69-23CF-44E3-9099-C40C66FF867C}">
              <a14:compatExt xmlns:a14="http://schemas.microsoft.com/office/drawing/2010/main" spid="_x0000_s99357"/>
            </a:ext>
            <a:ext uri="{FF2B5EF4-FFF2-40B4-BE49-F238E27FC236}">
              <a16:creationId xmlns:a16="http://schemas.microsoft.com/office/drawing/2014/main" id="{00000000-0008-0000-2700-00001D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33</xdr:row>
      <xdr:rowOff>19050</xdr:rowOff>
    </xdr:from>
    <xdr:to>
      <xdr:col>33</xdr:col>
      <xdr:colOff>371475</xdr:colOff>
      <xdr:row>33</xdr:row>
      <xdr:rowOff>238125</xdr:rowOff>
    </xdr:to>
    <xdr:sp macro="" textlink="">
      <xdr:nvSpPr>
        <xdr:cNvPr id="99358" name="Check Box 30" hidden="1">
          <a:extLst>
            <a:ext uri="{63B3BB69-23CF-44E3-9099-C40C66FF867C}">
              <a14:compatExt xmlns:a14="http://schemas.microsoft.com/office/drawing/2010/main" spid="_x0000_s99358"/>
            </a:ext>
            <a:ext uri="{FF2B5EF4-FFF2-40B4-BE49-F238E27FC236}">
              <a16:creationId xmlns:a16="http://schemas.microsoft.com/office/drawing/2014/main" id="{00000000-0008-0000-2700-00001E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35</xdr:row>
      <xdr:rowOff>19050</xdr:rowOff>
    </xdr:from>
    <xdr:to>
      <xdr:col>33</xdr:col>
      <xdr:colOff>371475</xdr:colOff>
      <xdr:row>35</xdr:row>
      <xdr:rowOff>238125</xdr:rowOff>
    </xdr:to>
    <xdr:sp macro="" textlink="">
      <xdr:nvSpPr>
        <xdr:cNvPr id="99359" name="Check Box 31" hidden="1">
          <a:extLst>
            <a:ext uri="{63B3BB69-23CF-44E3-9099-C40C66FF867C}">
              <a14:compatExt xmlns:a14="http://schemas.microsoft.com/office/drawing/2010/main" spid="_x0000_s99359"/>
            </a:ext>
            <a:ext uri="{FF2B5EF4-FFF2-40B4-BE49-F238E27FC236}">
              <a16:creationId xmlns:a16="http://schemas.microsoft.com/office/drawing/2014/main" id="{00000000-0008-0000-2700-00001F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36</xdr:row>
      <xdr:rowOff>19050</xdr:rowOff>
    </xdr:from>
    <xdr:to>
      <xdr:col>33</xdr:col>
      <xdr:colOff>371475</xdr:colOff>
      <xdr:row>36</xdr:row>
      <xdr:rowOff>238125</xdr:rowOff>
    </xdr:to>
    <xdr:sp macro="" textlink="">
      <xdr:nvSpPr>
        <xdr:cNvPr id="99360" name="Check Box 32" hidden="1">
          <a:extLst>
            <a:ext uri="{63B3BB69-23CF-44E3-9099-C40C66FF867C}">
              <a14:compatExt xmlns:a14="http://schemas.microsoft.com/office/drawing/2010/main" spid="_x0000_s99360"/>
            </a:ext>
            <a:ext uri="{FF2B5EF4-FFF2-40B4-BE49-F238E27FC236}">
              <a16:creationId xmlns:a16="http://schemas.microsoft.com/office/drawing/2014/main" id="{00000000-0008-0000-2700-000020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38</xdr:row>
      <xdr:rowOff>9525</xdr:rowOff>
    </xdr:from>
    <xdr:to>
      <xdr:col>33</xdr:col>
      <xdr:colOff>371475</xdr:colOff>
      <xdr:row>38</xdr:row>
      <xdr:rowOff>228600</xdr:rowOff>
    </xdr:to>
    <xdr:sp macro="" textlink="">
      <xdr:nvSpPr>
        <xdr:cNvPr id="99361" name="Check Box 33" hidden="1">
          <a:extLst>
            <a:ext uri="{63B3BB69-23CF-44E3-9099-C40C66FF867C}">
              <a14:compatExt xmlns:a14="http://schemas.microsoft.com/office/drawing/2010/main" spid="_x0000_s99361"/>
            </a:ext>
            <a:ext uri="{FF2B5EF4-FFF2-40B4-BE49-F238E27FC236}">
              <a16:creationId xmlns:a16="http://schemas.microsoft.com/office/drawing/2014/main" id="{00000000-0008-0000-2700-000021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37</xdr:row>
      <xdr:rowOff>9525</xdr:rowOff>
    </xdr:from>
    <xdr:to>
      <xdr:col>33</xdr:col>
      <xdr:colOff>371475</xdr:colOff>
      <xdr:row>37</xdr:row>
      <xdr:rowOff>228600</xdr:rowOff>
    </xdr:to>
    <xdr:sp macro="" textlink="">
      <xdr:nvSpPr>
        <xdr:cNvPr id="99362" name="Check Box 34" hidden="1">
          <a:extLst>
            <a:ext uri="{63B3BB69-23CF-44E3-9099-C40C66FF867C}">
              <a14:compatExt xmlns:a14="http://schemas.microsoft.com/office/drawing/2010/main" spid="_x0000_s99362"/>
            </a:ext>
            <a:ext uri="{FF2B5EF4-FFF2-40B4-BE49-F238E27FC236}">
              <a16:creationId xmlns:a16="http://schemas.microsoft.com/office/drawing/2014/main" id="{00000000-0008-0000-2700-000022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xdr:row>
      <xdr:rowOff>19050</xdr:rowOff>
    </xdr:from>
    <xdr:to>
      <xdr:col>33</xdr:col>
      <xdr:colOff>371475</xdr:colOff>
      <xdr:row>3</xdr:row>
      <xdr:rowOff>238125</xdr:rowOff>
    </xdr:to>
    <xdr:sp macro="" textlink="">
      <xdr:nvSpPr>
        <xdr:cNvPr id="99363" name="Check Box 35" hidden="1">
          <a:extLst>
            <a:ext uri="{63B3BB69-23CF-44E3-9099-C40C66FF867C}">
              <a14:compatExt xmlns:a14="http://schemas.microsoft.com/office/drawing/2010/main" spid="_x0000_s99363"/>
            </a:ext>
            <a:ext uri="{FF2B5EF4-FFF2-40B4-BE49-F238E27FC236}">
              <a16:creationId xmlns:a16="http://schemas.microsoft.com/office/drawing/2014/main" id="{00000000-0008-0000-2700-000023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4</xdr:row>
      <xdr:rowOff>9525</xdr:rowOff>
    </xdr:from>
    <xdr:to>
      <xdr:col>33</xdr:col>
      <xdr:colOff>371475</xdr:colOff>
      <xdr:row>4</xdr:row>
      <xdr:rowOff>228600</xdr:rowOff>
    </xdr:to>
    <xdr:sp macro="" textlink="">
      <xdr:nvSpPr>
        <xdr:cNvPr id="99364" name="Check Box 36" hidden="1">
          <a:extLst>
            <a:ext uri="{63B3BB69-23CF-44E3-9099-C40C66FF867C}">
              <a14:compatExt xmlns:a14="http://schemas.microsoft.com/office/drawing/2010/main" spid="_x0000_s99364"/>
            </a:ext>
            <a:ext uri="{FF2B5EF4-FFF2-40B4-BE49-F238E27FC236}">
              <a16:creationId xmlns:a16="http://schemas.microsoft.com/office/drawing/2014/main" id="{00000000-0008-0000-2700-000024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523875</xdr:colOff>
      <xdr:row>2</xdr:row>
      <xdr:rowOff>19050</xdr:rowOff>
    </xdr:from>
    <xdr:to>
      <xdr:col>1</xdr:col>
      <xdr:colOff>600075</xdr:colOff>
      <xdr:row>6</xdr:row>
      <xdr:rowOff>9525</xdr:rowOff>
    </xdr:to>
    <xdr:pic>
      <xdr:nvPicPr>
        <xdr:cNvPr id="2" name="Afbeelding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46672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419100</xdr:colOff>
      <xdr:row>13</xdr:row>
      <xdr:rowOff>9525</xdr:rowOff>
    </xdr:from>
    <xdr:to>
      <xdr:col>1</xdr:col>
      <xdr:colOff>495300</xdr:colOff>
      <xdr:row>17</xdr:row>
      <xdr:rowOff>0</xdr:rowOff>
    </xdr:to>
    <xdr:pic>
      <xdr:nvPicPr>
        <xdr:cNvPr id="3" name="Afbeelding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818197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581025</xdr:colOff>
      <xdr:row>20</xdr:row>
      <xdr:rowOff>123825</xdr:rowOff>
    </xdr:from>
    <xdr:to>
      <xdr:col>6</xdr:col>
      <xdr:colOff>390525</xdr:colOff>
      <xdr:row>30</xdr:row>
      <xdr:rowOff>590550</xdr:rowOff>
    </xdr:to>
    <xdr:pic>
      <xdr:nvPicPr>
        <xdr:cNvPr id="4" name="Afbeelding 6">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9639300"/>
          <a:ext cx="2247900" cy="234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504825</xdr:colOff>
      <xdr:row>41</xdr:row>
      <xdr:rowOff>9525</xdr:rowOff>
    </xdr:from>
    <xdr:to>
      <xdr:col>1</xdr:col>
      <xdr:colOff>581025</xdr:colOff>
      <xdr:row>45</xdr:row>
      <xdr:rowOff>0</xdr:rowOff>
    </xdr:to>
    <xdr:pic>
      <xdr:nvPicPr>
        <xdr:cNvPr id="5" name="Afbeelding 8">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1803082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514350</xdr:colOff>
      <xdr:row>49</xdr:row>
      <xdr:rowOff>19050</xdr:rowOff>
    </xdr:from>
    <xdr:to>
      <xdr:col>1</xdr:col>
      <xdr:colOff>590550</xdr:colOff>
      <xdr:row>53</xdr:row>
      <xdr:rowOff>9525</xdr:rowOff>
    </xdr:to>
    <xdr:pic>
      <xdr:nvPicPr>
        <xdr:cNvPr id="6" name="Afbeelding 1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3279100"/>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441325</xdr:colOff>
      <xdr:row>7</xdr:row>
      <xdr:rowOff>149225</xdr:rowOff>
    </xdr:from>
    <xdr:to>
      <xdr:col>8</xdr:col>
      <xdr:colOff>365522</xdr:colOff>
      <xdr:row>9</xdr:row>
      <xdr:rowOff>3251200</xdr:rowOff>
    </xdr:to>
    <xdr:pic>
      <xdr:nvPicPr>
        <xdr:cNvPr id="7" name="Afbeelding 9">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60525" y="1740958"/>
          <a:ext cx="3581797" cy="3449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11</xdr:row>
      <xdr:rowOff>180975</xdr:rowOff>
    </xdr:from>
    <xdr:to>
      <xdr:col>12</xdr:col>
      <xdr:colOff>180975</xdr:colOff>
      <xdr:row>12</xdr:row>
      <xdr:rowOff>3143250</xdr:rowOff>
    </xdr:to>
    <xdr:pic>
      <xdr:nvPicPr>
        <xdr:cNvPr id="8" name="Afbeelding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47850" y="4819650"/>
          <a:ext cx="5648325"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17</xdr:row>
      <xdr:rowOff>104775</xdr:rowOff>
    </xdr:from>
    <xdr:to>
      <xdr:col>6</xdr:col>
      <xdr:colOff>103674</xdr:colOff>
      <xdr:row>18</xdr:row>
      <xdr:rowOff>2419350</xdr:rowOff>
    </xdr:to>
    <xdr:pic>
      <xdr:nvPicPr>
        <xdr:cNvPr id="9" name="Afbeelding 4">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47850" y="9077325"/>
          <a:ext cx="1913424" cy="250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561975</xdr:colOff>
      <xdr:row>29</xdr:row>
      <xdr:rowOff>141702</xdr:rowOff>
    </xdr:from>
    <xdr:to>
      <xdr:col>19</xdr:col>
      <xdr:colOff>428625</xdr:colOff>
      <xdr:row>37</xdr:row>
      <xdr:rowOff>133350</xdr:rowOff>
    </xdr:to>
    <xdr:pic>
      <xdr:nvPicPr>
        <xdr:cNvPr id="10" name="Afbeelding 2">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77175" y="13200477"/>
          <a:ext cx="4133850" cy="4220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34</xdr:row>
      <xdr:rowOff>285750</xdr:rowOff>
    </xdr:from>
    <xdr:to>
      <xdr:col>10</xdr:col>
      <xdr:colOff>415620</xdr:colOff>
      <xdr:row>40</xdr:row>
      <xdr:rowOff>695325</xdr:rowOff>
    </xdr:to>
    <xdr:pic>
      <xdr:nvPicPr>
        <xdr:cNvPr id="11" name="Afbeelding 5">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28725" y="14887575"/>
          <a:ext cx="5282895" cy="3638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48</xdr:row>
      <xdr:rowOff>76200</xdr:rowOff>
    </xdr:from>
    <xdr:to>
      <xdr:col>11</xdr:col>
      <xdr:colOff>587708</xdr:colOff>
      <xdr:row>48</xdr:row>
      <xdr:rowOff>4914900</xdr:rowOff>
    </xdr:to>
    <xdr:pic>
      <xdr:nvPicPr>
        <xdr:cNvPr id="12" name="Afbeelding 1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38250" y="20240625"/>
          <a:ext cx="6055058"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581025</xdr:colOff>
      <xdr:row>61</xdr:row>
      <xdr:rowOff>76200</xdr:rowOff>
    </xdr:from>
    <xdr:to>
      <xdr:col>12</xdr:col>
      <xdr:colOff>297119</xdr:colOff>
      <xdr:row>79</xdr:row>
      <xdr:rowOff>19050</xdr:rowOff>
    </xdr:to>
    <xdr:pic>
      <xdr:nvPicPr>
        <xdr:cNvPr id="13" name="Afbeelding 15">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0625" y="28746450"/>
          <a:ext cx="6421694"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55</xdr:row>
      <xdr:rowOff>9525</xdr:rowOff>
    </xdr:from>
    <xdr:to>
      <xdr:col>8</xdr:col>
      <xdr:colOff>190500</xdr:colOff>
      <xdr:row>58</xdr:row>
      <xdr:rowOff>123825</xdr:rowOff>
    </xdr:to>
    <xdr:pic>
      <xdr:nvPicPr>
        <xdr:cNvPr id="14" name="Afbeelding 16">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43250" y="24450675"/>
          <a:ext cx="1924050"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590550</xdr:colOff>
      <xdr:row>54</xdr:row>
      <xdr:rowOff>152400</xdr:rowOff>
    </xdr:from>
    <xdr:to>
      <xdr:col>10</xdr:col>
      <xdr:colOff>495300</xdr:colOff>
      <xdr:row>58</xdr:row>
      <xdr:rowOff>123825</xdr:rowOff>
    </xdr:to>
    <xdr:pic>
      <xdr:nvPicPr>
        <xdr:cNvPr id="15" name="Afbeelding 17">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67350" y="24403050"/>
          <a:ext cx="112395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381000</xdr:colOff>
      <xdr:row>31</xdr:row>
      <xdr:rowOff>76200</xdr:rowOff>
    </xdr:from>
    <xdr:to>
      <xdr:col>13</xdr:col>
      <xdr:colOff>114300</xdr:colOff>
      <xdr:row>31</xdr:row>
      <xdr:rowOff>82650</xdr:rowOff>
    </xdr:to>
    <xdr:cxnSp macro="">
      <xdr:nvCxnSpPr>
        <xdr:cNvPr id="17" name="Rechte verbindingslijn met pijl 16">
          <a:extLst>
            <a:ext uri="{FF2B5EF4-FFF2-40B4-BE49-F238E27FC236}">
              <a16:creationId xmlns:a16="http://schemas.microsoft.com/office/drawing/2014/main" id="{00000000-0008-0000-0300-000011000000}"/>
            </a:ext>
          </a:extLst>
        </xdr:cNvPr>
        <xdr:cNvCxnSpPr/>
      </xdr:nvCxnSpPr>
      <xdr:spPr bwMode="auto">
        <a:xfrm flipV="1">
          <a:off x="7086600" y="14135100"/>
          <a:ext cx="952500" cy="645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66674</xdr:colOff>
      <xdr:row>47</xdr:row>
      <xdr:rowOff>142875</xdr:rowOff>
    </xdr:from>
    <xdr:to>
      <xdr:col>11</xdr:col>
      <xdr:colOff>609599</xdr:colOff>
      <xdr:row>48</xdr:row>
      <xdr:rowOff>4476750</xdr:rowOff>
    </xdr:to>
    <xdr:sp macro="" textlink="">
      <xdr:nvSpPr>
        <xdr:cNvPr id="19" name="Rechthoek 18">
          <a:extLst>
            <a:ext uri="{FF2B5EF4-FFF2-40B4-BE49-F238E27FC236}">
              <a16:creationId xmlns:a16="http://schemas.microsoft.com/office/drawing/2014/main" id="{00000000-0008-0000-0300-000013000000}"/>
            </a:ext>
          </a:extLst>
        </xdr:cNvPr>
        <xdr:cNvSpPr/>
      </xdr:nvSpPr>
      <xdr:spPr bwMode="auto">
        <a:xfrm>
          <a:off x="5553074" y="20145375"/>
          <a:ext cx="1762125" cy="4495800"/>
        </a:xfrm>
        <a:prstGeom prst="rect">
          <a:avLst/>
        </a:prstGeom>
        <a:solidFill>
          <a:schemeClr val="bg1"/>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6</xdr:col>
      <xdr:colOff>276225</xdr:colOff>
      <xdr:row>53</xdr:row>
      <xdr:rowOff>9525</xdr:rowOff>
    </xdr:from>
    <xdr:to>
      <xdr:col>6</xdr:col>
      <xdr:colOff>390525</xdr:colOff>
      <xdr:row>56</xdr:row>
      <xdr:rowOff>142875</xdr:rowOff>
    </xdr:to>
    <xdr:cxnSp macro="">
      <xdr:nvCxnSpPr>
        <xdr:cNvPr id="21" name="Rechte verbindingslijn met pijl 20">
          <a:extLst>
            <a:ext uri="{FF2B5EF4-FFF2-40B4-BE49-F238E27FC236}">
              <a16:creationId xmlns:a16="http://schemas.microsoft.com/office/drawing/2014/main" id="{00000000-0008-0000-0300-000015000000}"/>
            </a:ext>
          </a:extLst>
        </xdr:cNvPr>
        <xdr:cNvCxnSpPr/>
      </xdr:nvCxnSpPr>
      <xdr:spPr bwMode="auto">
        <a:xfrm flipH="1">
          <a:off x="3933825" y="24069675"/>
          <a:ext cx="114300" cy="70485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342900</xdr:colOff>
      <xdr:row>53</xdr:row>
      <xdr:rowOff>28575</xdr:rowOff>
    </xdr:from>
    <xdr:to>
      <xdr:col>9</xdr:col>
      <xdr:colOff>133350</xdr:colOff>
      <xdr:row>56</xdr:row>
      <xdr:rowOff>66675</xdr:rowOff>
    </xdr:to>
    <xdr:cxnSp macro="">
      <xdr:nvCxnSpPr>
        <xdr:cNvPr id="22" name="Rechte verbindingslijn met pijl 21">
          <a:extLst>
            <a:ext uri="{FF2B5EF4-FFF2-40B4-BE49-F238E27FC236}">
              <a16:creationId xmlns:a16="http://schemas.microsoft.com/office/drawing/2014/main" id="{00000000-0008-0000-0300-000016000000}"/>
            </a:ext>
          </a:extLst>
        </xdr:cNvPr>
        <xdr:cNvCxnSpPr/>
      </xdr:nvCxnSpPr>
      <xdr:spPr bwMode="auto">
        <a:xfrm>
          <a:off x="5219700" y="24088725"/>
          <a:ext cx="400050" cy="60960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505883</xdr:colOff>
      <xdr:row>1</xdr:row>
      <xdr:rowOff>415925</xdr:rowOff>
    </xdr:from>
    <xdr:to>
      <xdr:col>24</xdr:col>
      <xdr:colOff>353483</xdr:colOff>
      <xdr:row>7</xdr:row>
      <xdr:rowOff>177800</xdr:rowOff>
    </xdr:to>
    <xdr:sp macro="" textlink="">
      <xdr:nvSpPr>
        <xdr:cNvPr id="23" name="Pijl: links 7">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bwMode="auto">
        <a:xfrm flipH="1">
          <a:off x="13307483" y="576792"/>
          <a:ext cx="1676400" cy="1192741"/>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13</xdr:col>
      <xdr:colOff>253996</xdr:colOff>
      <xdr:row>7</xdr:row>
      <xdr:rowOff>110067</xdr:rowOff>
    </xdr:from>
    <xdr:to>
      <xdr:col>22</xdr:col>
      <xdr:colOff>469896</xdr:colOff>
      <xdr:row>9</xdr:row>
      <xdr:rowOff>3232150</xdr:rowOff>
    </xdr:to>
    <xdr:pic>
      <xdr:nvPicPr>
        <xdr:cNvPr id="24" name="Afbeelding 23">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178796" y="1701800"/>
          <a:ext cx="5702300" cy="3469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143934</xdr:colOff>
      <xdr:row>6</xdr:row>
      <xdr:rowOff>59266</xdr:rowOff>
    </xdr:from>
    <xdr:to>
      <xdr:col>13</xdr:col>
      <xdr:colOff>338668</xdr:colOff>
      <xdr:row>9</xdr:row>
      <xdr:rowOff>888999</xdr:rowOff>
    </xdr:to>
    <xdr:sp macro="" textlink="">
      <xdr:nvSpPr>
        <xdr:cNvPr id="18" name="Pijl: links/rechts 17">
          <a:extLst>
            <a:ext uri="{FF2B5EF4-FFF2-40B4-BE49-F238E27FC236}">
              <a16:creationId xmlns:a16="http://schemas.microsoft.com/office/drawing/2014/main" id="{00000000-0008-0000-0300-000012000000}"/>
            </a:ext>
          </a:extLst>
        </xdr:cNvPr>
        <xdr:cNvSpPr/>
      </xdr:nvSpPr>
      <xdr:spPr bwMode="auto">
        <a:xfrm>
          <a:off x="5020734" y="1464733"/>
          <a:ext cx="3242734" cy="1363133"/>
        </a:xfrm>
        <a:prstGeom prst="leftRightArrow">
          <a:avLst>
            <a:gd name="adj1" fmla="val 60839"/>
            <a:gd name="adj2" fmla="val 27257"/>
          </a:avLst>
        </a:pr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r>
            <a:rPr lang="nl-NL" sz="1100">
              <a:solidFill>
                <a:schemeClr val="bg1"/>
              </a:solidFill>
              <a:effectLst/>
              <a:latin typeface="+mn-lt"/>
              <a:ea typeface="+mn-ea"/>
              <a:cs typeface="+mn-cs"/>
            </a:rPr>
            <a:t>LET</a:t>
          </a:r>
          <a:r>
            <a:rPr lang="nl-NL" sz="1100" baseline="0">
              <a:solidFill>
                <a:schemeClr val="bg1"/>
              </a:solidFill>
              <a:effectLst/>
              <a:latin typeface="+mn-lt"/>
              <a:ea typeface="+mn-ea"/>
              <a:cs typeface="+mn-cs"/>
            </a:rPr>
            <a:t> OP</a:t>
          </a:r>
          <a:r>
            <a:rPr lang="nl-NL" sz="1100">
              <a:solidFill>
                <a:schemeClr val="bg1"/>
              </a:solidFill>
              <a:effectLst/>
              <a:latin typeface="+mn-lt"/>
              <a:ea typeface="+mn-ea"/>
              <a:cs typeface="+mn-cs"/>
            </a:rPr>
            <a:t>! hier moet staan</a:t>
          </a:r>
        </a:p>
        <a:p>
          <a:r>
            <a:rPr lang="nl-NL" sz="1100">
              <a:solidFill>
                <a:schemeClr val="bg1"/>
              </a:solidFill>
              <a:effectLst/>
              <a:latin typeface="+mn-lt"/>
              <a:ea typeface="+mn-ea"/>
              <a:cs typeface="+mn-cs"/>
            </a:rPr>
            <a:t> 'Niet-methodetoetsen (oud),</a:t>
          </a:r>
          <a:endParaRPr lang="nl-NL">
            <a:solidFill>
              <a:schemeClr val="bg1"/>
            </a:solidFill>
            <a:effectLst/>
          </a:endParaRPr>
        </a:p>
        <a:p>
          <a:r>
            <a:rPr lang="nl-NL" sz="1100">
              <a:solidFill>
                <a:schemeClr val="bg1"/>
              </a:solidFill>
              <a:effectLst/>
              <a:latin typeface="+mn-lt"/>
              <a:ea typeface="+mn-ea"/>
              <a:cs typeface="+mn-cs"/>
            </a:rPr>
            <a:t>anders</a:t>
          </a:r>
          <a:r>
            <a:rPr lang="nl-NL" sz="1100" baseline="0">
              <a:solidFill>
                <a:schemeClr val="bg1"/>
              </a:solidFill>
              <a:effectLst/>
              <a:latin typeface="+mn-lt"/>
              <a:ea typeface="+mn-ea"/>
              <a:cs typeface="+mn-cs"/>
            </a:rPr>
            <a:t> kun je geen niveauwaarden invoeren.</a:t>
          </a:r>
          <a:endParaRPr lang="nl-NL">
            <a:solidFill>
              <a:schemeClr val="bg1"/>
            </a:solidFill>
            <a:effectLst/>
          </a:endParaRPr>
        </a:p>
        <a:p>
          <a:r>
            <a:rPr lang="nl-NL" sz="1100" baseline="0">
              <a:solidFill>
                <a:schemeClr val="bg1"/>
              </a:solidFill>
              <a:effectLst/>
              <a:latin typeface="+mn-lt"/>
              <a:ea typeface="+mn-ea"/>
              <a:cs typeface="+mn-cs"/>
            </a:rPr>
            <a:t>dit is via Instellingen ParnasSys zo te realiseren</a:t>
          </a:r>
          <a:endParaRPr lang="nl-NL">
            <a:solidFill>
              <a:schemeClr val="bg1"/>
            </a:solidFill>
            <a:effectLst/>
          </a:endParaRPr>
        </a:p>
        <a:p>
          <a:pPr algn="l"/>
          <a:endParaRPr lang="nl-NL" sz="1100">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800-000002000000}"/>
            </a:ext>
          </a:extLst>
        </xdr:cNvPr>
        <xdr:cNvSpPr>
          <a:spLocks noChangeShapeType="1"/>
        </xdr:cNvSpPr>
      </xdr:nvSpPr>
      <xdr:spPr bwMode="auto">
        <a:xfrm>
          <a:off x="114585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800-000003000000}"/>
            </a:ext>
          </a:extLst>
        </xdr:cNvPr>
        <xdr:cNvSpPr>
          <a:spLocks noChangeShapeType="1"/>
        </xdr:cNvSpPr>
      </xdr:nvSpPr>
      <xdr:spPr bwMode="auto">
        <a:xfrm>
          <a:off x="1583952" y="544605"/>
          <a:ext cx="114300" cy="0"/>
        </a:xfrm>
        <a:prstGeom prst="line">
          <a:avLst/>
        </a:prstGeom>
        <a:noFill/>
        <a:ln w="19050">
          <a:solidFill>
            <a:srgbClr val="000000"/>
          </a:solidFill>
          <a:round/>
          <a:headEnd/>
          <a:tailEnd/>
        </a:ln>
      </xdr:spPr>
    </xdr:sp>
    <xdr:clientData/>
  </xdr:twoCellAnchor>
  <xdr:twoCellAnchor>
    <xdr:from>
      <xdr:col>2</xdr:col>
      <xdr:colOff>11203</xdr:colOff>
      <xdr:row>3</xdr:row>
      <xdr:rowOff>717172</xdr:rowOff>
    </xdr:from>
    <xdr:to>
      <xdr:col>2</xdr:col>
      <xdr:colOff>821764</xdr:colOff>
      <xdr:row>3</xdr:row>
      <xdr:rowOff>918882</xdr:rowOff>
    </xdr:to>
    <xdr:sp macro="" textlink="">
      <xdr:nvSpPr>
        <xdr:cNvPr id="4" name="Text Box 9">
          <a:extLst>
            <a:ext uri="{FF2B5EF4-FFF2-40B4-BE49-F238E27FC236}">
              <a16:creationId xmlns:a16="http://schemas.microsoft.com/office/drawing/2014/main" id="{00000000-0008-0000-2800-000004000000}"/>
            </a:ext>
          </a:extLst>
        </xdr:cNvPr>
        <xdr:cNvSpPr txBox="1">
          <a:spLocks noChangeArrowheads="1"/>
        </xdr:cNvSpPr>
      </xdr:nvSpPr>
      <xdr:spPr bwMode="auto">
        <a:xfrm>
          <a:off x="459438" y="1568819"/>
          <a:ext cx="810561" cy="201710"/>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8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8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8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8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8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8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8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8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8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8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8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11207</xdr:colOff>
      <xdr:row>2</xdr:row>
      <xdr:rowOff>156882</xdr:rowOff>
    </xdr:from>
    <xdr:to>
      <xdr:col>8</xdr:col>
      <xdr:colOff>369795</xdr:colOff>
      <xdr:row>39</xdr:row>
      <xdr:rowOff>235324</xdr:rowOff>
    </xdr:to>
    <xdr:sp macro="" textlink="">
      <xdr:nvSpPr>
        <xdr:cNvPr id="31" name="Rechthoek 30">
          <a:hlinkClick xmlns:r="http://schemas.openxmlformats.org/officeDocument/2006/relationships" r:id="rId1"/>
          <a:extLst>
            <a:ext uri="{FF2B5EF4-FFF2-40B4-BE49-F238E27FC236}">
              <a16:creationId xmlns:a16="http://schemas.microsoft.com/office/drawing/2014/main" id="{00000000-0008-0000-2800-00001F000000}"/>
            </a:ext>
          </a:extLst>
        </xdr:cNvPr>
        <xdr:cNvSpPr/>
      </xdr:nvSpPr>
      <xdr:spPr bwMode="auto">
        <a:xfrm>
          <a:off x="1434354" y="840441"/>
          <a:ext cx="2879912" cy="106455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22410</xdr:colOff>
      <xdr:row>25</xdr:row>
      <xdr:rowOff>11202</xdr:rowOff>
    </xdr:from>
    <xdr:to>
      <xdr:col>16</xdr:col>
      <xdr:colOff>33617</xdr:colOff>
      <xdr:row>34</xdr:row>
      <xdr:rowOff>246526</xdr:rowOff>
    </xdr:to>
    <xdr:sp macro="" textlink="">
      <xdr:nvSpPr>
        <xdr:cNvPr id="32" name="Rechthoek 31">
          <a:hlinkClick xmlns:r="http://schemas.openxmlformats.org/officeDocument/2006/relationships" r:id="rId2"/>
          <a:extLst>
            <a:ext uri="{FF2B5EF4-FFF2-40B4-BE49-F238E27FC236}">
              <a16:creationId xmlns:a16="http://schemas.microsoft.com/office/drawing/2014/main" id="{00000000-0008-0000-2800-000020000000}"/>
            </a:ext>
          </a:extLst>
        </xdr:cNvPr>
        <xdr:cNvSpPr/>
      </xdr:nvSpPr>
      <xdr:spPr bwMode="auto">
        <a:xfrm>
          <a:off x="6241675" y="7810496"/>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11203</xdr:colOff>
      <xdr:row>13</xdr:row>
      <xdr:rowOff>235324</xdr:rowOff>
    </xdr:from>
    <xdr:to>
      <xdr:col>16</xdr:col>
      <xdr:colOff>11205</xdr:colOff>
      <xdr:row>23</xdr:row>
      <xdr:rowOff>235324</xdr:rowOff>
    </xdr:to>
    <xdr:sp macro="" textlink="">
      <xdr:nvSpPr>
        <xdr:cNvPr id="33" name="Rechthoek 32">
          <a:hlinkClick xmlns:r="http://schemas.openxmlformats.org/officeDocument/2006/relationships" r:id="rId3"/>
          <a:extLst>
            <a:ext uri="{FF2B5EF4-FFF2-40B4-BE49-F238E27FC236}">
              <a16:creationId xmlns:a16="http://schemas.microsoft.com/office/drawing/2014/main" id="{00000000-0008-0000-2800-000021000000}"/>
            </a:ext>
          </a:extLst>
        </xdr:cNvPr>
        <xdr:cNvSpPr/>
      </xdr:nvSpPr>
      <xdr:spPr bwMode="auto">
        <a:xfrm>
          <a:off x="6230468" y="5076265"/>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11206</xdr:colOff>
      <xdr:row>36</xdr:row>
      <xdr:rowOff>0</xdr:rowOff>
    </xdr:from>
    <xdr:to>
      <xdr:col>16</xdr:col>
      <xdr:colOff>0</xdr:colOff>
      <xdr:row>45</xdr:row>
      <xdr:rowOff>224119</xdr:rowOff>
    </xdr:to>
    <xdr:sp macro="" textlink="">
      <xdr:nvSpPr>
        <xdr:cNvPr id="34" name="Rechthoek 33">
          <a:hlinkClick xmlns:r="http://schemas.openxmlformats.org/officeDocument/2006/relationships" r:id="rId4"/>
          <a:extLst>
            <a:ext uri="{FF2B5EF4-FFF2-40B4-BE49-F238E27FC236}">
              <a16:creationId xmlns:a16="http://schemas.microsoft.com/office/drawing/2014/main" id="{00000000-0008-0000-2800-000022000000}"/>
            </a:ext>
          </a:extLst>
        </xdr:cNvPr>
        <xdr:cNvSpPr/>
      </xdr:nvSpPr>
      <xdr:spPr bwMode="auto">
        <a:xfrm>
          <a:off x="6230471"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37" name="Grafiek 36">
          <a:extLst>
            <a:ext uri="{FF2B5EF4-FFF2-40B4-BE49-F238E27FC236}">
              <a16:creationId xmlns:a16="http://schemas.microsoft.com/office/drawing/2014/main" id="{00000000-0008-0000-2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38" name="Grafiek 37">
          <a:extLst>
            <a:ext uri="{FF2B5EF4-FFF2-40B4-BE49-F238E27FC236}">
              <a16:creationId xmlns:a16="http://schemas.microsoft.com/office/drawing/2014/main" id="{00000000-0008-0000-28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3</xdr:row>
      <xdr:rowOff>582893</xdr:rowOff>
    </xdr:from>
    <xdr:to>
      <xdr:col>19</xdr:col>
      <xdr:colOff>122333</xdr:colOff>
      <xdr:row>3</xdr:row>
      <xdr:rowOff>1077072</xdr:rowOff>
    </xdr:to>
    <xdr:sp macro="" textlink="">
      <xdr:nvSpPr>
        <xdr:cNvPr id="26" name="AutoShape 48">
          <a:hlinkClick xmlns:r="http://schemas.openxmlformats.org/officeDocument/2006/relationships" r:id="rId7"/>
          <a:extLst>
            <a:ext uri="{FF2B5EF4-FFF2-40B4-BE49-F238E27FC236}">
              <a16:creationId xmlns:a16="http://schemas.microsoft.com/office/drawing/2014/main" id="{00000000-0008-0000-28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28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1681</xdr:colOff>
      <xdr:row>47</xdr:row>
      <xdr:rowOff>9525</xdr:rowOff>
    </xdr:from>
    <xdr:to>
      <xdr:col>16</xdr:col>
      <xdr:colOff>9525</xdr:colOff>
      <xdr:row>54</xdr:row>
      <xdr:rowOff>155201</xdr:rowOff>
    </xdr:to>
    <xdr:sp macro="" textlink="" fLocksText="0">
      <xdr:nvSpPr>
        <xdr:cNvPr id="16" name="Tekstvak 15">
          <a:extLst>
            <a:ext uri="{FF2B5EF4-FFF2-40B4-BE49-F238E27FC236}">
              <a16:creationId xmlns:a16="http://schemas.microsoft.com/office/drawing/2014/main" id="{00000000-0008-0000-2800-000010000000}"/>
            </a:ext>
          </a:extLst>
        </xdr:cNvPr>
        <xdr:cNvSpPr txBox="1"/>
      </xdr:nvSpPr>
      <xdr:spPr>
        <a:xfrm>
          <a:off x="420781" y="13201650"/>
          <a:ext cx="9837644" cy="1279151"/>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chemeClr val="dk1"/>
              </a:solidFill>
              <a:effectLst/>
              <a:latin typeface="+mn-lt"/>
              <a:ea typeface="+mn-ea"/>
              <a:cs typeface="+mn-cs"/>
            </a:rPr>
            <a:t>Groep 8 heeft allemaal AVI Plus gehaald behalve S.</a:t>
          </a:r>
          <a:r>
            <a:rPr lang="nl-NL" sz="1100" baseline="0">
              <a:solidFill>
                <a:schemeClr val="dk1"/>
              </a:solidFill>
              <a:effectLst/>
              <a:latin typeface="+mn-lt"/>
              <a:ea typeface="+mn-ea"/>
              <a:cs typeface="+mn-cs"/>
            </a:rPr>
            <a:t> S zit nog steeds op een acceptabel niveau , maar zakt helaas wel weg. Helaas zijn de DLE's bij bijna iedereeen "terug gelopen". We verwachten dat dit komt door de lockdown. De kinderen hebben wel de opdracht gekregen om te lezen, maar of dat ook daadwerkelijk is gebeurd, weten wij natuurlijk niet. Het plezier in lezen is gelukkig wel gebleven. Onder het lezen is de betrokkenheid groot. Om de betrokkenheid en het plezier te houden, blijven we verschillende "teksten" aan bieden. ( duolezen, strips, kidsweekkrant etc.) </a:t>
          </a:r>
          <a:endParaRPr lang="nl-NL">
            <a:effectLst/>
          </a:endParaRPr>
        </a:p>
        <a:p>
          <a:r>
            <a:rPr lang="nl-NL" sz="1100" baseline="0">
              <a:solidFill>
                <a:schemeClr val="dk1"/>
              </a:solidFill>
              <a:effectLst/>
              <a:latin typeface="+mn-lt"/>
              <a:ea typeface="+mn-ea"/>
              <a:cs typeface="+mn-cs"/>
            </a:rPr>
            <a:t>De kinderen mogen op dit moment geen tutor meer zijn van de kinderen van groep 3.</a:t>
          </a:r>
          <a:endParaRPr lang="nl-NL">
            <a:effectLst/>
          </a:endParaRPr>
        </a:p>
        <a:p>
          <a:endParaRPr lang="nl-NL" sz="1100"/>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28" name="Chart 5">
          <a:extLst>
            <a:ext uri="{FF2B5EF4-FFF2-40B4-BE49-F238E27FC236}">
              <a16:creationId xmlns:a16="http://schemas.microsoft.com/office/drawing/2014/main" id="{00000000-0008-0000-2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9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9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11204</xdr:colOff>
      <xdr:row>3</xdr:row>
      <xdr:rowOff>724643</xdr:rowOff>
    </xdr:from>
    <xdr:to>
      <xdr:col>2</xdr:col>
      <xdr:colOff>814294</xdr:colOff>
      <xdr:row>3</xdr:row>
      <xdr:rowOff>926353</xdr:rowOff>
    </xdr:to>
    <xdr:sp macro="" textlink="">
      <xdr:nvSpPr>
        <xdr:cNvPr id="4" name="Text Box 9">
          <a:extLst>
            <a:ext uri="{FF2B5EF4-FFF2-40B4-BE49-F238E27FC236}">
              <a16:creationId xmlns:a16="http://schemas.microsoft.com/office/drawing/2014/main" id="{00000000-0008-0000-2900-000004000000}"/>
            </a:ext>
          </a:extLst>
        </xdr:cNvPr>
        <xdr:cNvSpPr txBox="1">
          <a:spLocks noChangeArrowheads="1"/>
        </xdr:cNvSpPr>
      </xdr:nvSpPr>
      <xdr:spPr bwMode="auto">
        <a:xfrm>
          <a:off x="459439" y="1576290"/>
          <a:ext cx="803090" cy="201710"/>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9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9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9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9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9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9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9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9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9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9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9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22414</xdr:colOff>
      <xdr:row>2</xdr:row>
      <xdr:rowOff>145677</xdr:rowOff>
    </xdr:from>
    <xdr:to>
      <xdr:col>8</xdr:col>
      <xdr:colOff>358588</xdr:colOff>
      <xdr:row>39</xdr:row>
      <xdr:rowOff>224119</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900-000014000000}"/>
            </a:ext>
          </a:extLst>
        </xdr:cNvPr>
        <xdr:cNvSpPr/>
      </xdr:nvSpPr>
      <xdr:spPr bwMode="auto">
        <a:xfrm>
          <a:off x="1445561" y="829236"/>
          <a:ext cx="2857498" cy="106455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324970</xdr:colOff>
      <xdr:row>25</xdr:row>
      <xdr:rowOff>11204</xdr:rowOff>
    </xdr:from>
    <xdr:to>
      <xdr:col>16</xdr:col>
      <xdr:colOff>11206</xdr:colOff>
      <xdr:row>34</xdr:row>
      <xdr:rowOff>235322</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900-000015000000}"/>
            </a:ext>
          </a:extLst>
        </xdr:cNvPr>
        <xdr:cNvSpPr/>
      </xdr:nvSpPr>
      <xdr:spPr bwMode="auto">
        <a:xfrm>
          <a:off x="6219264" y="7810498"/>
          <a:ext cx="4056530"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11205</xdr:colOff>
      <xdr:row>14</xdr:row>
      <xdr:rowOff>11207</xdr:rowOff>
    </xdr:from>
    <xdr:to>
      <xdr:col>16</xdr:col>
      <xdr:colOff>11207</xdr:colOff>
      <xdr:row>23</xdr:row>
      <xdr:rowOff>224119</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900-000016000000}"/>
            </a:ext>
          </a:extLst>
        </xdr:cNvPr>
        <xdr:cNvSpPr/>
      </xdr:nvSpPr>
      <xdr:spPr bwMode="auto">
        <a:xfrm>
          <a:off x="6230470" y="5098678"/>
          <a:ext cx="4045325" cy="24316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11207</xdr:colOff>
      <xdr:row>36</xdr:row>
      <xdr:rowOff>0</xdr:rowOff>
    </xdr:from>
    <xdr:to>
      <xdr:col>16</xdr:col>
      <xdr:colOff>1</xdr:colOff>
      <xdr:row>46</xdr:row>
      <xdr:rowOff>0</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900-000017000000}"/>
            </a:ext>
          </a:extLst>
        </xdr:cNvPr>
        <xdr:cNvSpPr/>
      </xdr:nvSpPr>
      <xdr:spPr bwMode="auto">
        <a:xfrm>
          <a:off x="6230472" y="10511118"/>
          <a:ext cx="4034117"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203572</xdr:colOff>
      <xdr:row>46</xdr:row>
      <xdr:rowOff>152212</xdr:rowOff>
    </xdr:from>
    <xdr:to>
      <xdr:col>16</xdr:col>
      <xdr:colOff>12700</xdr:colOff>
      <xdr:row>54</xdr:row>
      <xdr:rowOff>126625</xdr:rowOff>
    </xdr:to>
    <xdr:sp macro="" textlink="" fLocksText="0">
      <xdr:nvSpPr>
        <xdr:cNvPr id="26" name="Rechthoek 25">
          <a:extLst>
            <a:ext uri="{FF2B5EF4-FFF2-40B4-BE49-F238E27FC236}">
              <a16:creationId xmlns:a16="http://schemas.microsoft.com/office/drawing/2014/main" id="{00000000-0008-0000-2900-00001A000000}"/>
            </a:ext>
          </a:extLst>
        </xdr:cNvPr>
        <xdr:cNvSpPr/>
      </xdr:nvSpPr>
      <xdr:spPr bwMode="auto">
        <a:xfrm>
          <a:off x="425822" y="13182412"/>
          <a:ext cx="10407278" cy="1244413"/>
        </a:xfrm>
        <a:prstGeom prst="rect">
          <a:avLst/>
        </a:prstGeom>
        <a:solidFill>
          <a:srgbClr val="FFFFCC"/>
        </a:solidFill>
        <a:ln w="25400"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9" name="AutoShape 48">
          <a:hlinkClick xmlns:r="http://schemas.openxmlformats.org/officeDocument/2006/relationships" r:id="rId7"/>
          <a:extLst>
            <a:ext uri="{FF2B5EF4-FFF2-40B4-BE49-F238E27FC236}">
              <a16:creationId xmlns:a16="http://schemas.microsoft.com/office/drawing/2014/main" id="{00000000-0008-0000-2900-00001D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1" name="AutoShape 48">
          <a:hlinkClick xmlns:r="http://schemas.openxmlformats.org/officeDocument/2006/relationships" r:id="rId8"/>
          <a:extLst>
            <a:ext uri="{FF2B5EF4-FFF2-40B4-BE49-F238E27FC236}">
              <a16:creationId xmlns:a16="http://schemas.microsoft.com/office/drawing/2014/main" id="{00000000-0008-0000-2900-00001F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9526</xdr:colOff>
      <xdr:row>3</xdr:row>
      <xdr:rowOff>19611</xdr:rowOff>
    </xdr:from>
    <xdr:to>
      <xdr:col>10</xdr:col>
      <xdr:colOff>371476</xdr:colOff>
      <xdr:row>40</xdr:row>
      <xdr:rowOff>21853</xdr:rowOff>
    </xdr:to>
    <xdr:sp macro="" textlink="">
      <xdr:nvSpPr>
        <xdr:cNvPr id="28" name="Rechthoek 27">
          <a:hlinkClick xmlns:r="http://schemas.openxmlformats.org/officeDocument/2006/relationships" r:id="rId9"/>
          <a:extLst>
            <a:ext uri="{FF2B5EF4-FFF2-40B4-BE49-F238E27FC236}">
              <a16:creationId xmlns:a16="http://schemas.microsoft.com/office/drawing/2014/main" id="{00000000-0008-0000-2900-00001C000000}"/>
            </a:ext>
          </a:extLst>
        </xdr:cNvPr>
        <xdr:cNvSpPr/>
      </xdr:nvSpPr>
      <xdr:spPr bwMode="auto">
        <a:xfrm>
          <a:off x="4533901" y="876861"/>
          <a:ext cx="361950" cy="1068929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2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A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A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A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A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A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A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A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A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A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A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A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A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A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0</xdr:colOff>
      <xdr:row>3</xdr:row>
      <xdr:rowOff>0</xdr:rowOff>
    </xdr:from>
    <xdr:to>
      <xdr:col>10</xdr:col>
      <xdr:colOff>0</xdr:colOff>
      <xdr:row>40</xdr:row>
      <xdr:rowOff>1</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A00-000014000000}"/>
            </a:ext>
          </a:extLst>
        </xdr:cNvPr>
        <xdr:cNvSpPr/>
      </xdr:nvSpPr>
      <xdr:spPr bwMode="auto">
        <a:xfrm>
          <a:off x="1423147" y="851647"/>
          <a:ext cx="3115235" cy="106455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11204</xdr:colOff>
      <xdr:row>24</xdr:row>
      <xdr:rowOff>235320</xdr:rowOff>
    </xdr:from>
    <xdr:to>
      <xdr:col>16</xdr:col>
      <xdr:colOff>22411</xdr:colOff>
      <xdr:row>34</xdr:row>
      <xdr:rowOff>224115</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A00-000015000000}"/>
            </a:ext>
          </a:extLst>
        </xdr:cNvPr>
        <xdr:cNvSpPr/>
      </xdr:nvSpPr>
      <xdr:spPr bwMode="auto">
        <a:xfrm>
          <a:off x="6230469" y="7788085"/>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11204</xdr:colOff>
      <xdr:row>13</xdr:row>
      <xdr:rowOff>224117</xdr:rowOff>
    </xdr:from>
    <xdr:to>
      <xdr:col>16</xdr:col>
      <xdr:colOff>11206</xdr:colOff>
      <xdr:row>23</xdr:row>
      <xdr:rowOff>224117</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A00-000016000000}"/>
            </a:ext>
          </a:extLst>
        </xdr:cNvPr>
        <xdr:cNvSpPr/>
      </xdr:nvSpPr>
      <xdr:spPr bwMode="auto">
        <a:xfrm>
          <a:off x="6230469" y="5065058"/>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11206</xdr:colOff>
      <xdr:row>36</xdr:row>
      <xdr:rowOff>1</xdr:rowOff>
    </xdr:from>
    <xdr:to>
      <xdr:col>16</xdr:col>
      <xdr:colOff>0</xdr:colOff>
      <xdr:row>45</xdr:row>
      <xdr:rowOff>224120</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A00-000017000000}"/>
            </a:ext>
          </a:extLst>
        </xdr:cNvPr>
        <xdr:cNvSpPr/>
      </xdr:nvSpPr>
      <xdr:spPr bwMode="auto">
        <a:xfrm>
          <a:off x="6230471" y="10511119"/>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6724</xdr:colOff>
      <xdr:row>3</xdr:row>
      <xdr:rowOff>6720</xdr:rowOff>
    </xdr:from>
    <xdr:to>
      <xdr:col>13</xdr:col>
      <xdr:colOff>190500</xdr:colOff>
      <xdr:row>40</xdr:row>
      <xdr:rowOff>6721</xdr:rowOff>
    </xdr:to>
    <xdr:sp macro="" textlink="">
      <xdr:nvSpPr>
        <xdr:cNvPr id="28" name="Rechthoek 27">
          <a:extLst>
            <a:ext uri="{FF2B5EF4-FFF2-40B4-BE49-F238E27FC236}">
              <a16:creationId xmlns:a16="http://schemas.microsoft.com/office/drawing/2014/main" id="{00000000-0008-0000-2A00-00001C000000}"/>
            </a:ext>
          </a:extLst>
        </xdr:cNvPr>
        <xdr:cNvSpPr/>
      </xdr:nvSpPr>
      <xdr:spPr bwMode="auto">
        <a:xfrm>
          <a:off x="5307106" y="858367"/>
          <a:ext cx="564776" cy="106455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0</xdr:colOff>
      <xdr:row>3</xdr:row>
      <xdr:rowOff>582893</xdr:rowOff>
    </xdr:from>
    <xdr:to>
      <xdr:col>19</xdr:col>
      <xdr:colOff>122333</xdr:colOff>
      <xdr:row>3</xdr:row>
      <xdr:rowOff>1077072</xdr:rowOff>
    </xdr:to>
    <xdr:sp macro="" textlink="">
      <xdr:nvSpPr>
        <xdr:cNvPr id="31" name="AutoShape 48">
          <a:hlinkClick xmlns:r="http://schemas.openxmlformats.org/officeDocument/2006/relationships" r:id="rId7"/>
          <a:extLst>
            <a:ext uri="{FF2B5EF4-FFF2-40B4-BE49-F238E27FC236}">
              <a16:creationId xmlns:a16="http://schemas.microsoft.com/office/drawing/2014/main" id="{00000000-0008-0000-2A00-00001F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2" name="AutoShape 48">
          <a:hlinkClick xmlns:r="http://schemas.openxmlformats.org/officeDocument/2006/relationships" r:id="rId8"/>
          <a:extLst>
            <a:ext uri="{FF2B5EF4-FFF2-40B4-BE49-F238E27FC236}">
              <a16:creationId xmlns:a16="http://schemas.microsoft.com/office/drawing/2014/main" id="{00000000-0008-0000-2A00-000020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A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chemeClr val="dk1"/>
              </a:solidFill>
              <a:effectLst/>
              <a:latin typeface="+mn-lt"/>
              <a:ea typeface="+mn-ea"/>
              <a:cs typeface="+mn-cs"/>
            </a:rPr>
            <a:t>De betrokkenheid bij het begrijpend lezen is op dit moment</a:t>
          </a:r>
          <a:r>
            <a:rPr lang="nl-NL" sz="1100" baseline="0">
              <a:solidFill>
                <a:schemeClr val="dk1"/>
              </a:solidFill>
              <a:effectLst/>
              <a:latin typeface="+mn-lt"/>
              <a:ea typeface="+mn-ea"/>
              <a:cs typeface="+mn-cs"/>
            </a:rPr>
            <a:t> goed. We merken dat de methode van Kidsweek goed valt bij de kinderen. De kinderen blijven gemotiveerd door de vele afwisselingen die kidsweek hen aanbiedt. We hadden gehoopt dat we meer kinderen op een a-b score konden krijgen. Dit is helaas niet gelukt. Of dit komt door de lockdown is niet met zekerheid te zeggen, maar wij vermoeden van wel. Tijdens de maandag les wordt de les samen gemaakt met de leerkracht. </a:t>
          </a:r>
          <a:endParaRPr lang="nl-NL">
            <a:effectLst/>
          </a:endParaRPr>
        </a:p>
        <a:p>
          <a:r>
            <a:rPr lang="nl-NL" sz="1100" baseline="0">
              <a:solidFill>
                <a:schemeClr val="dk1"/>
              </a:solidFill>
              <a:effectLst/>
              <a:latin typeface="+mn-lt"/>
              <a:ea typeface="+mn-ea"/>
              <a:cs typeface="+mn-cs"/>
            </a:rPr>
            <a:t>Zij moddelt de te maken les. Dit stukje hebben ze uiteraard thuis gemist. We merken wel dat we de kinderen hier aan moeten blijven herinneren. Moddel de tekst voor jezelf. Maak plaatjes in je hoofd etc.</a:t>
          </a:r>
          <a:endParaRPr lang="nl-NL">
            <a:effectLst/>
          </a:endParaRPr>
        </a:p>
        <a:p>
          <a:endParaRPr lang="nl-NL" sz="1100"/>
        </a:p>
      </xdr:txBody>
    </xdr:sp>
    <xdr:clientData/>
  </xdr:twoCellAnchor>
  <xdr:twoCellAnchor>
    <xdr:from>
      <xdr:col>2</xdr:col>
      <xdr:colOff>11954</xdr:colOff>
      <xdr:row>3</xdr:row>
      <xdr:rowOff>719043</xdr:rowOff>
    </xdr:from>
    <xdr:to>
      <xdr:col>3</xdr:col>
      <xdr:colOff>749</xdr:colOff>
      <xdr:row>3</xdr:row>
      <xdr:rowOff>933635</xdr:rowOff>
    </xdr:to>
    <xdr:sp macro="" textlink="">
      <xdr:nvSpPr>
        <xdr:cNvPr id="33" name="Text Box 9">
          <a:extLst>
            <a:ext uri="{FF2B5EF4-FFF2-40B4-BE49-F238E27FC236}">
              <a16:creationId xmlns:a16="http://schemas.microsoft.com/office/drawing/2014/main" id="{00000000-0008-0000-2A00-000021000000}"/>
            </a:ext>
          </a:extLst>
        </xdr:cNvPr>
        <xdr:cNvSpPr txBox="1">
          <a:spLocks noChangeArrowheads="1"/>
        </xdr:cNvSpPr>
      </xdr:nvSpPr>
      <xdr:spPr bwMode="auto">
        <a:xfrm>
          <a:off x="460189" y="1570690"/>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2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B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B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B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B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B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B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B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B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B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B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B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B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201706</xdr:colOff>
      <xdr:row>2</xdr:row>
      <xdr:rowOff>156882</xdr:rowOff>
    </xdr:from>
    <xdr:to>
      <xdr:col>9</xdr:col>
      <xdr:colOff>201705</xdr:colOff>
      <xdr:row>39</xdr:row>
      <xdr:rowOff>235324</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B00-000014000000}"/>
            </a:ext>
          </a:extLst>
        </xdr:cNvPr>
        <xdr:cNvSpPr/>
      </xdr:nvSpPr>
      <xdr:spPr bwMode="auto">
        <a:xfrm>
          <a:off x="1411941" y="840441"/>
          <a:ext cx="3115235" cy="106455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11207</xdr:colOff>
      <xdr:row>25</xdr:row>
      <xdr:rowOff>22408</xdr:rowOff>
    </xdr:from>
    <xdr:to>
      <xdr:col>16</xdr:col>
      <xdr:colOff>22414</xdr:colOff>
      <xdr:row>35</xdr:row>
      <xdr:rowOff>11203</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B00-000015000000}"/>
            </a:ext>
          </a:extLst>
        </xdr:cNvPr>
        <xdr:cNvSpPr/>
      </xdr:nvSpPr>
      <xdr:spPr bwMode="auto">
        <a:xfrm>
          <a:off x="6230472" y="7821702"/>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11207</xdr:colOff>
      <xdr:row>14</xdr:row>
      <xdr:rowOff>0</xdr:rowOff>
    </xdr:from>
    <xdr:to>
      <xdr:col>16</xdr:col>
      <xdr:colOff>11209</xdr:colOff>
      <xdr:row>24</xdr:row>
      <xdr:rowOff>0</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B00-000016000000}"/>
            </a:ext>
          </a:extLst>
        </xdr:cNvPr>
        <xdr:cNvSpPr/>
      </xdr:nvSpPr>
      <xdr:spPr bwMode="auto">
        <a:xfrm>
          <a:off x="6230472" y="5087471"/>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11209</xdr:colOff>
      <xdr:row>36</xdr:row>
      <xdr:rowOff>0</xdr:rowOff>
    </xdr:from>
    <xdr:to>
      <xdr:col>16</xdr:col>
      <xdr:colOff>3</xdr:colOff>
      <xdr:row>45</xdr:row>
      <xdr:rowOff>224119</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B00-000017000000}"/>
            </a:ext>
          </a:extLst>
        </xdr:cNvPr>
        <xdr:cNvSpPr/>
      </xdr:nvSpPr>
      <xdr:spPr bwMode="auto">
        <a:xfrm>
          <a:off x="6230474"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6724</xdr:colOff>
      <xdr:row>3</xdr:row>
      <xdr:rowOff>6720</xdr:rowOff>
    </xdr:from>
    <xdr:to>
      <xdr:col>13</xdr:col>
      <xdr:colOff>190500</xdr:colOff>
      <xdr:row>40</xdr:row>
      <xdr:rowOff>6721</xdr:rowOff>
    </xdr:to>
    <xdr:sp macro="" textlink="">
      <xdr:nvSpPr>
        <xdr:cNvPr id="28" name="Rechthoek 27">
          <a:extLst>
            <a:ext uri="{FF2B5EF4-FFF2-40B4-BE49-F238E27FC236}">
              <a16:creationId xmlns:a16="http://schemas.microsoft.com/office/drawing/2014/main" id="{00000000-0008-0000-2B00-00001C000000}"/>
            </a:ext>
          </a:extLst>
        </xdr:cNvPr>
        <xdr:cNvSpPr/>
      </xdr:nvSpPr>
      <xdr:spPr bwMode="auto">
        <a:xfrm>
          <a:off x="5293099" y="863970"/>
          <a:ext cx="564776" cy="1068705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0" name="Line 114">
          <a:extLst>
            <a:ext uri="{FF2B5EF4-FFF2-40B4-BE49-F238E27FC236}">
              <a16:creationId xmlns:a16="http://schemas.microsoft.com/office/drawing/2014/main" id="{00000000-0008-0000-2B00-00001E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32" name="AutoShape 48">
          <a:hlinkClick xmlns:r="http://schemas.openxmlformats.org/officeDocument/2006/relationships" r:id="rId7"/>
          <a:extLst>
            <a:ext uri="{FF2B5EF4-FFF2-40B4-BE49-F238E27FC236}">
              <a16:creationId xmlns:a16="http://schemas.microsoft.com/office/drawing/2014/main" id="{00000000-0008-0000-2B00-000020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3" name="AutoShape 48">
          <a:hlinkClick xmlns:r="http://schemas.openxmlformats.org/officeDocument/2006/relationships" r:id="rId8"/>
          <a:extLst>
            <a:ext uri="{FF2B5EF4-FFF2-40B4-BE49-F238E27FC236}">
              <a16:creationId xmlns:a16="http://schemas.microsoft.com/office/drawing/2014/main" id="{00000000-0008-0000-2B00-000021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B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1" name="Text Box 9">
          <a:extLst>
            <a:ext uri="{FF2B5EF4-FFF2-40B4-BE49-F238E27FC236}">
              <a16:creationId xmlns:a16="http://schemas.microsoft.com/office/drawing/2014/main" id="{00000000-0008-0000-2B00-00001F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4" name="Chart 5">
          <a:extLst>
            <a:ext uri="{FF2B5EF4-FFF2-40B4-BE49-F238E27FC236}">
              <a16:creationId xmlns:a16="http://schemas.microsoft.com/office/drawing/2014/main" id="{00000000-0008-0000-2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C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C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C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C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C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C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C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C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C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C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C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C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C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203384</xdr:colOff>
      <xdr:row>3</xdr:row>
      <xdr:rowOff>0</xdr:rowOff>
    </xdr:from>
    <xdr:to>
      <xdr:col>9</xdr:col>
      <xdr:colOff>203383</xdr:colOff>
      <xdr:row>40</xdr:row>
      <xdr:rowOff>1</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2C00-000010000000}"/>
            </a:ext>
          </a:extLst>
        </xdr:cNvPr>
        <xdr:cNvSpPr/>
      </xdr:nvSpPr>
      <xdr:spPr bwMode="auto">
        <a:xfrm>
          <a:off x="1403534" y="857250"/>
          <a:ext cx="3114674" cy="1068705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22406</xdr:colOff>
      <xdr:row>24</xdr:row>
      <xdr:rowOff>235320</xdr:rowOff>
    </xdr:from>
    <xdr:to>
      <xdr:col>16</xdr:col>
      <xdr:colOff>33613</xdr:colOff>
      <xdr:row>34</xdr:row>
      <xdr:rowOff>224115</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2C00-000011000000}"/>
            </a:ext>
          </a:extLst>
        </xdr:cNvPr>
        <xdr:cNvSpPr/>
      </xdr:nvSpPr>
      <xdr:spPr bwMode="auto">
        <a:xfrm>
          <a:off x="6241671" y="7788085"/>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22406</xdr:colOff>
      <xdr:row>13</xdr:row>
      <xdr:rowOff>224117</xdr:rowOff>
    </xdr:from>
    <xdr:to>
      <xdr:col>16</xdr:col>
      <xdr:colOff>22408</xdr:colOff>
      <xdr:row>23</xdr:row>
      <xdr:rowOff>224117</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2C00-000012000000}"/>
            </a:ext>
          </a:extLst>
        </xdr:cNvPr>
        <xdr:cNvSpPr/>
      </xdr:nvSpPr>
      <xdr:spPr bwMode="auto">
        <a:xfrm>
          <a:off x="6241671" y="5065058"/>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22408</xdr:colOff>
      <xdr:row>36</xdr:row>
      <xdr:rowOff>1</xdr:rowOff>
    </xdr:from>
    <xdr:to>
      <xdr:col>16</xdr:col>
      <xdr:colOff>11202</xdr:colOff>
      <xdr:row>45</xdr:row>
      <xdr:rowOff>224120</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2C00-000013000000}"/>
            </a:ext>
          </a:extLst>
        </xdr:cNvPr>
        <xdr:cNvSpPr/>
      </xdr:nvSpPr>
      <xdr:spPr bwMode="auto">
        <a:xfrm>
          <a:off x="6241673" y="10511119"/>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2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1" name="Grafiek 20">
          <a:extLst>
            <a:ext uri="{FF2B5EF4-FFF2-40B4-BE49-F238E27FC236}">
              <a16:creationId xmlns:a16="http://schemas.microsoft.com/office/drawing/2014/main" id="{00000000-0008-0000-2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13074</xdr:colOff>
      <xdr:row>1</xdr:row>
      <xdr:rowOff>127370</xdr:rowOff>
    </xdr:from>
    <xdr:to>
      <xdr:col>13</xdr:col>
      <xdr:colOff>196850</xdr:colOff>
      <xdr:row>38</xdr:row>
      <xdr:rowOff>152771</xdr:rowOff>
    </xdr:to>
    <xdr:sp macro="" textlink="">
      <xdr:nvSpPr>
        <xdr:cNvPr id="24" name="Rechthoek 23">
          <a:extLst>
            <a:ext uri="{FF2B5EF4-FFF2-40B4-BE49-F238E27FC236}">
              <a16:creationId xmlns:a16="http://schemas.microsoft.com/office/drawing/2014/main" id="{00000000-0008-0000-2C00-000018000000}"/>
            </a:ext>
          </a:extLst>
        </xdr:cNvPr>
        <xdr:cNvSpPr/>
      </xdr:nvSpPr>
      <xdr:spPr bwMode="auto">
        <a:xfrm>
          <a:off x="5569324" y="508370"/>
          <a:ext cx="583826" cy="106934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2C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2C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C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We zijn blij met de resultaten van spelling. De kinderen pakken de lessen goed op en de</a:t>
          </a:r>
          <a:r>
            <a:rPr lang="nl-NL" sz="1100" baseline="0">
              <a:solidFill>
                <a:schemeClr val="dk1"/>
              </a:solidFill>
              <a:effectLst/>
              <a:latin typeface="+mn-lt"/>
              <a:ea typeface="+mn-ea"/>
              <a:cs typeface="+mn-cs"/>
            </a:rPr>
            <a:t> meeste kinderen maken nog steeds grote stappen. De kinderen zijn betrokken bij hun werk en zijn oprecht blij als ze goede resultaten halen. We verwachten dat de aanpak goed is en dat we hier mee door moeten gaan. Bij werkwoordspelling blijven we hameren op het toepassen van de regels.</a:t>
          </a:r>
          <a:endParaRPr lang="nl-NL">
            <a:effectLst/>
          </a:endParaRPr>
        </a:p>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0" name="Text Box 9">
          <a:extLst>
            <a:ext uri="{FF2B5EF4-FFF2-40B4-BE49-F238E27FC236}">
              <a16:creationId xmlns:a16="http://schemas.microsoft.com/office/drawing/2014/main" id="{00000000-0008-0000-2C00-00001E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1" name="Chart 5">
          <a:extLst>
            <a:ext uri="{FF2B5EF4-FFF2-40B4-BE49-F238E27FC236}">
              <a16:creationId xmlns:a16="http://schemas.microsoft.com/office/drawing/2014/main" id="{00000000-0008-0000-2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D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4" name="Text Box 9">
          <a:extLst>
            <a:ext uri="{FF2B5EF4-FFF2-40B4-BE49-F238E27FC236}">
              <a16:creationId xmlns:a16="http://schemas.microsoft.com/office/drawing/2014/main" id="{00000000-0008-0000-2D00-000004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5" name="Text Box 9">
          <a:extLst>
            <a:ext uri="{FF2B5EF4-FFF2-40B4-BE49-F238E27FC236}">
              <a16:creationId xmlns:a16="http://schemas.microsoft.com/office/drawing/2014/main" id="{00000000-0008-0000-2D00-000005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6" name="Text Box 9">
          <a:extLst>
            <a:ext uri="{FF2B5EF4-FFF2-40B4-BE49-F238E27FC236}">
              <a16:creationId xmlns:a16="http://schemas.microsoft.com/office/drawing/2014/main" id="{00000000-0008-0000-2D00-000006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7" name="Text Box 9">
          <a:extLst>
            <a:ext uri="{FF2B5EF4-FFF2-40B4-BE49-F238E27FC236}">
              <a16:creationId xmlns:a16="http://schemas.microsoft.com/office/drawing/2014/main" id="{00000000-0008-0000-2D00-000007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8" name="Text Box 9">
          <a:extLst>
            <a:ext uri="{FF2B5EF4-FFF2-40B4-BE49-F238E27FC236}">
              <a16:creationId xmlns:a16="http://schemas.microsoft.com/office/drawing/2014/main" id="{00000000-0008-0000-2D00-000008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9" name="Text Box 9">
          <a:extLst>
            <a:ext uri="{FF2B5EF4-FFF2-40B4-BE49-F238E27FC236}">
              <a16:creationId xmlns:a16="http://schemas.microsoft.com/office/drawing/2014/main" id="{00000000-0008-0000-2D00-000009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0" name="Text Box 9">
          <a:extLst>
            <a:ext uri="{FF2B5EF4-FFF2-40B4-BE49-F238E27FC236}">
              <a16:creationId xmlns:a16="http://schemas.microsoft.com/office/drawing/2014/main" id="{00000000-0008-0000-2D00-00000A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1" name="Text Box 9">
          <a:extLst>
            <a:ext uri="{FF2B5EF4-FFF2-40B4-BE49-F238E27FC236}">
              <a16:creationId xmlns:a16="http://schemas.microsoft.com/office/drawing/2014/main" id="{00000000-0008-0000-2D00-00000B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2" name="Text Box 9">
          <a:extLst>
            <a:ext uri="{FF2B5EF4-FFF2-40B4-BE49-F238E27FC236}">
              <a16:creationId xmlns:a16="http://schemas.microsoft.com/office/drawing/2014/main" id="{00000000-0008-0000-2D00-00000C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3" name="Text Box 9">
          <a:extLst>
            <a:ext uri="{FF2B5EF4-FFF2-40B4-BE49-F238E27FC236}">
              <a16:creationId xmlns:a16="http://schemas.microsoft.com/office/drawing/2014/main" id="{00000000-0008-0000-2D00-00000D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4" name="Text Box 9">
          <a:extLst>
            <a:ext uri="{FF2B5EF4-FFF2-40B4-BE49-F238E27FC236}">
              <a16:creationId xmlns:a16="http://schemas.microsoft.com/office/drawing/2014/main" id="{00000000-0008-0000-2D00-00000E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201704</xdr:colOff>
      <xdr:row>3</xdr:row>
      <xdr:rowOff>0</xdr:rowOff>
    </xdr:from>
    <xdr:to>
      <xdr:col>10</xdr:col>
      <xdr:colOff>371474</xdr:colOff>
      <xdr:row>40</xdr:row>
      <xdr:rowOff>1</xdr:rowOff>
    </xdr:to>
    <xdr:sp macro="" textlink="">
      <xdr:nvSpPr>
        <xdr:cNvPr id="15" name="Rechthoek 14">
          <a:hlinkClick xmlns:r="http://schemas.openxmlformats.org/officeDocument/2006/relationships" r:id="rId1"/>
          <a:extLst>
            <a:ext uri="{FF2B5EF4-FFF2-40B4-BE49-F238E27FC236}">
              <a16:creationId xmlns:a16="http://schemas.microsoft.com/office/drawing/2014/main" id="{00000000-0008-0000-2D00-00000F000000}"/>
            </a:ext>
          </a:extLst>
        </xdr:cNvPr>
        <xdr:cNvSpPr/>
      </xdr:nvSpPr>
      <xdr:spPr bwMode="auto">
        <a:xfrm>
          <a:off x="1401854" y="857250"/>
          <a:ext cx="3493995" cy="1068705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4853</xdr:colOff>
      <xdr:row>25</xdr:row>
      <xdr:rowOff>22408</xdr:rowOff>
    </xdr:from>
    <xdr:to>
      <xdr:col>16</xdr:col>
      <xdr:colOff>16060</xdr:colOff>
      <xdr:row>35</xdr:row>
      <xdr:rowOff>11203</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2D00-000010000000}"/>
            </a:ext>
          </a:extLst>
        </xdr:cNvPr>
        <xdr:cNvSpPr/>
      </xdr:nvSpPr>
      <xdr:spPr bwMode="auto">
        <a:xfrm>
          <a:off x="6577103" y="7851958"/>
          <a:ext cx="4259357" cy="246529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4853</xdr:colOff>
      <xdr:row>14</xdr:row>
      <xdr:rowOff>0</xdr:rowOff>
    </xdr:from>
    <xdr:to>
      <xdr:col>16</xdr:col>
      <xdr:colOff>4855</xdr:colOff>
      <xdr:row>24</xdr:row>
      <xdr:rowOff>0</xdr:rowOff>
    </xdr:to>
    <xdr:sp macro="" textlink="">
      <xdr:nvSpPr>
        <xdr:cNvPr id="17" name="Rechthoek 16">
          <a:hlinkClick xmlns:r="http://schemas.openxmlformats.org/officeDocument/2006/relationships" r:id="rId3"/>
          <a:extLst>
            <a:ext uri="{FF2B5EF4-FFF2-40B4-BE49-F238E27FC236}">
              <a16:creationId xmlns:a16="http://schemas.microsoft.com/office/drawing/2014/main" id="{00000000-0008-0000-2D00-000011000000}"/>
            </a:ext>
          </a:extLst>
        </xdr:cNvPr>
        <xdr:cNvSpPr/>
      </xdr:nvSpPr>
      <xdr:spPr bwMode="auto">
        <a:xfrm>
          <a:off x="6577103" y="5105400"/>
          <a:ext cx="4248152" cy="24765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11205</xdr:colOff>
      <xdr:row>36</xdr:row>
      <xdr:rowOff>0</xdr:rowOff>
    </xdr:from>
    <xdr:to>
      <xdr:col>16</xdr:col>
      <xdr:colOff>12700</xdr:colOff>
      <xdr:row>45</xdr:row>
      <xdr:rowOff>224119</xdr:rowOff>
    </xdr:to>
    <xdr:sp macro="" textlink="">
      <xdr:nvSpPr>
        <xdr:cNvPr id="18" name="Rechthoek 17">
          <a:hlinkClick xmlns:r="http://schemas.openxmlformats.org/officeDocument/2006/relationships" r:id="rId4"/>
          <a:extLst>
            <a:ext uri="{FF2B5EF4-FFF2-40B4-BE49-F238E27FC236}">
              <a16:creationId xmlns:a16="http://schemas.microsoft.com/office/drawing/2014/main" id="{00000000-0008-0000-2D00-000012000000}"/>
            </a:ext>
          </a:extLst>
        </xdr:cNvPr>
        <xdr:cNvSpPr/>
      </xdr:nvSpPr>
      <xdr:spPr bwMode="auto">
        <a:xfrm>
          <a:off x="6583455" y="10553700"/>
          <a:ext cx="4249645" cy="245296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19" name="Grafiek 18">
          <a:extLst>
            <a:ext uri="{FF2B5EF4-FFF2-40B4-BE49-F238E27FC236}">
              <a16:creationId xmlns:a16="http://schemas.microsoft.com/office/drawing/2014/main" id="{00000000-0008-0000-2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0" name="Grafiek 19">
          <a:extLst>
            <a:ext uri="{FF2B5EF4-FFF2-40B4-BE49-F238E27FC236}">
              <a16:creationId xmlns:a16="http://schemas.microsoft.com/office/drawing/2014/main" id="{00000000-0008-0000-2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121024</xdr:colOff>
      <xdr:row>3</xdr:row>
      <xdr:rowOff>44820</xdr:rowOff>
    </xdr:from>
    <xdr:to>
      <xdr:col>14</xdr:col>
      <xdr:colOff>82550</xdr:colOff>
      <xdr:row>40</xdr:row>
      <xdr:rowOff>44821</xdr:rowOff>
    </xdr:to>
    <xdr:sp macro="" textlink="">
      <xdr:nvSpPr>
        <xdr:cNvPr id="23" name="Rechthoek 22">
          <a:extLst>
            <a:ext uri="{FF2B5EF4-FFF2-40B4-BE49-F238E27FC236}">
              <a16:creationId xmlns:a16="http://schemas.microsoft.com/office/drawing/2014/main" id="{00000000-0008-0000-2D00-000017000000}"/>
            </a:ext>
          </a:extLst>
        </xdr:cNvPr>
        <xdr:cNvSpPr/>
      </xdr:nvSpPr>
      <xdr:spPr bwMode="auto">
        <a:xfrm>
          <a:off x="5728074" y="895720"/>
          <a:ext cx="590176" cy="106934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25" name="Line 114">
          <a:extLst>
            <a:ext uri="{FF2B5EF4-FFF2-40B4-BE49-F238E27FC236}">
              <a16:creationId xmlns:a16="http://schemas.microsoft.com/office/drawing/2014/main" id="{00000000-0008-0000-2D00-000019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2D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2D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D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0" name="Text Box 9">
          <a:extLst>
            <a:ext uri="{FF2B5EF4-FFF2-40B4-BE49-F238E27FC236}">
              <a16:creationId xmlns:a16="http://schemas.microsoft.com/office/drawing/2014/main" id="{00000000-0008-0000-2D00-00001E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1" name="Chart 5">
          <a:extLst>
            <a:ext uri="{FF2B5EF4-FFF2-40B4-BE49-F238E27FC236}">
              <a16:creationId xmlns:a16="http://schemas.microsoft.com/office/drawing/2014/main" id="{00000000-0008-0000-2D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E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E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E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E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E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E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E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E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E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E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E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E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E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9525</xdr:colOff>
      <xdr:row>2</xdr:row>
      <xdr:rowOff>149037</xdr:rowOff>
    </xdr:from>
    <xdr:to>
      <xdr:col>13</xdr:col>
      <xdr:colOff>200024</xdr:colOff>
      <xdr:row>39</xdr:row>
      <xdr:rowOff>228600</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2E00-000010000000}"/>
            </a:ext>
          </a:extLst>
        </xdr:cNvPr>
        <xdr:cNvSpPr/>
      </xdr:nvSpPr>
      <xdr:spPr bwMode="auto">
        <a:xfrm>
          <a:off x="1419225" y="834837"/>
          <a:ext cx="4448174" cy="1069041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11198</xdr:colOff>
      <xdr:row>24</xdr:row>
      <xdr:rowOff>246526</xdr:rowOff>
    </xdr:from>
    <xdr:to>
      <xdr:col>16</xdr:col>
      <xdr:colOff>22405</xdr:colOff>
      <xdr:row>34</xdr:row>
      <xdr:rowOff>235321</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2E00-000011000000}"/>
            </a:ext>
          </a:extLst>
        </xdr:cNvPr>
        <xdr:cNvSpPr/>
      </xdr:nvSpPr>
      <xdr:spPr bwMode="auto">
        <a:xfrm>
          <a:off x="6230463" y="7799291"/>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11198</xdr:colOff>
      <xdr:row>13</xdr:row>
      <xdr:rowOff>235323</xdr:rowOff>
    </xdr:from>
    <xdr:to>
      <xdr:col>16</xdr:col>
      <xdr:colOff>11200</xdr:colOff>
      <xdr:row>23</xdr:row>
      <xdr:rowOff>235323</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2E00-000012000000}"/>
            </a:ext>
          </a:extLst>
        </xdr:cNvPr>
        <xdr:cNvSpPr/>
      </xdr:nvSpPr>
      <xdr:spPr bwMode="auto">
        <a:xfrm>
          <a:off x="6230463" y="5076264"/>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11200</xdr:colOff>
      <xdr:row>36</xdr:row>
      <xdr:rowOff>11207</xdr:rowOff>
    </xdr:from>
    <xdr:to>
      <xdr:col>15</xdr:col>
      <xdr:colOff>4045317</xdr:colOff>
      <xdr:row>45</xdr:row>
      <xdr:rowOff>235326</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2E00-000013000000}"/>
            </a:ext>
          </a:extLst>
        </xdr:cNvPr>
        <xdr:cNvSpPr/>
      </xdr:nvSpPr>
      <xdr:spPr bwMode="auto">
        <a:xfrm>
          <a:off x="6230465" y="10522325"/>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2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1" name="Grafiek 20">
          <a:extLst>
            <a:ext uri="{FF2B5EF4-FFF2-40B4-BE49-F238E27FC236}">
              <a16:creationId xmlns:a16="http://schemas.microsoft.com/office/drawing/2014/main" id="{00000000-0008-0000-2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2E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2E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6" name="Tekstvak 25">
          <a:extLst>
            <a:ext uri="{FF2B5EF4-FFF2-40B4-BE49-F238E27FC236}">
              <a16:creationId xmlns:a16="http://schemas.microsoft.com/office/drawing/2014/main" id="{00000000-0008-0000-2E00-00001A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chemeClr val="dk1"/>
              </a:solidFill>
              <a:effectLst/>
              <a:latin typeface="+mn-lt"/>
              <a:ea typeface="+mn-ea"/>
              <a:cs typeface="+mn-cs"/>
            </a:rPr>
            <a:t>Het cijferd</a:t>
          </a:r>
          <a:r>
            <a:rPr lang="nl-NL" sz="1100" baseline="0">
              <a:solidFill>
                <a:schemeClr val="dk1"/>
              </a:solidFill>
              <a:effectLst/>
              <a:latin typeface="+mn-lt"/>
              <a:ea typeface="+mn-ea"/>
              <a:cs typeface="+mn-cs"/>
            </a:rPr>
            <a:t> rekenen is bij groep 8 goed. We hadden gehoopt dat iedereen op een b of a score zou uitkomen. Dit is helaas niet gelukt. We zijn wel blij dat de betrokkenheid groot is en dat de kinderen met plezier rekenen. We zien gelukkig wel dat alle kinderen de methodetoetsen ruim voldoende tot zeer goed maken.</a:t>
          </a:r>
          <a:endParaRPr lang="nl-NL" sz="1100"/>
        </a:p>
      </xdr:txBody>
    </xdr:sp>
    <xdr:clientData/>
  </xdr:twoCellAnchor>
  <xdr:twoCellAnchor>
    <xdr:from>
      <xdr:col>2</xdr:col>
      <xdr:colOff>7470</xdr:colOff>
      <xdr:row>3</xdr:row>
      <xdr:rowOff>717177</xdr:rowOff>
    </xdr:from>
    <xdr:to>
      <xdr:col>2</xdr:col>
      <xdr:colOff>818030</xdr:colOff>
      <xdr:row>3</xdr:row>
      <xdr:rowOff>931769</xdr:rowOff>
    </xdr:to>
    <xdr:sp macro="" textlink="">
      <xdr:nvSpPr>
        <xdr:cNvPr id="29" name="Text Box 9">
          <a:extLst>
            <a:ext uri="{FF2B5EF4-FFF2-40B4-BE49-F238E27FC236}">
              <a16:creationId xmlns:a16="http://schemas.microsoft.com/office/drawing/2014/main" id="{00000000-0008-0000-2E00-00001D000000}"/>
            </a:ext>
          </a:extLst>
        </xdr:cNvPr>
        <xdr:cNvSpPr txBox="1">
          <a:spLocks noChangeArrowheads="1"/>
        </xdr:cNvSpPr>
      </xdr:nvSpPr>
      <xdr:spPr bwMode="auto">
        <a:xfrm>
          <a:off x="455705"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2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F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4" name="Text Box 9">
          <a:extLst>
            <a:ext uri="{FF2B5EF4-FFF2-40B4-BE49-F238E27FC236}">
              <a16:creationId xmlns:a16="http://schemas.microsoft.com/office/drawing/2014/main" id="{00000000-0008-0000-2F00-000004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5" name="Text Box 9">
          <a:extLst>
            <a:ext uri="{FF2B5EF4-FFF2-40B4-BE49-F238E27FC236}">
              <a16:creationId xmlns:a16="http://schemas.microsoft.com/office/drawing/2014/main" id="{00000000-0008-0000-2F00-000005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6" name="Text Box 9">
          <a:extLst>
            <a:ext uri="{FF2B5EF4-FFF2-40B4-BE49-F238E27FC236}">
              <a16:creationId xmlns:a16="http://schemas.microsoft.com/office/drawing/2014/main" id="{00000000-0008-0000-2F00-000006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7" name="Text Box 9">
          <a:extLst>
            <a:ext uri="{FF2B5EF4-FFF2-40B4-BE49-F238E27FC236}">
              <a16:creationId xmlns:a16="http://schemas.microsoft.com/office/drawing/2014/main" id="{00000000-0008-0000-2F00-000007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8" name="Text Box 9">
          <a:extLst>
            <a:ext uri="{FF2B5EF4-FFF2-40B4-BE49-F238E27FC236}">
              <a16:creationId xmlns:a16="http://schemas.microsoft.com/office/drawing/2014/main" id="{00000000-0008-0000-2F00-000008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9" name="Text Box 9">
          <a:extLst>
            <a:ext uri="{FF2B5EF4-FFF2-40B4-BE49-F238E27FC236}">
              <a16:creationId xmlns:a16="http://schemas.microsoft.com/office/drawing/2014/main" id="{00000000-0008-0000-2F00-000009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0" name="Text Box 9">
          <a:extLst>
            <a:ext uri="{FF2B5EF4-FFF2-40B4-BE49-F238E27FC236}">
              <a16:creationId xmlns:a16="http://schemas.microsoft.com/office/drawing/2014/main" id="{00000000-0008-0000-2F00-00000A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1" name="Text Box 9">
          <a:extLst>
            <a:ext uri="{FF2B5EF4-FFF2-40B4-BE49-F238E27FC236}">
              <a16:creationId xmlns:a16="http://schemas.microsoft.com/office/drawing/2014/main" id="{00000000-0008-0000-2F00-00000B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2" name="Text Box 9">
          <a:extLst>
            <a:ext uri="{FF2B5EF4-FFF2-40B4-BE49-F238E27FC236}">
              <a16:creationId xmlns:a16="http://schemas.microsoft.com/office/drawing/2014/main" id="{00000000-0008-0000-2F00-00000C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3" name="Text Box 9">
          <a:extLst>
            <a:ext uri="{FF2B5EF4-FFF2-40B4-BE49-F238E27FC236}">
              <a16:creationId xmlns:a16="http://schemas.microsoft.com/office/drawing/2014/main" id="{00000000-0008-0000-2F00-00000D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4" name="Text Box 9">
          <a:extLst>
            <a:ext uri="{FF2B5EF4-FFF2-40B4-BE49-F238E27FC236}">
              <a16:creationId xmlns:a16="http://schemas.microsoft.com/office/drawing/2014/main" id="{00000000-0008-0000-2F00-00000E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201706</xdr:colOff>
      <xdr:row>3</xdr:row>
      <xdr:rowOff>1</xdr:rowOff>
    </xdr:from>
    <xdr:to>
      <xdr:col>13</xdr:col>
      <xdr:colOff>190498</xdr:colOff>
      <xdr:row>40</xdr:row>
      <xdr:rowOff>2</xdr:rowOff>
    </xdr:to>
    <xdr:sp macro="" textlink="">
      <xdr:nvSpPr>
        <xdr:cNvPr id="15" name="Rechthoek 14">
          <a:hlinkClick xmlns:r="http://schemas.openxmlformats.org/officeDocument/2006/relationships" r:id="rId1"/>
          <a:extLst>
            <a:ext uri="{FF2B5EF4-FFF2-40B4-BE49-F238E27FC236}">
              <a16:creationId xmlns:a16="http://schemas.microsoft.com/office/drawing/2014/main" id="{00000000-0008-0000-2F00-00000F000000}"/>
            </a:ext>
          </a:extLst>
        </xdr:cNvPr>
        <xdr:cNvSpPr/>
      </xdr:nvSpPr>
      <xdr:spPr bwMode="auto">
        <a:xfrm>
          <a:off x="1411941" y="851648"/>
          <a:ext cx="4459939" cy="106455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324967</xdr:colOff>
      <xdr:row>25</xdr:row>
      <xdr:rowOff>33614</xdr:rowOff>
    </xdr:from>
    <xdr:to>
      <xdr:col>16</xdr:col>
      <xdr:colOff>11203</xdr:colOff>
      <xdr:row>35</xdr:row>
      <xdr:rowOff>22409</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2F00-000010000000}"/>
            </a:ext>
          </a:extLst>
        </xdr:cNvPr>
        <xdr:cNvSpPr/>
      </xdr:nvSpPr>
      <xdr:spPr bwMode="auto">
        <a:xfrm>
          <a:off x="6219261" y="7832908"/>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324967</xdr:colOff>
      <xdr:row>14</xdr:row>
      <xdr:rowOff>11206</xdr:rowOff>
    </xdr:from>
    <xdr:to>
      <xdr:col>15</xdr:col>
      <xdr:colOff>4045321</xdr:colOff>
      <xdr:row>24</xdr:row>
      <xdr:rowOff>11206</xdr:rowOff>
    </xdr:to>
    <xdr:sp macro="" textlink="">
      <xdr:nvSpPr>
        <xdr:cNvPr id="17" name="Rechthoek 16">
          <a:hlinkClick xmlns:r="http://schemas.openxmlformats.org/officeDocument/2006/relationships" r:id="rId3"/>
          <a:extLst>
            <a:ext uri="{FF2B5EF4-FFF2-40B4-BE49-F238E27FC236}">
              <a16:creationId xmlns:a16="http://schemas.microsoft.com/office/drawing/2014/main" id="{00000000-0008-0000-2F00-000011000000}"/>
            </a:ext>
          </a:extLst>
        </xdr:cNvPr>
        <xdr:cNvSpPr/>
      </xdr:nvSpPr>
      <xdr:spPr bwMode="auto">
        <a:xfrm>
          <a:off x="6219261" y="5098677"/>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324969</xdr:colOff>
      <xdr:row>36</xdr:row>
      <xdr:rowOff>11206</xdr:rowOff>
    </xdr:from>
    <xdr:to>
      <xdr:col>15</xdr:col>
      <xdr:colOff>4034115</xdr:colOff>
      <xdr:row>45</xdr:row>
      <xdr:rowOff>235325</xdr:rowOff>
    </xdr:to>
    <xdr:sp macro="" textlink="">
      <xdr:nvSpPr>
        <xdr:cNvPr id="18" name="Rechthoek 17">
          <a:hlinkClick xmlns:r="http://schemas.openxmlformats.org/officeDocument/2006/relationships" r:id="rId4"/>
          <a:extLst>
            <a:ext uri="{FF2B5EF4-FFF2-40B4-BE49-F238E27FC236}">
              <a16:creationId xmlns:a16="http://schemas.microsoft.com/office/drawing/2014/main" id="{00000000-0008-0000-2F00-000012000000}"/>
            </a:ext>
          </a:extLst>
        </xdr:cNvPr>
        <xdr:cNvSpPr/>
      </xdr:nvSpPr>
      <xdr:spPr bwMode="auto">
        <a:xfrm>
          <a:off x="6219263" y="10522324"/>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19" name="Grafiek 18">
          <a:extLst>
            <a:ext uri="{FF2B5EF4-FFF2-40B4-BE49-F238E27FC236}">
              <a16:creationId xmlns:a16="http://schemas.microsoft.com/office/drawing/2014/main" id="{00000000-0008-0000-2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0" name="Grafiek 19">
          <a:extLst>
            <a:ext uri="{FF2B5EF4-FFF2-40B4-BE49-F238E27FC236}">
              <a16:creationId xmlns:a16="http://schemas.microsoft.com/office/drawing/2014/main" id="{00000000-0008-0000-2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160805</xdr:colOff>
      <xdr:row>1</xdr:row>
      <xdr:rowOff>163605</xdr:rowOff>
    </xdr:from>
    <xdr:to>
      <xdr:col>4</xdr:col>
      <xdr:colOff>275105</xdr:colOff>
      <xdr:row>1</xdr:row>
      <xdr:rowOff>163605</xdr:rowOff>
    </xdr:to>
    <xdr:sp macro="" textlink="">
      <xdr:nvSpPr>
        <xdr:cNvPr id="25" name="Line 114">
          <a:extLst>
            <a:ext uri="{FF2B5EF4-FFF2-40B4-BE49-F238E27FC236}">
              <a16:creationId xmlns:a16="http://schemas.microsoft.com/office/drawing/2014/main" id="{00000000-0008-0000-2F00-000019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2F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2F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6" name="Tekstvak 25">
          <a:extLst>
            <a:ext uri="{FF2B5EF4-FFF2-40B4-BE49-F238E27FC236}">
              <a16:creationId xmlns:a16="http://schemas.microsoft.com/office/drawing/2014/main" id="{00000000-0008-0000-2F00-00001A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000">
            <a:latin typeface="Arial" panose="020B0604020202020204" pitchFamily="34" charset="0"/>
            <a:cs typeface="Arial" panose="020B0604020202020204" pitchFamily="34" charset="0"/>
          </a:endParaRPr>
        </a:p>
      </xdr:txBody>
    </xdr:sp>
    <xdr:clientData/>
  </xdr:twoCellAnchor>
  <xdr:twoCellAnchor>
    <xdr:from>
      <xdr:col>2</xdr:col>
      <xdr:colOff>7471</xdr:colOff>
      <xdr:row>3</xdr:row>
      <xdr:rowOff>717170</xdr:rowOff>
    </xdr:from>
    <xdr:to>
      <xdr:col>2</xdr:col>
      <xdr:colOff>818031</xdr:colOff>
      <xdr:row>3</xdr:row>
      <xdr:rowOff>931762</xdr:rowOff>
    </xdr:to>
    <xdr:sp macro="" textlink="">
      <xdr:nvSpPr>
        <xdr:cNvPr id="29" name="Text Box 9">
          <a:extLst>
            <a:ext uri="{FF2B5EF4-FFF2-40B4-BE49-F238E27FC236}">
              <a16:creationId xmlns:a16="http://schemas.microsoft.com/office/drawing/2014/main" id="{00000000-0008-0000-2F00-00001D000000}"/>
            </a:ext>
          </a:extLst>
        </xdr:cNvPr>
        <xdr:cNvSpPr txBox="1">
          <a:spLocks noChangeArrowheads="1"/>
        </xdr:cNvSpPr>
      </xdr:nvSpPr>
      <xdr:spPr bwMode="auto">
        <a:xfrm>
          <a:off x="455706" y="1568817"/>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2F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21</xdr:col>
      <xdr:colOff>342900</xdr:colOff>
      <xdr:row>0</xdr:row>
      <xdr:rowOff>0</xdr:rowOff>
    </xdr:from>
    <xdr:to>
      <xdr:col>22</xdr:col>
      <xdr:colOff>9525</xdr:colOff>
      <xdr:row>0</xdr:row>
      <xdr:rowOff>0</xdr:rowOff>
    </xdr:to>
    <xdr:sp macro="" textlink="">
      <xdr:nvSpPr>
        <xdr:cNvPr id="2" name="Line 41">
          <a:extLst>
            <a:ext uri="{FF2B5EF4-FFF2-40B4-BE49-F238E27FC236}">
              <a16:creationId xmlns:a16="http://schemas.microsoft.com/office/drawing/2014/main" id="{00000000-0008-0000-30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30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30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30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30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30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30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30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30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30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30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30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30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11207</xdr:colOff>
      <xdr:row>3</xdr:row>
      <xdr:rowOff>1</xdr:rowOff>
    </xdr:from>
    <xdr:to>
      <xdr:col>9</xdr:col>
      <xdr:colOff>190500</xdr:colOff>
      <xdr:row>40</xdr:row>
      <xdr:rowOff>2</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3000-000010000000}"/>
            </a:ext>
          </a:extLst>
        </xdr:cNvPr>
        <xdr:cNvSpPr/>
      </xdr:nvSpPr>
      <xdr:spPr bwMode="auto">
        <a:xfrm>
          <a:off x="1434354" y="851648"/>
          <a:ext cx="3081617" cy="106455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11196</xdr:colOff>
      <xdr:row>24</xdr:row>
      <xdr:rowOff>246526</xdr:rowOff>
    </xdr:from>
    <xdr:to>
      <xdr:col>20</xdr:col>
      <xdr:colOff>22403</xdr:colOff>
      <xdr:row>34</xdr:row>
      <xdr:rowOff>235321</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3000-000011000000}"/>
            </a:ext>
          </a:extLst>
        </xdr:cNvPr>
        <xdr:cNvSpPr/>
      </xdr:nvSpPr>
      <xdr:spPr bwMode="auto">
        <a:xfrm>
          <a:off x="6230461" y="7799291"/>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11196</xdr:colOff>
      <xdr:row>13</xdr:row>
      <xdr:rowOff>235323</xdr:rowOff>
    </xdr:from>
    <xdr:to>
      <xdr:col>20</xdr:col>
      <xdr:colOff>11198</xdr:colOff>
      <xdr:row>23</xdr:row>
      <xdr:rowOff>235323</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3000-000012000000}"/>
            </a:ext>
          </a:extLst>
        </xdr:cNvPr>
        <xdr:cNvSpPr/>
      </xdr:nvSpPr>
      <xdr:spPr bwMode="auto">
        <a:xfrm>
          <a:off x="6230461" y="5076264"/>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11198</xdr:colOff>
      <xdr:row>36</xdr:row>
      <xdr:rowOff>11207</xdr:rowOff>
    </xdr:from>
    <xdr:to>
      <xdr:col>19</xdr:col>
      <xdr:colOff>4045315</xdr:colOff>
      <xdr:row>45</xdr:row>
      <xdr:rowOff>235326</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3000-000013000000}"/>
            </a:ext>
          </a:extLst>
        </xdr:cNvPr>
        <xdr:cNvSpPr/>
      </xdr:nvSpPr>
      <xdr:spPr bwMode="auto">
        <a:xfrm>
          <a:off x="6230463" y="10522325"/>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0</xdr:colOff>
      <xdr:row>65</xdr:row>
      <xdr:rowOff>0</xdr:rowOff>
    </xdr:from>
    <xdr:to>
      <xdr:col>19</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3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22413</xdr:colOff>
      <xdr:row>7</xdr:row>
      <xdr:rowOff>235323</xdr:rowOff>
    </xdr:from>
    <xdr:to>
      <xdr:col>20</xdr:col>
      <xdr:colOff>11206</xdr:colOff>
      <xdr:row>13</xdr:row>
      <xdr:rowOff>0</xdr:rowOff>
    </xdr:to>
    <xdr:graphicFrame macro="">
      <xdr:nvGraphicFramePr>
        <xdr:cNvPr id="21" name="Grafiek 20">
          <a:extLst>
            <a:ext uri="{FF2B5EF4-FFF2-40B4-BE49-F238E27FC236}">
              <a16:creationId xmlns:a16="http://schemas.microsoft.com/office/drawing/2014/main" id="{00000000-0008-0000-3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0</xdr:colOff>
      <xdr:row>3</xdr:row>
      <xdr:rowOff>582893</xdr:rowOff>
    </xdr:from>
    <xdr:to>
      <xdr:col>23</xdr:col>
      <xdr:colOff>122333</xdr:colOff>
      <xdr:row>3</xdr:row>
      <xdr:rowOff>1077072</xdr:rowOff>
    </xdr:to>
    <xdr:sp macro="" textlink="">
      <xdr:nvSpPr>
        <xdr:cNvPr id="26" name="AutoShape 48">
          <a:hlinkClick xmlns:r="http://schemas.openxmlformats.org/officeDocument/2006/relationships" r:id="rId7"/>
          <a:extLst>
            <a:ext uri="{FF2B5EF4-FFF2-40B4-BE49-F238E27FC236}">
              <a16:creationId xmlns:a16="http://schemas.microsoft.com/office/drawing/2014/main" id="{00000000-0008-0000-30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21</xdr:col>
      <xdr:colOff>0</xdr:colOff>
      <xdr:row>3</xdr:row>
      <xdr:rowOff>0</xdr:rowOff>
    </xdr:from>
    <xdr:to>
      <xdr:col>23</xdr:col>
      <xdr:colOff>122333</xdr:colOff>
      <xdr:row>3</xdr:row>
      <xdr:rowOff>506879</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30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20</xdr:col>
      <xdr:colOff>11206</xdr:colOff>
      <xdr:row>54</xdr:row>
      <xdr:rowOff>145676</xdr:rowOff>
    </xdr:to>
    <xdr:sp macro="" textlink="" fLocksText="0">
      <xdr:nvSpPr>
        <xdr:cNvPr id="28" name="Tekstvak 27">
          <a:extLst>
            <a:ext uri="{FF2B5EF4-FFF2-40B4-BE49-F238E27FC236}">
              <a16:creationId xmlns:a16="http://schemas.microsoft.com/office/drawing/2014/main" id="{00000000-0008-0000-3000-00001C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vijf van de zes kinderen scoren hoger dan de</a:t>
          </a:r>
          <a:r>
            <a:rPr lang="nl-NL" sz="1100" baseline="0">
              <a:solidFill>
                <a:schemeClr val="dk1"/>
              </a:solidFill>
              <a:effectLst/>
              <a:latin typeface="+mn-lt"/>
              <a:ea typeface="+mn-ea"/>
              <a:cs typeface="+mn-cs"/>
            </a:rPr>
            <a:t> C</a:t>
          </a:r>
          <a:r>
            <a:rPr lang="nl-NL" sz="1100">
              <a:solidFill>
                <a:schemeClr val="dk1"/>
              </a:solidFill>
              <a:effectLst/>
              <a:latin typeface="+mn-lt"/>
              <a:ea typeface="+mn-ea"/>
              <a:cs typeface="+mn-cs"/>
            </a:rPr>
            <a:t> score. Wij zijn blij dat zij hun doel hebben gehaald. Wel verwachten we dat het mogelijk is dat ze dit allemaal kunnen. We oefenen</a:t>
          </a:r>
          <a:r>
            <a:rPr lang="nl-NL" sz="1100" baseline="0">
              <a:solidFill>
                <a:schemeClr val="dk1"/>
              </a:solidFill>
              <a:effectLst/>
              <a:latin typeface="+mn-lt"/>
              <a:ea typeface="+mn-ea"/>
              <a:cs typeface="+mn-cs"/>
            </a:rPr>
            <a:t> drie keer in de week met de bordrijen op school. ( twee minuten lang hoofdrekensommen maken). Dit hebben ze gemist in de lockdown. We zien wel dat de kinderen nu ze weer dagelijks op school komen, weer sneller worden met het hoofdrekenen. Hoofdrekenen is herhalen, herhalen herhalen en de juiste strategie toepassen. We blijven dus bij ons plan. Drie keer per week bordrijen en dagelijks minimaal een kwartier ambrasoft naast een "gewone" rekenwerk.</a:t>
          </a:r>
          <a:endParaRPr lang="nl-NL" sz="1000">
            <a:effectLst/>
          </a:endParaRPr>
        </a:p>
        <a:p>
          <a:endParaRPr lang="nl-NL" sz="1000">
            <a:latin typeface="Arial" panose="020B0604020202020204" pitchFamily="34" charset="0"/>
            <a:cs typeface="Arial" panose="020B0604020202020204" pitchFamily="34" charset="0"/>
          </a:endParaRPr>
        </a:p>
      </xdr:txBody>
    </xdr:sp>
    <xdr:clientData/>
  </xdr:twoCellAnchor>
  <xdr:twoCellAnchor>
    <xdr:from>
      <xdr:col>2</xdr:col>
      <xdr:colOff>7471</xdr:colOff>
      <xdr:row>3</xdr:row>
      <xdr:rowOff>717170</xdr:rowOff>
    </xdr:from>
    <xdr:to>
      <xdr:col>2</xdr:col>
      <xdr:colOff>818031</xdr:colOff>
      <xdr:row>3</xdr:row>
      <xdr:rowOff>931762</xdr:rowOff>
    </xdr:to>
    <xdr:sp macro="" textlink="">
      <xdr:nvSpPr>
        <xdr:cNvPr id="30" name="Text Box 9">
          <a:extLst>
            <a:ext uri="{FF2B5EF4-FFF2-40B4-BE49-F238E27FC236}">
              <a16:creationId xmlns:a16="http://schemas.microsoft.com/office/drawing/2014/main" id="{00000000-0008-0000-3000-00001E000000}"/>
            </a:ext>
          </a:extLst>
        </xdr:cNvPr>
        <xdr:cNvSpPr txBox="1">
          <a:spLocks noChangeArrowheads="1"/>
        </xdr:cNvSpPr>
      </xdr:nvSpPr>
      <xdr:spPr bwMode="auto">
        <a:xfrm>
          <a:off x="455706" y="1568817"/>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18</xdr:col>
      <xdr:colOff>0</xdr:colOff>
      <xdr:row>3</xdr:row>
      <xdr:rowOff>0</xdr:rowOff>
    </xdr:from>
    <xdr:to>
      <xdr:col>19</xdr:col>
      <xdr:colOff>4229099</xdr:colOff>
      <xdr:row>6</xdr:row>
      <xdr:rowOff>241300</xdr:rowOff>
    </xdr:to>
    <xdr:graphicFrame macro="">
      <xdr:nvGraphicFramePr>
        <xdr:cNvPr id="29" name="Chart 5">
          <a:extLst>
            <a:ext uri="{FF2B5EF4-FFF2-40B4-BE49-F238E27FC236}">
              <a16:creationId xmlns:a16="http://schemas.microsoft.com/office/drawing/2014/main" id="{00000000-0008-0000-3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21</xdr:col>
      <xdr:colOff>342900</xdr:colOff>
      <xdr:row>0</xdr:row>
      <xdr:rowOff>0</xdr:rowOff>
    </xdr:from>
    <xdr:to>
      <xdr:col>22</xdr:col>
      <xdr:colOff>9525</xdr:colOff>
      <xdr:row>0</xdr:row>
      <xdr:rowOff>0</xdr:rowOff>
    </xdr:to>
    <xdr:sp macro="" textlink="">
      <xdr:nvSpPr>
        <xdr:cNvPr id="2" name="Line 41">
          <a:extLst>
            <a:ext uri="{FF2B5EF4-FFF2-40B4-BE49-F238E27FC236}">
              <a16:creationId xmlns:a16="http://schemas.microsoft.com/office/drawing/2014/main" id="{00000000-0008-0000-31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4" name="Text Box 9">
          <a:extLst>
            <a:ext uri="{FF2B5EF4-FFF2-40B4-BE49-F238E27FC236}">
              <a16:creationId xmlns:a16="http://schemas.microsoft.com/office/drawing/2014/main" id="{00000000-0008-0000-3100-000004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5" name="Text Box 9">
          <a:extLst>
            <a:ext uri="{FF2B5EF4-FFF2-40B4-BE49-F238E27FC236}">
              <a16:creationId xmlns:a16="http://schemas.microsoft.com/office/drawing/2014/main" id="{00000000-0008-0000-3100-000005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6" name="Text Box 9">
          <a:extLst>
            <a:ext uri="{FF2B5EF4-FFF2-40B4-BE49-F238E27FC236}">
              <a16:creationId xmlns:a16="http://schemas.microsoft.com/office/drawing/2014/main" id="{00000000-0008-0000-3100-000006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7" name="Text Box 9">
          <a:extLst>
            <a:ext uri="{FF2B5EF4-FFF2-40B4-BE49-F238E27FC236}">
              <a16:creationId xmlns:a16="http://schemas.microsoft.com/office/drawing/2014/main" id="{00000000-0008-0000-3100-000007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8" name="Text Box 9">
          <a:extLst>
            <a:ext uri="{FF2B5EF4-FFF2-40B4-BE49-F238E27FC236}">
              <a16:creationId xmlns:a16="http://schemas.microsoft.com/office/drawing/2014/main" id="{00000000-0008-0000-3100-000008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9" name="Text Box 9">
          <a:extLst>
            <a:ext uri="{FF2B5EF4-FFF2-40B4-BE49-F238E27FC236}">
              <a16:creationId xmlns:a16="http://schemas.microsoft.com/office/drawing/2014/main" id="{00000000-0008-0000-3100-000009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0" name="Text Box 9">
          <a:extLst>
            <a:ext uri="{FF2B5EF4-FFF2-40B4-BE49-F238E27FC236}">
              <a16:creationId xmlns:a16="http://schemas.microsoft.com/office/drawing/2014/main" id="{00000000-0008-0000-3100-00000A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1" name="Text Box 9">
          <a:extLst>
            <a:ext uri="{FF2B5EF4-FFF2-40B4-BE49-F238E27FC236}">
              <a16:creationId xmlns:a16="http://schemas.microsoft.com/office/drawing/2014/main" id="{00000000-0008-0000-3100-00000B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2" name="Text Box 9">
          <a:extLst>
            <a:ext uri="{FF2B5EF4-FFF2-40B4-BE49-F238E27FC236}">
              <a16:creationId xmlns:a16="http://schemas.microsoft.com/office/drawing/2014/main" id="{00000000-0008-0000-3100-00000C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3" name="Text Box 9">
          <a:extLst>
            <a:ext uri="{FF2B5EF4-FFF2-40B4-BE49-F238E27FC236}">
              <a16:creationId xmlns:a16="http://schemas.microsoft.com/office/drawing/2014/main" id="{00000000-0008-0000-3100-00000D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4" name="Text Box 9">
          <a:extLst>
            <a:ext uri="{FF2B5EF4-FFF2-40B4-BE49-F238E27FC236}">
              <a16:creationId xmlns:a16="http://schemas.microsoft.com/office/drawing/2014/main" id="{00000000-0008-0000-3100-00000E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190500</xdr:colOff>
      <xdr:row>2</xdr:row>
      <xdr:rowOff>168082</xdr:rowOff>
    </xdr:from>
    <xdr:to>
      <xdr:col>9</xdr:col>
      <xdr:colOff>190499</xdr:colOff>
      <xdr:row>39</xdr:row>
      <xdr:rowOff>246524</xdr:rowOff>
    </xdr:to>
    <xdr:sp macro="" textlink="">
      <xdr:nvSpPr>
        <xdr:cNvPr id="15" name="Rechthoek 14">
          <a:hlinkClick xmlns:r="http://schemas.openxmlformats.org/officeDocument/2006/relationships" r:id="rId1"/>
          <a:extLst>
            <a:ext uri="{FF2B5EF4-FFF2-40B4-BE49-F238E27FC236}">
              <a16:creationId xmlns:a16="http://schemas.microsoft.com/office/drawing/2014/main" id="{00000000-0008-0000-3100-00000F000000}"/>
            </a:ext>
          </a:extLst>
        </xdr:cNvPr>
        <xdr:cNvSpPr/>
      </xdr:nvSpPr>
      <xdr:spPr bwMode="auto">
        <a:xfrm>
          <a:off x="1400735" y="851641"/>
          <a:ext cx="3115235" cy="106455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11202</xdr:colOff>
      <xdr:row>25</xdr:row>
      <xdr:rowOff>22408</xdr:rowOff>
    </xdr:from>
    <xdr:to>
      <xdr:col>20</xdr:col>
      <xdr:colOff>22409</xdr:colOff>
      <xdr:row>35</xdr:row>
      <xdr:rowOff>11203</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3100-000010000000}"/>
            </a:ext>
          </a:extLst>
        </xdr:cNvPr>
        <xdr:cNvSpPr/>
      </xdr:nvSpPr>
      <xdr:spPr bwMode="auto">
        <a:xfrm>
          <a:off x="6230467" y="7821702"/>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11202</xdr:colOff>
      <xdr:row>14</xdr:row>
      <xdr:rowOff>0</xdr:rowOff>
    </xdr:from>
    <xdr:to>
      <xdr:col>20</xdr:col>
      <xdr:colOff>11204</xdr:colOff>
      <xdr:row>24</xdr:row>
      <xdr:rowOff>0</xdr:rowOff>
    </xdr:to>
    <xdr:sp macro="" textlink="">
      <xdr:nvSpPr>
        <xdr:cNvPr id="17" name="Rechthoek 16">
          <a:hlinkClick xmlns:r="http://schemas.openxmlformats.org/officeDocument/2006/relationships" r:id="rId3"/>
          <a:extLst>
            <a:ext uri="{FF2B5EF4-FFF2-40B4-BE49-F238E27FC236}">
              <a16:creationId xmlns:a16="http://schemas.microsoft.com/office/drawing/2014/main" id="{00000000-0008-0000-3100-000011000000}"/>
            </a:ext>
          </a:extLst>
        </xdr:cNvPr>
        <xdr:cNvSpPr/>
      </xdr:nvSpPr>
      <xdr:spPr bwMode="auto">
        <a:xfrm>
          <a:off x="6230467" y="5087471"/>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11204</xdr:colOff>
      <xdr:row>36</xdr:row>
      <xdr:rowOff>0</xdr:rowOff>
    </xdr:from>
    <xdr:to>
      <xdr:col>19</xdr:col>
      <xdr:colOff>4045321</xdr:colOff>
      <xdr:row>45</xdr:row>
      <xdr:rowOff>224119</xdr:rowOff>
    </xdr:to>
    <xdr:sp macro="" textlink="">
      <xdr:nvSpPr>
        <xdr:cNvPr id="18" name="Rechthoek 17">
          <a:hlinkClick xmlns:r="http://schemas.openxmlformats.org/officeDocument/2006/relationships" r:id="rId4"/>
          <a:extLst>
            <a:ext uri="{FF2B5EF4-FFF2-40B4-BE49-F238E27FC236}">
              <a16:creationId xmlns:a16="http://schemas.microsoft.com/office/drawing/2014/main" id="{00000000-0008-0000-3100-000012000000}"/>
            </a:ext>
          </a:extLst>
        </xdr:cNvPr>
        <xdr:cNvSpPr/>
      </xdr:nvSpPr>
      <xdr:spPr bwMode="auto">
        <a:xfrm>
          <a:off x="6230469"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0</xdr:colOff>
      <xdr:row>65</xdr:row>
      <xdr:rowOff>0</xdr:rowOff>
    </xdr:from>
    <xdr:to>
      <xdr:col>19</xdr:col>
      <xdr:colOff>3585883</xdr:colOff>
      <xdr:row>70</xdr:row>
      <xdr:rowOff>256616</xdr:rowOff>
    </xdr:to>
    <xdr:graphicFrame macro="">
      <xdr:nvGraphicFramePr>
        <xdr:cNvPr id="19" name="Grafiek 18">
          <a:extLst>
            <a:ext uri="{FF2B5EF4-FFF2-40B4-BE49-F238E27FC236}">
              <a16:creationId xmlns:a16="http://schemas.microsoft.com/office/drawing/2014/main" id="{00000000-0008-0000-3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22413</xdr:colOff>
      <xdr:row>7</xdr:row>
      <xdr:rowOff>235323</xdr:rowOff>
    </xdr:from>
    <xdr:to>
      <xdr:col>20</xdr:col>
      <xdr:colOff>11206</xdr:colOff>
      <xdr:row>13</xdr:row>
      <xdr:rowOff>0</xdr:rowOff>
    </xdr:to>
    <xdr:graphicFrame macro="">
      <xdr:nvGraphicFramePr>
        <xdr:cNvPr id="20" name="Grafiek 19">
          <a:extLst>
            <a:ext uri="{FF2B5EF4-FFF2-40B4-BE49-F238E27FC236}">
              <a16:creationId xmlns:a16="http://schemas.microsoft.com/office/drawing/2014/main" id="{00000000-0008-0000-3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160805</xdr:colOff>
      <xdr:row>1</xdr:row>
      <xdr:rowOff>163605</xdr:rowOff>
    </xdr:from>
    <xdr:to>
      <xdr:col>4</xdr:col>
      <xdr:colOff>275105</xdr:colOff>
      <xdr:row>1</xdr:row>
      <xdr:rowOff>163605</xdr:rowOff>
    </xdr:to>
    <xdr:sp macro="" textlink="">
      <xdr:nvSpPr>
        <xdr:cNvPr id="24" name="Line 114">
          <a:extLst>
            <a:ext uri="{FF2B5EF4-FFF2-40B4-BE49-F238E27FC236}">
              <a16:creationId xmlns:a16="http://schemas.microsoft.com/office/drawing/2014/main" id="{00000000-0008-0000-3100-000018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21</xdr:col>
      <xdr:colOff>0</xdr:colOff>
      <xdr:row>3</xdr:row>
      <xdr:rowOff>582893</xdr:rowOff>
    </xdr:from>
    <xdr:to>
      <xdr:col>23</xdr:col>
      <xdr:colOff>122333</xdr:colOff>
      <xdr:row>3</xdr:row>
      <xdr:rowOff>1077072</xdr:rowOff>
    </xdr:to>
    <xdr:sp macro="" textlink="">
      <xdr:nvSpPr>
        <xdr:cNvPr id="26" name="AutoShape 48">
          <a:hlinkClick xmlns:r="http://schemas.openxmlformats.org/officeDocument/2006/relationships" r:id="rId7"/>
          <a:extLst>
            <a:ext uri="{FF2B5EF4-FFF2-40B4-BE49-F238E27FC236}">
              <a16:creationId xmlns:a16="http://schemas.microsoft.com/office/drawing/2014/main" id="{00000000-0008-0000-31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21</xdr:col>
      <xdr:colOff>0</xdr:colOff>
      <xdr:row>3</xdr:row>
      <xdr:rowOff>0</xdr:rowOff>
    </xdr:from>
    <xdr:to>
      <xdr:col>23</xdr:col>
      <xdr:colOff>122333</xdr:colOff>
      <xdr:row>3</xdr:row>
      <xdr:rowOff>506879</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31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20</xdr:col>
      <xdr:colOff>11206</xdr:colOff>
      <xdr:row>54</xdr:row>
      <xdr:rowOff>145676</xdr:rowOff>
    </xdr:to>
    <xdr:sp macro="" textlink="" fLocksText="0">
      <xdr:nvSpPr>
        <xdr:cNvPr id="28" name="Tekstvak 27">
          <a:extLst>
            <a:ext uri="{FF2B5EF4-FFF2-40B4-BE49-F238E27FC236}">
              <a16:creationId xmlns:a16="http://schemas.microsoft.com/office/drawing/2014/main" id="{00000000-0008-0000-3100-00001C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000">
            <a:latin typeface="Arial" panose="020B0604020202020204" pitchFamily="34" charset="0"/>
            <a:cs typeface="Arial" panose="020B0604020202020204" pitchFamily="34" charset="0"/>
          </a:endParaRPr>
        </a:p>
      </xdr:txBody>
    </xdr:sp>
    <xdr:clientData/>
  </xdr:twoCellAnchor>
  <xdr:twoCellAnchor>
    <xdr:from>
      <xdr:col>2</xdr:col>
      <xdr:colOff>7471</xdr:colOff>
      <xdr:row>3</xdr:row>
      <xdr:rowOff>717183</xdr:rowOff>
    </xdr:from>
    <xdr:to>
      <xdr:col>2</xdr:col>
      <xdr:colOff>818031</xdr:colOff>
      <xdr:row>3</xdr:row>
      <xdr:rowOff>931775</xdr:rowOff>
    </xdr:to>
    <xdr:sp macro="" textlink="">
      <xdr:nvSpPr>
        <xdr:cNvPr id="29" name="Text Box 9">
          <a:extLst>
            <a:ext uri="{FF2B5EF4-FFF2-40B4-BE49-F238E27FC236}">
              <a16:creationId xmlns:a16="http://schemas.microsoft.com/office/drawing/2014/main" id="{00000000-0008-0000-3100-00001D000000}"/>
            </a:ext>
          </a:extLst>
        </xdr:cNvPr>
        <xdr:cNvSpPr txBox="1">
          <a:spLocks noChangeArrowheads="1"/>
        </xdr:cNvSpPr>
      </xdr:nvSpPr>
      <xdr:spPr bwMode="auto">
        <a:xfrm>
          <a:off x="455706" y="1568830"/>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18</xdr:col>
      <xdr:colOff>0</xdr:colOff>
      <xdr:row>3</xdr:row>
      <xdr:rowOff>0</xdr:rowOff>
    </xdr:from>
    <xdr:to>
      <xdr:col>19</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3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180974</xdr:colOff>
      <xdr:row>12</xdr:row>
      <xdr:rowOff>133350</xdr:rowOff>
    </xdr:from>
    <xdr:to>
      <xdr:col>21</xdr:col>
      <xdr:colOff>104775</xdr:colOff>
      <xdr:row>37</xdr:row>
      <xdr:rowOff>9525</xdr:rowOff>
    </xdr:to>
    <xdr:sp macro="" textlink="">
      <xdr:nvSpPr>
        <xdr:cNvPr id="2" name="Toelichting met afgeronde rechthoek 3">
          <a:extLst>
            <a:ext uri="{FF2B5EF4-FFF2-40B4-BE49-F238E27FC236}">
              <a16:creationId xmlns:a16="http://schemas.microsoft.com/office/drawing/2014/main" id="{00000000-0008-0000-0400-000002000000}"/>
            </a:ext>
          </a:extLst>
        </xdr:cNvPr>
        <xdr:cNvSpPr/>
      </xdr:nvSpPr>
      <xdr:spPr bwMode="auto">
        <a:xfrm>
          <a:off x="7877174" y="2133600"/>
          <a:ext cx="5695951" cy="3844925"/>
        </a:xfrm>
        <a:prstGeom prst="wedgeRoundRectCallout">
          <a:avLst>
            <a:gd name="adj1" fmla="val -34918"/>
            <a:gd name="adj2" fmla="val 45541"/>
            <a:gd name="adj3" fmla="val 16667"/>
          </a:avLst>
        </a:prstGeom>
        <a:solidFill>
          <a:srgbClr val="99FFCC"/>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u="sng" baseline="0"/>
            <a:t>OPO</a:t>
          </a:r>
          <a:r>
            <a:rPr lang="nl-NL" sz="1100" u="none" baseline="0"/>
            <a:t> betekent Opbrengstgericht Passend Onderwijs. Uitgangpunt is de Middenmoot. Die komt met OPO in beeld.</a:t>
          </a:r>
        </a:p>
        <a:p>
          <a:pPr algn="l"/>
          <a:endParaRPr lang="nl-NL" sz="1100" u="none" baseline="0"/>
        </a:p>
        <a:p>
          <a:pPr algn="l"/>
          <a:r>
            <a:rPr lang="nl-NL" sz="1100" u="none" baseline="0"/>
            <a:t>Met het in beeld brengen van de Middenmoot (50% v.d. leerlingen) kun je de aanpak bepalen:</a:t>
          </a:r>
        </a:p>
        <a:p>
          <a:pPr algn="l"/>
          <a:endParaRPr lang="nl-NL" sz="1100" u="none" baseline="0"/>
        </a:p>
        <a:p>
          <a:pPr marL="0" marR="0" lvl="0" indent="0" algn="l" defTabSz="914400" eaLnBrk="1" fontAlgn="auto" latinLnBrk="0" hangingPunct="1">
            <a:lnSpc>
              <a:spcPct val="100000"/>
            </a:lnSpc>
            <a:spcBef>
              <a:spcPts val="0"/>
            </a:spcBef>
            <a:spcAft>
              <a:spcPts val="0"/>
            </a:spcAft>
            <a:buClrTx/>
            <a:buSzTx/>
            <a:buFontTx/>
            <a:buNone/>
            <a:tabLst/>
            <a:defRPr/>
          </a:pPr>
          <a:r>
            <a:rPr lang="nl-NL" sz="1400" baseline="0">
              <a:solidFill>
                <a:srgbClr val="FF0000"/>
              </a:solidFill>
              <a:effectLst/>
              <a:latin typeface="+mn-lt"/>
              <a:ea typeface="+mn-ea"/>
              <a:cs typeface="+mn-cs"/>
            </a:rPr>
            <a:t>- </a:t>
          </a:r>
          <a:r>
            <a:rPr lang="nl-NL" sz="1400" u="sng" baseline="0">
              <a:solidFill>
                <a:srgbClr val="FF0000"/>
              </a:solidFill>
              <a:effectLst/>
              <a:latin typeface="+mn-lt"/>
              <a:ea typeface="+mn-ea"/>
              <a:cs typeface="+mn-cs"/>
            </a:rPr>
            <a:t>alleen basisaanpak </a:t>
          </a:r>
          <a:r>
            <a:rPr lang="nl-NL" sz="1100" baseline="0">
              <a:solidFill>
                <a:schemeClr val="tx1"/>
              </a:solidFill>
              <a:effectLst/>
              <a:latin typeface="+mn-lt"/>
              <a:ea typeface="+mn-ea"/>
              <a:cs typeface="+mn-cs"/>
            </a:rPr>
            <a:t>(= de middenmoot zit tussen niveauwaarde 2 en 4)</a:t>
          </a:r>
          <a:endParaRPr lang="nl-NL" sz="1100" u="none" baseline="0">
            <a:solidFill>
              <a:schemeClr val="tx1"/>
            </a:solidFill>
          </a:endParaRPr>
        </a:p>
        <a:p>
          <a:pPr algn="l"/>
          <a:r>
            <a:rPr lang="nl-NL" sz="1400" u="none" baseline="0">
              <a:solidFill>
                <a:srgbClr val="FF0000"/>
              </a:solidFill>
            </a:rPr>
            <a:t>- </a:t>
          </a:r>
          <a:r>
            <a:rPr lang="nl-NL" sz="1400" u="sng" baseline="0">
              <a:solidFill>
                <a:srgbClr val="FF0000"/>
              </a:solidFill>
            </a:rPr>
            <a:t>basisaanpak + intensiveren </a:t>
          </a:r>
          <a:r>
            <a:rPr lang="nl-NL" sz="1100" u="none" baseline="0">
              <a:solidFill>
                <a:schemeClr val="tx1"/>
              </a:solidFill>
            </a:rPr>
            <a:t>(= de middenmoot schiet onder niveauwaarde 2)</a:t>
          </a:r>
        </a:p>
        <a:p>
          <a:pPr algn="l"/>
          <a:r>
            <a:rPr lang="nl-NL" sz="1400" u="none" baseline="0">
              <a:solidFill>
                <a:srgbClr val="FF0000"/>
              </a:solidFill>
            </a:rPr>
            <a:t>- </a:t>
          </a:r>
          <a:r>
            <a:rPr lang="nl-NL" sz="1400" u="sng" baseline="0">
              <a:solidFill>
                <a:srgbClr val="FF0000"/>
              </a:solidFill>
            </a:rPr>
            <a:t>basisaanpak + verrijken </a:t>
          </a:r>
          <a:r>
            <a:rPr lang="nl-NL" sz="1100" u="none" baseline="0">
              <a:solidFill>
                <a:schemeClr val="tx1"/>
              </a:solidFill>
            </a:rPr>
            <a:t>(= de middenmoot zit ook boven niveauwaarde 4)</a:t>
          </a:r>
        </a:p>
        <a:p>
          <a:pPr algn="l"/>
          <a:endParaRPr lang="nl-NL" sz="1100" u="none" baseline="0"/>
        </a:p>
        <a:p>
          <a:pPr algn="l"/>
          <a:r>
            <a:rPr lang="nl-NL" sz="1100" u="none" baseline="0"/>
            <a:t>Zie ook www.masterclassopo.nl</a:t>
          </a:r>
        </a:p>
        <a:p>
          <a:pPr algn="l"/>
          <a:endParaRPr lang="nl-NL" sz="1100" u="none" baseline="0"/>
        </a:p>
        <a:p>
          <a:pPr algn="l"/>
          <a:r>
            <a:rPr lang="nl-NL" sz="1100" u="none" baseline="0"/>
            <a:t>In dit overzicht wordt grafiek gemaakt van de niveauwaarden van:</a:t>
          </a:r>
        </a:p>
        <a:p>
          <a:pPr algn="l"/>
          <a:r>
            <a:rPr lang="nl-NL" sz="1100" u="none" baseline="0"/>
            <a:t>- het vorige jaar</a:t>
          </a:r>
        </a:p>
        <a:p>
          <a:pPr algn="l"/>
          <a:r>
            <a:rPr lang="nl-NL" sz="1100" u="none" baseline="0"/>
            <a:t>- de 1e toetsperiode</a:t>
          </a:r>
        </a:p>
        <a:p>
          <a:pPr algn="l"/>
          <a:r>
            <a:rPr lang="nl-NL" sz="1100" u="none" baseline="0"/>
            <a:t>- de 2e toetsperiode</a:t>
          </a:r>
          <a:endParaRPr lang="nl-NL" sz="1100" baseline="0"/>
        </a:p>
      </xdr:txBody>
    </xdr:sp>
    <xdr:clientData/>
  </xdr:twoCellAnchor>
  <xdr:twoCellAnchor>
    <xdr:from>
      <xdr:col>12</xdr:col>
      <xdr:colOff>428625</xdr:colOff>
      <xdr:row>3</xdr:row>
      <xdr:rowOff>38100</xdr:rowOff>
    </xdr:from>
    <xdr:to>
      <xdr:col>15</xdr:col>
      <xdr:colOff>276225</xdr:colOff>
      <xdr:row>10</xdr:row>
      <xdr:rowOff>123825</xdr:rowOff>
    </xdr:to>
    <xdr:sp macro="" textlink="">
      <xdr:nvSpPr>
        <xdr:cNvPr id="3" name="Pijl: links 7">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bwMode="auto">
        <a:xfrm flipH="1">
          <a:off x="8124825" y="609600"/>
          <a:ext cx="1771650" cy="1196975"/>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628650</xdr:colOff>
      <xdr:row>2</xdr:row>
      <xdr:rowOff>82550</xdr:rowOff>
    </xdr:from>
    <xdr:to>
      <xdr:col>11</xdr:col>
      <xdr:colOff>368300</xdr:colOff>
      <xdr:row>52</xdr:row>
      <xdr:rowOff>33966</xdr:rowOff>
    </xdr:to>
    <xdr:pic>
      <xdr:nvPicPr>
        <xdr:cNvPr id="5" name="Afbeelding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 y="495300"/>
          <a:ext cx="6794500" cy="7888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16</xdr:row>
      <xdr:rowOff>50800</xdr:rowOff>
    </xdr:from>
    <xdr:to>
      <xdr:col>11</xdr:col>
      <xdr:colOff>228600</xdr:colOff>
      <xdr:row>19</xdr:row>
      <xdr:rowOff>69850</xdr:rowOff>
    </xdr:to>
    <xdr:sp macro="" textlink="">
      <xdr:nvSpPr>
        <xdr:cNvPr id="6" name="Pijl: links 5">
          <a:extLst>
            <a:ext uri="{FF2B5EF4-FFF2-40B4-BE49-F238E27FC236}">
              <a16:creationId xmlns:a16="http://schemas.microsoft.com/office/drawing/2014/main" id="{00000000-0008-0000-0400-000006000000}"/>
            </a:ext>
          </a:extLst>
        </xdr:cNvPr>
        <xdr:cNvSpPr/>
      </xdr:nvSpPr>
      <xdr:spPr bwMode="auto">
        <a:xfrm>
          <a:off x="2565400" y="2686050"/>
          <a:ext cx="4718050" cy="495300"/>
        </a:xfrm>
        <a:prstGeom prst="leftArrow">
          <a:avLst/>
        </a:prstGeom>
        <a:solidFill>
          <a:srgbClr val="00B0F0"/>
        </a:solidFill>
        <a:ln w="9525" cap="flat" cmpd="sng" algn="ctr">
          <a:solidFill>
            <a:srgbClr val="400000"/>
          </a:solidFill>
          <a:prstDash val="solid"/>
          <a:round/>
          <a:headEnd type="none" w="med" len="med"/>
          <a:tailEnd type="none" w="med" len="med"/>
        </a:ln>
        <a:effectLst/>
      </xdr:spPr>
      <xdr:txBody>
        <a:bodyPr vertOverflow="clip" wrap="square" lIns="18288" tIns="0" rIns="0" bIns="0" rtlCol="0" anchor="ctr" upright="1"/>
        <a:lstStyle/>
        <a:p>
          <a:pPr algn="l"/>
          <a:r>
            <a:rPr lang="nl-NL" sz="1100">
              <a:solidFill>
                <a:schemeClr val="bg1"/>
              </a:solidFill>
            </a:rPr>
            <a:t>op</a:t>
          </a:r>
          <a:r>
            <a:rPr lang="nl-NL" sz="1100" baseline="0">
              <a:solidFill>
                <a:schemeClr val="bg1"/>
              </a:solidFill>
            </a:rPr>
            <a:t> basis van de schoolweging wordt een gemiddelde niveauwaarde berekend</a:t>
          </a:r>
          <a:endParaRPr lang="nl-NL" sz="1100">
            <a:solidFill>
              <a:schemeClr val="bg1"/>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28</xdr:col>
      <xdr:colOff>9524</xdr:colOff>
      <xdr:row>19</xdr:row>
      <xdr:rowOff>25400</xdr:rowOff>
    </xdr:from>
    <xdr:to>
      <xdr:col>34</xdr:col>
      <xdr:colOff>609599</xdr:colOff>
      <xdr:row>51</xdr:row>
      <xdr:rowOff>215900</xdr:rowOff>
    </xdr:to>
    <xdr:graphicFrame macro="">
      <xdr:nvGraphicFramePr>
        <xdr:cNvPr id="2" name="Grafiek 17">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228600</xdr:colOff>
          <xdr:row>7</xdr:row>
          <xdr:rowOff>19050</xdr:rowOff>
        </xdr:from>
        <xdr:to>
          <xdr:col>17</xdr:col>
          <xdr:colOff>581025</xdr:colOff>
          <xdr:row>7</xdr:row>
          <xdr:rowOff>228600</xdr:rowOff>
        </xdr:to>
        <xdr:sp macro="" textlink="">
          <xdr:nvSpPr>
            <xdr:cNvPr id="86017" name="Option Button 1" hidden="1">
              <a:extLst>
                <a:ext uri="{63B3BB69-23CF-44E3-9099-C40C66FF867C}">
                  <a14:compatExt spid="_x0000_s86017"/>
                </a:ext>
                <a:ext uri="{FF2B5EF4-FFF2-40B4-BE49-F238E27FC236}">
                  <a16:creationId xmlns:a16="http://schemas.microsoft.com/office/drawing/2014/main" id="{00000000-0008-0000-32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8</xdr:row>
          <xdr:rowOff>19050</xdr:rowOff>
        </xdr:from>
        <xdr:to>
          <xdr:col>17</xdr:col>
          <xdr:colOff>581025</xdr:colOff>
          <xdr:row>8</xdr:row>
          <xdr:rowOff>228600</xdr:rowOff>
        </xdr:to>
        <xdr:sp macro="" textlink="">
          <xdr:nvSpPr>
            <xdr:cNvPr id="86018" name="Option Button 2" hidden="1">
              <a:extLst>
                <a:ext uri="{63B3BB69-23CF-44E3-9099-C40C66FF867C}">
                  <a14:compatExt spid="_x0000_s86018"/>
                </a:ext>
                <a:ext uri="{FF2B5EF4-FFF2-40B4-BE49-F238E27FC236}">
                  <a16:creationId xmlns:a16="http://schemas.microsoft.com/office/drawing/2014/main" id="{00000000-0008-0000-32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9</xdr:row>
          <xdr:rowOff>9525</xdr:rowOff>
        </xdr:from>
        <xdr:to>
          <xdr:col>17</xdr:col>
          <xdr:colOff>581025</xdr:colOff>
          <xdr:row>9</xdr:row>
          <xdr:rowOff>228600</xdr:rowOff>
        </xdr:to>
        <xdr:sp macro="" textlink="">
          <xdr:nvSpPr>
            <xdr:cNvPr id="86019" name="Option Button 3" hidden="1">
              <a:extLst>
                <a:ext uri="{63B3BB69-23CF-44E3-9099-C40C66FF867C}">
                  <a14:compatExt spid="_x0000_s86019"/>
                </a:ext>
                <a:ext uri="{FF2B5EF4-FFF2-40B4-BE49-F238E27FC236}">
                  <a16:creationId xmlns:a16="http://schemas.microsoft.com/office/drawing/2014/main" id="{00000000-0008-0000-32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10</xdr:row>
          <xdr:rowOff>9525</xdr:rowOff>
        </xdr:from>
        <xdr:to>
          <xdr:col>17</xdr:col>
          <xdr:colOff>581025</xdr:colOff>
          <xdr:row>10</xdr:row>
          <xdr:rowOff>228600</xdr:rowOff>
        </xdr:to>
        <xdr:sp macro="" textlink="">
          <xdr:nvSpPr>
            <xdr:cNvPr id="86020" name="Option Button 4" hidden="1">
              <a:extLst>
                <a:ext uri="{63B3BB69-23CF-44E3-9099-C40C66FF867C}">
                  <a14:compatExt spid="_x0000_s86020"/>
                </a:ext>
                <a:ext uri="{FF2B5EF4-FFF2-40B4-BE49-F238E27FC236}">
                  <a16:creationId xmlns:a16="http://schemas.microsoft.com/office/drawing/2014/main" id="{00000000-0008-0000-32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13</xdr:row>
          <xdr:rowOff>19050</xdr:rowOff>
        </xdr:from>
        <xdr:to>
          <xdr:col>3</xdr:col>
          <xdr:colOff>409575</xdr:colOff>
          <xdr:row>13</xdr:row>
          <xdr:rowOff>228600</xdr:rowOff>
        </xdr:to>
        <xdr:sp macro="" textlink="">
          <xdr:nvSpPr>
            <xdr:cNvPr id="86021" name="Option Button 5" hidden="1">
              <a:extLst>
                <a:ext uri="{63B3BB69-23CF-44E3-9099-C40C66FF867C}">
                  <a14:compatExt spid="_x0000_s86021"/>
                </a:ext>
                <a:ext uri="{FF2B5EF4-FFF2-40B4-BE49-F238E27FC236}">
                  <a16:creationId xmlns:a16="http://schemas.microsoft.com/office/drawing/2014/main" id="{00000000-0008-0000-32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xdr:row>
          <xdr:rowOff>247650</xdr:rowOff>
        </xdr:from>
        <xdr:to>
          <xdr:col>26</xdr:col>
          <xdr:colOff>704850</xdr:colOff>
          <xdr:row>11</xdr:row>
          <xdr:rowOff>0</xdr:rowOff>
        </xdr:to>
        <xdr:sp macro="" textlink="">
          <xdr:nvSpPr>
            <xdr:cNvPr id="86022" name="Group Box 6" hidden="1">
              <a:extLst>
                <a:ext uri="{63B3BB69-23CF-44E3-9099-C40C66FF867C}">
                  <a14:compatExt spid="_x0000_s86022"/>
                </a:ext>
                <a:ext uri="{FF2B5EF4-FFF2-40B4-BE49-F238E27FC236}">
                  <a16:creationId xmlns:a16="http://schemas.microsoft.com/office/drawing/2014/main" id="{00000000-0008-0000-3200-00000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13</xdr:row>
          <xdr:rowOff>19050</xdr:rowOff>
        </xdr:from>
        <xdr:to>
          <xdr:col>4</xdr:col>
          <xdr:colOff>409575</xdr:colOff>
          <xdr:row>13</xdr:row>
          <xdr:rowOff>228600</xdr:rowOff>
        </xdr:to>
        <xdr:sp macro="" textlink="">
          <xdr:nvSpPr>
            <xdr:cNvPr id="86023" name="Option Button 7" hidden="1">
              <a:extLst>
                <a:ext uri="{63B3BB69-23CF-44E3-9099-C40C66FF867C}">
                  <a14:compatExt spid="_x0000_s86023"/>
                </a:ext>
                <a:ext uri="{FF2B5EF4-FFF2-40B4-BE49-F238E27FC236}">
                  <a16:creationId xmlns:a16="http://schemas.microsoft.com/office/drawing/2014/main" id="{00000000-0008-0000-32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13</xdr:row>
          <xdr:rowOff>19050</xdr:rowOff>
        </xdr:from>
        <xdr:to>
          <xdr:col>5</xdr:col>
          <xdr:colOff>409575</xdr:colOff>
          <xdr:row>13</xdr:row>
          <xdr:rowOff>228600</xdr:rowOff>
        </xdr:to>
        <xdr:sp macro="" textlink="">
          <xdr:nvSpPr>
            <xdr:cNvPr id="86024" name="Option Button 8" hidden="1">
              <a:extLst>
                <a:ext uri="{63B3BB69-23CF-44E3-9099-C40C66FF867C}">
                  <a14:compatExt spid="_x0000_s86024"/>
                </a:ext>
                <a:ext uri="{FF2B5EF4-FFF2-40B4-BE49-F238E27FC236}">
                  <a16:creationId xmlns:a16="http://schemas.microsoft.com/office/drawing/2014/main" id="{00000000-0008-0000-32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13</xdr:row>
          <xdr:rowOff>19050</xdr:rowOff>
        </xdr:from>
        <xdr:to>
          <xdr:col>6</xdr:col>
          <xdr:colOff>409575</xdr:colOff>
          <xdr:row>13</xdr:row>
          <xdr:rowOff>228600</xdr:rowOff>
        </xdr:to>
        <xdr:sp macro="" textlink="">
          <xdr:nvSpPr>
            <xdr:cNvPr id="86025" name="Option Button 9" hidden="1">
              <a:extLst>
                <a:ext uri="{63B3BB69-23CF-44E3-9099-C40C66FF867C}">
                  <a14:compatExt spid="_x0000_s86025"/>
                </a:ext>
                <a:ext uri="{FF2B5EF4-FFF2-40B4-BE49-F238E27FC236}">
                  <a16:creationId xmlns:a16="http://schemas.microsoft.com/office/drawing/2014/main" id="{00000000-0008-0000-32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14</xdr:row>
          <xdr:rowOff>19050</xdr:rowOff>
        </xdr:from>
        <xdr:to>
          <xdr:col>3</xdr:col>
          <xdr:colOff>409575</xdr:colOff>
          <xdr:row>14</xdr:row>
          <xdr:rowOff>228600</xdr:rowOff>
        </xdr:to>
        <xdr:sp macro="" textlink="">
          <xdr:nvSpPr>
            <xdr:cNvPr id="86026" name="Option Button 10" hidden="1">
              <a:extLst>
                <a:ext uri="{63B3BB69-23CF-44E3-9099-C40C66FF867C}">
                  <a14:compatExt spid="_x0000_s86026"/>
                </a:ext>
                <a:ext uri="{FF2B5EF4-FFF2-40B4-BE49-F238E27FC236}">
                  <a16:creationId xmlns:a16="http://schemas.microsoft.com/office/drawing/2014/main" id="{00000000-0008-0000-32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14</xdr:row>
          <xdr:rowOff>19050</xdr:rowOff>
        </xdr:from>
        <xdr:to>
          <xdr:col>4</xdr:col>
          <xdr:colOff>409575</xdr:colOff>
          <xdr:row>14</xdr:row>
          <xdr:rowOff>228600</xdr:rowOff>
        </xdr:to>
        <xdr:sp macro="" textlink="">
          <xdr:nvSpPr>
            <xdr:cNvPr id="86027" name="Option Button 11" hidden="1">
              <a:extLst>
                <a:ext uri="{63B3BB69-23CF-44E3-9099-C40C66FF867C}">
                  <a14:compatExt spid="_x0000_s86027"/>
                </a:ext>
                <a:ext uri="{FF2B5EF4-FFF2-40B4-BE49-F238E27FC236}">
                  <a16:creationId xmlns:a16="http://schemas.microsoft.com/office/drawing/2014/main" id="{00000000-0008-0000-32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19050</xdr:rowOff>
        </xdr:from>
        <xdr:to>
          <xdr:col>5</xdr:col>
          <xdr:colOff>409575</xdr:colOff>
          <xdr:row>14</xdr:row>
          <xdr:rowOff>228600</xdr:rowOff>
        </xdr:to>
        <xdr:sp macro="" textlink="">
          <xdr:nvSpPr>
            <xdr:cNvPr id="86028" name="Option Button 12" hidden="1">
              <a:extLst>
                <a:ext uri="{63B3BB69-23CF-44E3-9099-C40C66FF867C}">
                  <a14:compatExt spid="_x0000_s86028"/>
                </a:ext>
                <a:ext uri="{FF2B5EF4-FFF2-40B4-BE49-F238E27FC236}">
                  <a16:creationId xmlns:a16="http://schemas.microsoft.com/office/drawing/2014/main" id="{00000000-0008-0000-32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14</xdr:row>
          <xdr:rowOff>19050</xdr:rowOff>
        </xdr:from>
        <xdr:to>
          <xdr:col>6</xdr:col>
          <xdr:colOff>409575</xdr:colOff>
          <xdr:row>14</xdr:row>
          <xdr:rowOff>228600</xdr:rowOff>
        </xdr:to>
        <xdr:sp macro="" textlink="">
          <xdr:nvSpPr>
            <xdr:cNvPr id="86029" name="Option Button 13" hidden="1">
              <a:extLst>
                <a:ext uri="{63B3BB69-23CF-44E3-9099-C40C66FF867C}">
                  <a14:compatExt spid="_x0000_s86029"/>
                </a:ext>
                <a:ext uri="{FF2B5EF4-FFF2-40B4-BE49-F238E27FC236}">
                  <a16:creationId xmlns:a16="http://schemas.microsoft.com/office/drawing/2014/main" id="{00000000-0008-0000-3200-00000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15</xdr:row>
          <xdr:rowOff>19050</xdr:rowOff>
        </xdr:from>
        <xdr:to>
          <xdr:col>3</xdr:col>
          <xdr:colOff>409575</xdr:colOff>
          <xdr:row>15</xdr:row>
          <xdr:rowOff>228600</xdr:rowOff>
        </xdr:to>
        <xdr:sp macro="" textlink="">
          <xdr:nvSpPr>
            <xdr:cNvPr id="86030" name="Option Button 14" hidden="1">
              <a:extLst>
                <a:ext uri="{63B3BB69-23CF-44E3-9099-C40C66FF867C}">
                  <a14:compatExt spid="_x0000_s86030"/>
                </a:ext>
                <a:ext uri="{FF2B5EF4-FFF2-40B4-BE49-F238E27FC236}">
                  <a16:creationId xmlns:a16="http://schemas.microsoft.com/office/drawing/2014/main" id="{00000000-0008-0000-3200-00000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15</xdr:row>
          <xdr:rowOff>19050</xdr:rowOff>
        </xdr:from>
        <xdr:to>
          <xdr:col>4</xdr:col>
          <xdr:colOff>409575</xdr:colOff>
          <xdr:row>15</xdr:row>
          <xdr:rowOff>228600</xdr:rowOff>
        </xdr:to>
        <xdr:sp macro="" textlink="">
          <xdr:nvSpPr>
            <xdr:cNvPr id="86031" name="Option Button 15" hidden="1">
              <a:extLst>
                <a:ext uri="{63B3BB69-23CF-44E3-9099-C40C66FF867C}">
                  <a14:compatExt spid="_x0000_s86031"/>
                </a:ext>
                <a:ext uri="{FF2B5EF4-FFF2-40B4-BE49-F238E27FC236}">
                  <a16:creationId xmlns:a16="http://schemas.microsoft.com/office/drawing/2014/main" id="{00000000-0008-0000-3200-00000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15</xdr:row>
          <xdr:rowOff>19050</xdr:rowOff>
        </xdr:from>
        <xdr:to>
          <xdr:col>5</xdr:col>
          <xdr:colOff>409575</xdr:colOff>
          <xdr:row>15</xdr:row>
          <xdr:rowOff>228600</xdr:rowOff>
        </xdr:to>
        <xdr:sp macro="" textlink="">
          <xdr:nvSpPr>
            <xdr:cNvPr id="86032" name="Option Button 16" hidden="1">
              <a:extLst>
                <a:ext uri="{63B3BB69-23CF-44E3-9099-C40C66FF867C}">
                  <a14:compatExt spid="_x0000_s86032"/>
                </a:ext>
                <a:ext uri="{FF2B5EF4-FFF2-40B4-BE49-F238E27FC236}">
                  <a16:creationId xmlns:a16="http://schemas.microsoft.com/office/drawing/2014/main" id="{00000000-0008-0000-3200-00001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15</xdr:row>
          <xdr:rowOff>19050</xdr:rowOff>
        </xdr:from>
        <xdr:to>
          <xdr:col>6</xdr:col>
          <xdr:colOff>409575</xdr:colOff>
          <xdr:row>15</xdr:row>
          <xdr:rowOff>228600</xdr:rowOff>
        </xdr:to>
        <xdr:sp macro="" textlink="">
          <xdr:nvSpPr>
            <xdr:cNvPr id="86033" name="Option Button 17" hidden="1">
              <a:extLst>
                <a:ext uri="{63B3BB69-23CF-44E3-9099-C40C66FF867C}">
                  <a14:compatExt spid="_x0000_s86033"/>
                </a:ext>
                <a:ext uri="{FF2B5EF4-FFF2-40B4-BE49-F238E27FC236}">
                  <a16:creationId xmlns:a16="http://schemas.microsoft.com/office/drawing/2014/main" id="{00000000-0008-0000-3200-00001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16</xdr:row>
          <xdr:rowOff>19050</xdr:rowOff>
        </xdr:from>
        <xdr:to>
          <xdr:col>3</xdr:col>
          <xdr:colOff>409575</xdr:colOff>
          <xdr:row>16</xdr:row>
          <xdr:rowOff>228600</xdr:rowOff>
        </xdr:to>
        <xdr:sp macro="" textlink="">
          <xdr:nvSpPr>
            <xdr:cNvPr id="86034" name="Option Button 18" hidden="1">
              <a:extLst>
                <a:ext uri="{63B3BB69-23CF-44E3-9099-C40C66FF867C}">
                  <a14:compatExt spid="_x0000_s86034"/>
                </a:ext>
                <a:ext uri="{FF2B5EF4-FFF2-40B4-BE49-F238E27FC236}">
                  <a16:creationId xmlns:a16="http://schemas.microsoft.com/office/drawing/2014/main" id="{00000000-0008-0000-3200-00001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16</xdr:row>
          <xdr:rowOff>19050</xdr:rowOff>
        </xdr:from>
        <xdr:to>
          <xdr:col>4</xdr:col>
          <xdr:colOff>409575</xdr:colOff>
          <xdr:row>16</xdr:row>
          <xdr:rowOff>228600</xdr:rowOff>
        </xdr:to>
        <xdr:sp macro="" textlink="">
          <xdr:nvSpPr>
            <xdr:cNvPr id="86035" name="Option Button 19" hidden="1">
              <a:extLst>
                <a:ext uri="{63B3BB69-23CF-44E3-9099-C40C66FF867C}">
                  <a14:compatExt spid="_x0000_s86035"/>
                </a:ext>
                <a:ext uri="{FF2B5EF4-FFF2-40B4-BE49-F238E27FC236}">
                  <a16:creationId xmlns:a16="http://schemas.microsoft.com/office/drawing/2014/main" id="{00000000-0008-0000-3200-00001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16</xdr:row>
          <xdr:rowOff>19050</xdr:rowOff>
        </xdr:from>
        <xdr:to>
          <xdr:col>5</xdr:col>
          <xdr:colOff>409575</xdr:colOff>
          <xdr:row>16</xdr:row>
          <xdr:rowOff>228600</xdr:rowOff>
        </xdr:to>
        <xdr:sp macro="" textlink="">
          <xdr:nvSpPr>
            <xdr:cNvPr id="86036" name="Option Button 20" hidden="1">
              <a:extLst>
                <a:ext uri="{63B3BB69-23CF-44E3-9099-C40C66FF867C}">
                  <a14:compatExt spid="_x0000_s86036"/>
                </a:ext>
                <a:ext uri="{FF2B5EF4-FFF2-40B4-BE49-F238E27FC236}">
                  <a16:creationId xmlns:a16="http://schemas.microsoft.com/office/drawing/2014/main" id="{00000000-0008-0000-3200-00001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16</xdr:row>
          <xdr:rowOff>19050</xdr:rowOff>
        </xdr:from>
        <xdr:to>
          <xdr:col>6</xdr:col>
          <xdr:colOff>409575</xdr:colOff>
          <xdr:row>16</xdr:row>
          <xdr:rowOff>228600</xdr:rowOff>
        </xdr:to>
        <xdr:sp macro="" textlink="">
          <xdr:nvSpPr>
            <xdr:cNvPr id="86037" name="Option Button 21" hidden="1">
              <a:extLst>
                <a:ext uri="{63B3BB69-23CF-44E3-9099-C40C66FF867C}">
                  <a14:compatExt spid="_x0000_s86037"/>
                </a:ext>
                <a:ext uri="{FF2B5EF4-FFF2-40B4-BE49-F238E27FC236}">
                  <a16:creationId xmlns:a16="http://schemas.microsoft.com/office/drawing/2014/main" id="{00000000-0008-0000-3200-00001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19050</xdr:rowOff>
        </xdr:from>
        <xdr:to>
          <xdr:col>3</xdr:col>
          <xdr:colOff>409575</xdr:colOff>
          <xdr:row>17</xdr:row>
          <xdr:rowOff>228600</xdr:rowOff>
        </xdr:to>
        <xdr:sp macro="" textlink="">
          <xdr:nvSpPr>
            <xdr:cNvPr id="86038" name="Option Button 22" hidden="1">
              <a:extLst>
                <a:ext uri="{63B3BB69-23CF-44E3-9099-C40C66FF867C}">
                  <a14:compatExt spid="_x0000_s86038"/>
                </a:ext>
                <a:ext uri="{FF2B5EF4-FFF2-40B4-BE49-F238E27FC236}">
                  <a16:creationId xmlns:a16="http://schemas.microsoft.com/office/drawing/2014/main" id="{00000000-0008-0000-3200-00001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17</xdr:row>
          <xdr:rowOff>19050</xdr:rowOff>
        </xdr:from>
        <xdr:to>
          <xdr:col>4</xdr:col>
          <xdr:colOff>409575</xdr:colOff>
          <xdr:row>17</xdr:row>
          <xdr:rowOff>228600</xdr:rowOff>
        </xdr:to>
        <xdr:sp macro="" textlink="">
          <xdr:nvSpPr>
            <xdr:cNvPr id="86039" name="Option Button 23" hidden="1">
              <a:extLst>
                <a:ext uri="{63B3BB69-23CF-44E3-9099-C40C66FF867C}">
                  <a14:compatExt spid="_x0000_s86039"/>
                </a:ext>
                <a:ext uri="{FF2B5EF4-FFF2-40B4-BE49-F238E27FC236}">
                  <a16:creationId xmlns:a16="http://schemas.microsoft.com/office/drawing/2014/main" id="{00000000-0008-0000-3200-00001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19050</xdr:rowOff>
        </xdr:from>
        <xdr:to>
          <xdr:col>5</xdr:col>
          <xdr:colOff>409575</xdr:colOff>
          <xdr:row>17</xdr:row>
          <xdr:rowOff>228600</xdr:rowOff>
        </xdr:to>
        <xdr:sp macro="" textlink="">
          <xdr:nvSpPr>
            <xdr:cNvPr id="86040" name="Option Button 24" hidden="1">
              <a:extLst>
                <a:ext uri="{63B3BB69-23CF-44E3-9099-C40C66FF867C}">
                  <a14:compatExt spid="_x0000_s86040"/>
                </a:ext>
                <a:ext uri="{FF2B5EF4-FFF2-40B4-BE49-F238E27FC236}">
                  <a16:creationId xmlns:a16="http://schemas.microsoft.com/office/drawing/2014/main" id="{00000000-0008-0000-3200-00001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17</xdr:row>
          <xdr:rowOff>19050</xdr:rowOff>
        </xdr:from>
        <xdr:to>
          <xdr:col>6</xdr:col>
          <xdr:colOff>409575</xdr:colOff>
          <xdr:row>17</xdr:row>
          <xdr:rowOff>228600</xdr:rowOff>
        </xdr:to>
        <xdr:sp macro="" textlink="">
          <xdr:nvSpPr>
            <xdr:cNvPr id="86041" name="Option Button 25" hidden="1">
              <a:extLst>
                <a:ext uri="{63B3BB69-23CF-44E3-9099-C40C66FF867C}">
                  <a14:compatExt spid="_x0000_s86041"/>
                </a:ext>
                <a:ext uri="{FF2B5EF4-FFF2-40B4-BE49-F238E27FC236}">
                  <a16:creationId xmlns:a16="http://schemas.microsoft.com/office/drawing/2014/main" id="{00000000-0008-0000-3200-00001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18</xdr:row>
          <xdr:rowOff>19050</xdr:rowOff>
        </xdr:from>
        <xdr:to>
          <xdr:col>3</xdr:col>
          <xdr:colOff>409575</xdr:colOff>
          <xdr:row>18</xdr:row>
          <xdr:rowOff>228600</xdr:rowOff>
        </xdr:to>
        <xdr:sp macro="" textlink="">
          <xdr:nvSpPr>
            <xdr:cNvPr id="86042" name="Option Button 26" hidden="1">
              <a:extLst>
                <a:ext uri="{63B3BB69-23CF-44E3-9099-C40C66FF867C}">
                  <a14:compatExt spid="_x0000_s86042"/>
                </a:ext>
                <a:ext uri="{FF2B5EF4-FFF2-40B4-BE49-F238E27FC236}">
                  <a16:creationId xmlns:a16="http://schemas.microsoft.com/office/drawing/2014/main" id="{00000000-0008-0000-3200-00001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19050</xdr:rowOff>
        </xdr:from>
        <xdr:to>
          <xdr:col>4</xdr:col>
          <xdr:colOff>409575</xdr:colOff>
          <xdr:row>18</xdr:row>
          <xdr:rowOff>228600</xdr:rowOff>
        </xdr:to>
        <xdr:sp macro="" textlink="">
          <xdr:nvSpPr>
            <xdr:cNvPr id="86043" name="Option Button 27" hidden="1">
              <a:extLst>
                <a:ext uri="{63B3BB69-23CF-44E3-9099-C40C66FF867C}">
                  <a14:compatExt spid="_x0000_s86043"/>
                </a:ext>
                <a:ext uri="{FF2B5EF4-FFF2-40B4-BE49-F238E27FC236}">
                  <a16:creationId xmlns:a16="http://schemas.microsoft.com/office/drawing/2014/main" id="{00000000-0008-0000-3200-00001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18</xdr:row>
          <xdr:rowOff>19050</xdr:rowOff>
        </xdr:from>
        <xdr:to>
          <xdr:col>5</xdr:col>
          <xdr:colOff>409575</xdr:colOff>
          <xdr:row>18</xdr:row>
          <xdr:rowOff>228600</xdr:rowOff>
        </xdr:to>
        <xdr:sp macro="" textlink="">
          <xdr:nvSpPr>
            <xdr:cNvPr id="86044" name="Option Button 28" hidden="1">
              <a:extLst>
                <a:ext uri="{63B3BB69-23CF-44E3-9099-C40C66FF867C}">
                  <a14:compatExt spid="_x0000_s86044"/>
                </a:ext>
                <a:ext uri="{FF2B5EF4-FFF2-40B4-BE49-F238E27FC236}">
                  <a16:creationId xmlns:a16="http://schemas.microsoft.com/office/drawing/2014/main" id="{00000000-0008-0000-3200-00001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18</xdr:row>
          <xdr:rowOff>19050</xdr:rowOff>
        </xdr:from>
        <xdr:to>
          <xdr:col>6</xdr:col>
          <xdr:colOff>409575</xdr:colOff>
          <xdr:row>18</xdr:row>
          <xdr:rowOff>228600</xdr:rowOff>
        </xdr:to>
        <xdr:sp macro="" textlink="">
          <xdr:nvSpPr>
            <xdr:cNvPr id="86045" name="Option Button 29" hidden="1">
              <a:extLst>
                <a:ext uri="{63B3BB69-23CF-44E3-9099-C40C66FF867C}">
                  <a14:compatExt spid="_x0000_s86045"/>
                </a:ext>
                <a:ext uri="{FF2B5EF4-FFF2-40B4-BE49-F238E27FC236}">
                  <a16:creationId xmlns:a16="http://schemas.microsoft.com/office/drawing/2014/main" id="{00000000-0008-0000-3200-00001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19</xdr:row>
          <xdr:rowOff>19050</xdr:rowOff>
        </xdr:from>
        <xdr:to>
          <xdr:col>3</xdr:col>
          <xdr:colOff>409575</xdr:colOff>
          <xdr:row>19</xdr:row>
          <xdr:rowOff>228600</xdr:rowOff>
        </xdr:to>
        <xdr:sp macro="" textlink="">
          <xdr:nvSpPr>
            <xdr:cNvPr id="86046" name="Option Button 30" hidden="1">
              <a:extLst>
                <a:ext uri="{63B3BB69-23CF-44E3-9099-C40C66FF867C}">
                  <a14:compatExt spid="_x0000_s86046"/>
                </a:ext>
                <a:ext uri="{FF2B5EF4-FFF2-40B4-BE49-F238E27FC236}">
                  <a16:creationId xmlns:a16="http://schemas.microsoft.com/office/drawing/2014/main" id="{00000000-0008-0000-3200-00001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19</xdr:row>
          <xdr:rowOff>19050</xdr:rowOff>
        </xdr:from>
        <xdr:to>
          <xdr:col>4</xdr:col>
          <xdr:colOff>409575</xdr:colOff>
          <xdr:row>19</xdr:row>
          <xdr:rowOff>228600</xdr:rowOff>
        </xdr:to>
        <xdr:sp macro="" textlink="">
          <xdr:nvSpPr>
            <xdr:cNvPr id="86047" name="Option Button 31" hidden="1">
              <a:extLst>
                <a:ext uri="{63B3BB69-23CF-44E3-9099-C40C66FF867C}">
                  <a14:compatExt spid="_x0000_s86047"/>
                </a:ext>
                <a:ext uri="{FF2B5EF4-FFF2-40B4-BE49-F238E27FC236}">
                  <a16:creationId xmlns:a16="http://schemas.microsoft.com/office/drawing/2014/main" id="{00000000-0008-0000-3200-00001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19</xdr:row>
          <xdr:rowOff>19050</xdr:rowOff>
        </xdr:from>
        <xdr:to>
          <xdr:col>5</xdr:col>
          <xdr:colOff>409575</xdr:colOff>
          <xdr:row>19</xdr:row>
          <xdr:rowOff>228600</xdr:rowOff>
        </xdr:to>
        <xdr:sp macro="" textlink="">
          <xdr:nvSpPr>
            <xdr:cNvPr id="86048" name="Option Button 32" hidden="1">
              <a:extLst>
                <a:ext uri="{63B3BB69-23CF-44E3-9099-C40C66FF867C}">
                  <a14:compatExt spid="_x0000_s86048"/>
                </a:ext>
                <a:ext uri="{FF2B5EF4-FFF2-40B4-BE49-F238E27FC236}">
                  <a16:creationId xmlns:a16="http://schemas.microsoft.com/office/drawing/2014/main" id="{00000000-0008-0000-3200-00002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19</xdr:row>
          <xdr:rowOff>19050</xdr:rowOff>
        </xdr:from>
        <xdr:to>
          <xdr:col>6</xdr:col>
          <xdr:colOff>409575</xdr:colOff>
          <xdr:row>19</xdr:row>
          <xdr:rowOff>228600</xdr:rowOff>
        </xdr:to>
        <xdr:sp macro="" textlink="">
          <xdr:nvSpPr>
            <xdr:cNvPr id="86049" name="Option Button 33" hidden="1">
              <a:extLst>
                <a:ext uri="{63B3BB69-23CF-44E3-9099-C40C66FF867C}">
                  <a14:compatExt spid="_x0000_s86049"/>
                </a:ext>
                <a:ext uri="{FF2B5EF4-FFF2-40B4-BE49-F238E27FC236}">
                  <a16:creationId xmlns:a16="http://schemas.microsoft.com/office/drawing/2014/main" id="{00000000-0008-0000-3200-00002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19050</xdr:rowOff>
        </xdr:from>
        <xdr:to>
          <xdr:col>3</xdr:col>
          <xdr:colOff>409575</xdr:colOff>
          <xdr:row>20</xdr:row>
          <xdr:rowOff>228600</xdr:rowOff>
        </xdr:to>
        <xdr:sp macro="" textlink="">
          <xdr:nvSpPr>
            <xdr:cNvPr id="86050" name="Option Button 34" hidden="1">
              <a:extLst>
                <a:ext uri="{63B3BB69-23CF-44E3-9099-C40C66FF867C}">
                  <a14:compatExt spid="_x0000_s86050"/>
                </a:ext>
                <a:ext uri="{FF2B5EF4-FFF2-40B4-BE49-F238E27FC236}">
                  <a16:creationId xmlns:a16="http://schemas.microsoft.com/office/drawing/2014/main" id="{00000000-0008-0000-3200-00002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20</xdr:row>
          <xdr:rowOff>19050</xdr:rowOff>
        </xdr:from>
        <xdr:to>
          <xdr:col>4</xdr:col>
          <xdr:colOff>409575</xdr:colOff>
          <xdr:row>20</xdr:row>
          <xdr:rowOff>228600</xdr:rowOff>
        </xdr:to>
        <xdr:sp macro="" textlink="">
          <xdr:nvSpPr>
            <xdr:cNvPr id="86051" name="Option Button 35" hidden="1">
              <a:extLst>
                <a:ext uri="{63B3BB69-23CF-44E3-9099-C40C66FF867C}">
                  <a14:compatExt spid="_x0000_s86051"/>
                </a:ext>
                <a:ext uri="{FF2B5EF4-FFF2-40B4-BE49-F238E27FC236}">
                  <a16:creationId xmlns:a16="http://schemas.microsoft.com/office/drawing/2014/main" id="{00000000-0008-0000-3200-00002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20</xdr:row>
          <xdr:rowOff>19050</xdr:rowOff>
        </xdr:from>
        <xdr:to>
          <xdr:col>5</xdr:col>
          <xdr:colOff>409575</xdr:colOff>
          <xdr:row>20</xdr:row>
          <xdr:rowOff>228600</xdr:rowOff>
        </xdr:to>
        <xdr:sp macro="" textlink="">
          <xdr:nvSpPr>
            <xdr:cNvPr id="86052" name="Option Button 36" hidden="1">
              <a:extLst>
                <a:ext uri="{63B3BB69-23CF-44E3-9099-C40C66FF867C}">
                  <a14:compatExt spid="_x0000_s86052"/>
                </a:ext>
                <a:ext uri="{FF2B5EF4-FFF2-40B4-BE49-F238E27FC236}">
                  <a16:creationId xmlns:a16="http://schemas.microsoft.com/office/drawing/2014/main" id="{00000000-0008-0000-3200-00002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20</xdr:row>
          <xdr:rowOff>19050</xdr:rowOff>
        </xdr:from>
        <xdr:to>
          <xdr:col>6</xdr:col>
          <xdr:colOff>409575</xdr:colOff>
          <xdr:row>20</xdr:row>
          <xdr:rowOff>228600</xdr:rowOff>
        </xdr:to>
        <xdr:sp macro="" textlink="">
          <xdr:nvSpPr>
            <xdr:cNvPr id="86053" name="Option Button 37" hidden="1">
              <a:extLst>
                <a:ext uri="{63B3BB69-23CF-44E3-9099-C40C66FF867C}">
                  <a14:compatExt spid="_x0000_s86053"/>
                </a:ext>
                <a:ext uri="{FF2B5EF4-FFF2-40B4-BE49-F238E27FC236}">
                  <a16:creationId xmlns:a16="http://schemas.microsoft.com/office/drawing/2014/main" id="{00000000-0008-0000-3200-00002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21</xdr:row>
          <xdr:rowOff>19050</xdr:rowOff>
        </xdr:from>
        <xdr:to>
          <xdr:col>3</xdr:col>
          <xdr:colOff>409575</xdr:colOff>
          <xdr:row>21</xdr:row>
          <xdr:rowOff>228600</xdr:rowOff>
        </xdr:to>
        <xdr:sp macro="" textlink="">
          <xdr:nvSpPr>
            <xdr:cNvPr id="86054" name="Option Button 38" hidden="1">
              <a:extLst>
                <a:ext uri="{63B3BB69-23CF-44E3-9099-C40C66FF867C}">
                  <a14:compatExt spid="_x0000_s86054"/>
                </a:ext>
                <a:ext uri="{FF2B5EF4-FFF2-40B4-BE49-F238E27FC236}">
                  <a16:creationId xmlns:a16="http://schemas.microsoft.com/office/drawing/2014/main" id="{00000000-0008-0000-3200-00002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21</xdr:row>
          <xdr:rowOff>19050</xdr:rowOff>
        </xdr:from>
        <xdr:to>
          <xdr:col>4</xdr:col>
          <xdr:colOff>409575</xdr:colOff>
          <xdr:row>21</xdr:row>
          <xdr:rowOff>228600</xdr:rowOff>
        </xdr:to>
        <xdr:sp macro="" textlink="">
          <xdr:nvSpPr>
            <xdr:cNvPr id="86055" name="Option Button 39" hidden="1">
              <a:extLst>
                <a:ext uri="{63B3BB69-23CF-44E3-9099-C40C66FF867C}">
                  <a14:compatExt spid="_x0000_s86055"/>
                </a:ext>
                <a:ext uri="{FF2B5EF4-FFF2-40B4-BE49-F238E27FC236}">
                  <a16:creationId xmlns:a16="http://schemas.microsoft.com/office/drawing/2014/main" id="{00000000-0008-0000-3200-00002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21</xdr:row>
          <xdr:rowOff>19050</xdr:rowOff>
        </xdr:from>
        <xdr:to>
          <xdr:col>5</xdr:col>
          <xdr:colOff>409575</xdr:colOff>
          <xdr:row>21</xdr:row>
          <xdr:rowOff>228600</xdr:rowOff>
        </xdr:to>
        <xdr:sp macro="" textlink="">
          <xdr:nvSpPr>
            <xdr:cNvPr id="86056" name="Option Button 40" hidden="1">
              <a:extLst>
                <a:ext uri="{63B3BB69-23CF-44E3-9099-C40C66FF867C}">
                  <a14:compatExt spid="_x0000_s86056"/>
                </a:ext>
                <a:ext uri="{FF2B5EF4-FFF2-40B4-BE49-F238E27FC236}">
                  <a16:creationId xmlns:a16="http://schemas.microsoft.com/office/drawing/2014/main" id="{00000000-0008-0000-3200-00002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21</xdr:row>
          <xdr:rowOff>19050</xdr:rowOff>
        </xdr:from>
        <xdr:to>
          <xdr:col>6</xdr:col>
          <xdr:colOff>409575</xdr:colOff>
          <xdr:row>21</xdr:row>
          <xdr:rowOff>228600</xdr:rowOff>
        </xdr:to>
        <xdr:sp macro="" textlink="">
          <xdr:nvSpPr>
            <xdr:cNvPr id="86057" name="Option Button 41" hidden="1">
              <a:extLst>
                <a:ext uri="{63B3BB69-23CF-44E3-9099-C40C66FF867C}">
                  <a14:compatExt spid="_x0000_s86057"/>
                </a:ext>
                <a:ext uri="{FF2B5EF4-FFF2-40B4-BE49-F238E27FC236}">
                  <a16:creationId xmlns:a16="http://schemas.microsoft.com/office/drawing/2014/main" id="{00000000-0008-0000-3200-00002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22</xdr:row>
          <xdr:rowOff>19050</xdr:rowOff>
        </xdr:from>
        <xdr:to>
          <xdr:col>3</xdr:col>
          <xdr:colOff>409575</xdr:colOff>
          <xdr:row>22</xdr:row>
          <xdr:rowOff>228600</xdr:rowOff>
        </xdr:to>
        <xdr:sp macro="" textlink="">
          <xdr:nvSpPr>
            <xdr:cNvPr id="86058" name="Option Button 42" hidden="1">
              <a:extLst>
                <a:ext uri="{63B3BB69-23CF-44E3-9099-C40C66FF867C}">
                  <a14:compatExt spid="_x0000_s86058"/>
                </a:ext>
                <a:ext uri="{FF2B5EF4-FFF2-40B4-BE49-F238E27FC236}">
                  <a16:creationId xmlns:a16="http://schemas.microsoft.com/office/drawing/2014/main" id="{00000000-0008-0000-3200-00002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22</xdr:row>
          <xdr:rowOff>19050</xdr:rowOff>
        </xdr:from>
        <xdr:to>
          <xdr:col>4</xdr:col>
          <xdr:colOff>409575</xdr:colOff>
          <xdr:row>22</xdr:row>
          <xdr:rowOff>228600</xdr:rowOff>
        </xdr:to>
        <xdr:sp macro="" textlink="">
          <xdr:nvSpPr>
            <xdr:cNvPr id="86059" name="Option Button 43" hidden="1">
              <a:extLst>
                <a:ext uri="{63B3BB69-23CF-44E3-9099-C40C66FF867C}">
                  <a14:compatExt spid="_x0000_s86059"/>
                </a:ext>
                <a:ext uri="{FF2B5EF4-FFF2-40B4-BE49-F238E27FC236}">
                  <a16:creationId xmlns:a16="http://schemas.microsoft.com/office/drawing/2014/main" id="{00000000-0008-0000-3200-00002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19050</xdr:rowOff>
        </xdr:from>
        <xdr:to>
          <xdr:col>5</xdr:col>
          <xdr:colOff>409575</xdr:colOff>
          <xdr:row>22</xdr:row>
          <xdr:rowOff>228600</xdr:rowOff>
        </xdr:to>
        <xdr:sp macro="" textlink="">
          <xdr:nvSpPr>
            <xdr:cNvPr id="86060" name="Option Button 44" hidden="1">
              <a:extLst>
                <a:ext uri="{63B3BB69-23CF-44E3-9099-C40C66FF867C}">
                  <a14:compatExt spid="_x0000_s86060"/>
                </a:ext>
                <a:ext uri="{FF2B5EF4-FFF2-40B4-BE49-F238E27FC236}">
                  <a16:creationId xmlns:a16="http://schemas.microsoft.com/office/drawing/2014/main" id="{00000000-0008-0000-3200-00002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22</xdr:row>
          <xdr:rowOff>19050</xdr:rowOff>
        </xdr:from>
        <xdr:to>
          <xdr:col>6</xdr:col>
          <xdr:colOff>409575</xdr:colOff>
          <xdr:row>22</xdr:row>
          <xdr:rowOff>228600</xdr:rowOff>
        </xdr:to>
        <xdr:sp macro="" textlink="">
          <xdr:nvSpPr>
            <xdr:cNvPr id="86061" name="Option Button 45" hidden="1">
              <a:extLst>
                <a:ext uri="{63B3BB69-23CF-44E3-9099-C40C66FF867C}">
                  <a14:compatExt spid="_x0000_s86061"/>
                </a:ext>
                <a:ext uri="{FF2B5EF4-FFF2-40B4-BE49-F238E27FC236}">
                  <a16:creationId xmlns:a16="http://schemas.microsoft.com/office/drawing/2014/main" id="{00000000-0008-0000-3200-00002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23</xdr:row>
          <xdr:rowOff>19050</xdr:rowOff>
        </xdr:from>
        <xdr:to>
          <xdr:col>3</xdr:col>
          <xdr:colOff>409575</xdr:colOff>
          <xdr:row>23</xdr:row>
          <xdr:rowOff>228600</xdr:rowOff>
        </xdr:to>
        <xdr:sp macro="" textlink="">
          <xdr:nvSpPr>
            <xdr:cNvPr id="86062" name="Option Button 46" hidden="1">
              <a:extLst>
                <a:ext uri="{63B3BB69-23CF-44E3-9099-C40C66FF867C}">
                  <a14:compatExt spid="_x0000_s86062"/>
                </a:ext>
                <a:ext uri="{FF2B5EF4-FFF2-40B4-BE49-F238E27FC236}">
                  <a16:creationId xmlns:a16="http://schemas.microsoft.com/office/drawing/2014/main" id="{00000000-0008-0000-3200-00002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23</xdr:row>
          <xdr:rowOff>19050</xdr:rowOff>
        </xdr:from>
        <xdr:to>
          <xdr:col>4</xdr:col>
          <xdr:colOff>409575</xdr:colOff>
          <xdr:row>23</xdr:row>
          <xdr:rowOff>228600</xdr:rowOff>
        </xdr:to>
        <xdr:sp macro="" textlink="">
          <xdr:nvSpPr>
            <xdr:cNvPr id="86063" name="Option Button 47" hidden="1">
              <a:extLst>
                <a:ext uri="{63B3BB69-23CF-44E3-9099-C40C66FF867C}">
                  <a14:compatExt spid="_x0000_s86063"/>
                </a:ext>
                <a:ext uri="{FF2B5EF4-FFF2-40B4-BE49-F238E27FC236}">
                  <a16:creationId xmlns:a16="http://schemas.microsoft.com/office/drawing/2014/main" id="{00000000-0008-0000-3200-00002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23</xdr:row>
          <xdr:rowOff>19050</xdr:rowOff>
        </xdr:from>
        <xdr:to>
          <xdr:col>5</xdr:col>
          <xdr:colOff>409575</xdr:colOff>
          <xdr:row>23</xdr:row>
          <xdr:rowOff>228600</xdr:rowOff>
        </xdr:to>
        <xdr:sp macro="" textlink="">
          <xdr:nvSpPr>
            <xdr:cNvPr id="86064" name="Option Button 48" hidden="1">
              <a:extLst>
                <a:ext uri="{63B3BB69-23CF-44E3-9099-C40C66FF867C}">
                  <a14:compatExt spid="_x0000_s86064"/>
                </a:ext>
                <a:ext uri="{FF2B5EF4-FFF2-40B4-BE49-F238E27FC236}">
                  <a16:creationId xmlns:a16="http://schemas.microsoft.com/office/drawing/2014/main" id="{00000000-0008-0000-3200-00003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23</xdr:row>
          <xdr:rowOff>19050</xdr:rowOff>
        </xdr:from>
        <xdr:to>
          <xdr:col>6</xdr:col>
          <xdr:colOff>409575</xdr:colOff>
          <xdr:row>23</xdr:row>
          <xdr:rowOff>228600</xdr:rowOff>
        </xdr:to>
        <xdr:sp macro="" textlink="">
          <xdr:nvSpPr>
            <xdr:cNvPr id="86065" name="Option Button 49" hidden="1">
              <a:extLst>
                <a:ext uri="{63B3BB69-23CF-44E3-9099-C40C66FF867C}">
                  <a14:compatExt spid="_x0000_s86065"/>
                </a:ext>
                <a:ext uri="{FF2B5EF4-FFF2-40B4-BE49-F238E27FC236}">
                  <a16:creationId xmlns:a16="http://schemas.microsoft.com/office/drawing/2014/main" id="{00000000-0008-0000-3200-00003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24</xdr:row>
          <xdr:rowOff>19050</xdr:rowOff>
        </xdr:from>
        <xdr:to>
          <xdr:col>3</xdr:col>
          <xdr:colOff>409575</xdr:colOff>
          <xdr:row>24</xdr:row>
          <xdr:rowOff>228600</xdr:rowOff>
        </xdr:to>
        <xdr:sp macro="" textlink="">
          <xdr:nvSpPr>
            <xdr:cNvPr id="86066" name="Option Button 50" hidden="1">
              <a:extLst>
                <a:ext uri="{63B3BB69-23CF-44E3-9099-C40C66FF867C}">
                  <a14:compatExt spid="_x0000_s86066"/>
                </a:ext>
                <a:ext uri="{FF2B5EF4-FFF2-40B4-BE49-F238E27FC236}">
                  <a16:creationId xmlns:a16="http://schemas.microsoft.com/office/drawing/2014/main" id="{00000000-0008-0000-3200-00003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24</xdr:row>
          <xdr:rowOff>19050</xdr:rowOff>
        </xdr:from>
        <xdr:to>
          <xdr:col>4</xdr:col>
          <xdr:colOff>409575</xdr:colOff>
          <xdr:row>24</xdr:row>
          <xdr:rowOff>228600</xdr:rowOff>
        </xdr:to>
        <xdr:sp macro="" textlink="">
          <xdr:nvSpPr>
            <xdr:cNvPr id="86067" name="Option Button 51" hidden="1">
              <a:extLst>
                <a:ext uri="{63B3BB69-23CF-44E3-9099-C40C66FF867C}">
                  <a14:compatExt spid="_x0000_s86067"/>
                </a:ext>
                <a:ext uri="{FF2B5EF4-FFF2-40B4-BE49-F238E27FC236}">
                  <a16:creationId xmlns:a16="http://schemas.microsoft.com/office/drawing/2014/main" id="{00000000-0008-0000-3200-00003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24</xdr:row>
          <xdr:rowOff>19050</xdr:rowOff>
        </xdr:from>
        <xdr:to>
          <xdr:col>5</xdr:col>
          <xdr:colOff>409575</xdr:colOff>
          <xdr:row>24</xdr:row>
          <xdr:rowOff>228600</xdr:rowOff>
        </xdr:to>
        <xdr:sp macro="" textlink="">
          <xdr:nvSpPr>
            <xdr:cNvPr id="86068" name="Option Button 52" hidden="1">
              <a:extLst>
                <a:ext uri="{63B3BB69-23CF-44E3-9099-C40C66FF867C}">
                  <a14:compatExt spid="_x0000_s86068"/>
                </a:ext>
                <a:ext uri="{FF2B5EF4-FFF2-40B4-BE49-F238E27FC236}">
                  <a16:creationId xmlns:a16="http://schemas.microsoft.com/office/drawing/2014/main" id="{00000000-0008-0000-3200-00003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24</xdr:row>
          <xdr:rowOff>19050</xdr:rowOff>
        </xdr:from>
        <xdr:to>
          <xdr:col>6</xdr:col>
          <xdr:colOff>409575</xdr:colOff>
          <xdr:row>24</xdr:row>
          <xdr:rowOff>228600</xdr:rowOff>
        </xdr:to>
        <xdr:sp macro="" textlink="">
          <xdr:nvSpPr>
            <xdr:cNvPr id="86069" name="Option Button 53" hidden="1">
              <a:extLst>
                <a:ext uri="{63B3BB69-23CF-44E3-9099-C40C66FF867C}">
                  <a14:compatExt spid="_x0000_s86069"/>
                </a:ext>
                <a:ext uri="{FF2B5EF4-FFF2-40B4-BE49-F238E27FC236}">
                  <a16:creationId xmlns:a16="http://schemas.microsoft.com/office/drawing/2014/main" id="{00000000-0008-0000-3200-00003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25</xdr:row>
          <xdr:rowOff>19050</xdr:rowOff>
        </xdr:from>
        <xdr:to>
          <xdr:col>3</xdr:col>
          <xdr:colOff>409575</xdr:colOff>
          <xdr:row>25</xdr:row>
          <xdr:rowOff>228600</xdr:rowOff>
        </xdr:to>
        <xdr:sp macro="" textlink="">
          <xdr:nvSpPr>
            <xdr:cNvPr id="86070" name="Option Button 54" hidden="1">
              <a:extLst>
                <a:ext uri="{63B3BB69-23CF-44E3-9099-C40C66FF867C}">
                  <a14:compatExt spid="_x0000_s86070"/>
                </a:ext>
                <a:ext uri="{FF2B5EF4-FFF2-40B4-BE49-F238E27FC236}">
                  <a16:creationId xmlns:a16="http://schemas.microsoft.com/office/drawing/2014/main" id="{00000000-0008-0000-3200-00003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25</xdr:row>
          <xdr:rowOff>19050</xdr:rowOff>
        </xdr:from>
        <xdr:to>
          <xdr:col>4</xdr:col>
          <xdr:colOff>409575</xdr:colOff>
          <xdr:row>25</xdr:row>
          <xdr:rowOff>228600</xdr:rowOff>
        </xdr:to>
        <xdr:sp macro="" textlink="">
          <xdr:nvSpPr>
            <xdr:cNvPr id="86071" name="Option Button 55" hidden="1">
              <a:extLst>
                <a:ext uri="{63B3BB69-23CF-44E3-9099-C40C66FF867C}">
                  <a14:compatExt spid="_x0000_s86071"/>
                </a:ext>
                <a:ext uri="{FF2B5EF4-FFF2-40B4-BE49-F238E27FC236}">
                  <a16:creationId xmlns:a16="http://schemas.microsoft.com/office/drawing/2014/main" id="{00000000-0008-0000-3200-00003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25</xdr:row>
          <xdr:rowOff>19050</xdr:rowOff>
        </xdr:from>
        <xdr:to>
          <xdr:col>5</xdr:col>
          <xdr:colOff>409575</xdr:colOff>
          <xdr:row>25</xdr:row>
          <xdr:rowOff>228600</xdr:rowOff>
        </xdr:to>
        <xdr:sp macro="" textlink="">
          <xdr:nvSpPr>
            <xdr:cNvPr id="86072" name="Option Button 56" hidden="1">
              <a:extLst>
                <a:ext uri="{63B3BB69-23CF-44E3-9099-C40C66FF867C}">
                  <a14:compatExt spid="_x0000_s86072"/>
                </a:ext>
                <a:ext uri="{FF2B5EF4-FFF2-40B4-BE49-F238E27FC236}">
                  <a16:creationId xmlns:a16="http://schemas.microsoft.com/office/drawing/2014/main" id="{00000000-0008-0000-3200-00003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25</xdr:row>
          <xdr:rowOff>19050</xdr:rowOff>
        </xdr:from>
        <xdr:to>
          <xdr:col>6</xdr:col>
          <xdr:colOff>409575</xdr:colOff>
          <xdr:row>25</xdr:row>
          <xdr:rowOff>228600</xdr:rowOff>
        </xdr:to>
        <xdr:sp macro="" textlink="">
          <xdr:nvSpPr>
            <xdr:cNvPr id="86073" name="Option Button 57" hidden="1">
              <a:extLst>
                <a:ext uri="{63B3BB69-23CF-44E3-9099-C40C66FF867C}">
                  <a14:compatExt spid="_x0000_s86073"/>
                </a:ext>
                <a:ext uri="{FF2B5EF4-FFF2-40B4-BE49-F238E27FC236}">
                  <a16:creationId xmlns:a16="http://schemas.microsoft.com/office/drawing/2014/main" id="{00000000-0008-0000-3200-00003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19050</xdr:rowOff>
        </xdr:from>
        <xdr:to>
          <xdr:col>3</xdr:col>
          <xdr:colOff>409575</xdr:colOff>
          <xdr:row>26</xdr:row>
          <xdr:rowOff>228600</xdr:rowOff>
        </xdr:to>
        <xdr:sp macro="" textlink="">
          <xdr:nvSpPr>
            <xdr:cNvPr id="86074" name="Option Button 58" hidden="1">
              <a:extLst>
                <a:ext uri="{63B3BB69-23CF-44E3-9099-C40C66FF867C}">
                  <a14:compatExt spid="_x0000_s86074"/>
                </a:ext>
                <a:ext uri="{FF2B5EF4-FFF2-40B4-BE49-F238E27FC236}">
                  <a16:creationId xmlns:a16="http://schemas.microsoft.com/office/drawing/2014/main" id="{00000000-0008-0000-3200-00003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26</xdr:row>
          <xdr:rowOff>19050</xdr:rowOff>
        </xdr:from>
        <xdr:to>
          <xdr:col>4</xdr:col>
          <xdr:colOff>409575</xdr:colOff>
          <xdr:row>26</xdr:row>
          <xdr:rowOff>228600</xdr:rowOff>
        </xdr:to>
        <xdr:sp macro="" textlink="">
          <xdr:nvSpPr>
            <xdr:cNvPr id="86075" name="Option Button 59" hidden="1">
              <a:extLst>
                <a:ext uri="{63B3BB69-23CF-44E3-9099-C40C66FF867C}">
                  <a14:compatExt spid="_x0000_s86075"/>
                </a:ext>
                <a:ext uri="{FF2B5EF4-FFF2-40B4-BE49-F238E27FC236}">
                  <a16:creationId xmlns:a16="http://schemas.microsoft.com/office/drawing/2014/main" id="{00000000-0008-0000-3200-00003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26</xdr:row>
          <xdr:rowOff>19050</xdr:rowOff>
        </xdr:from>
        <xdr:to>
          <xdr:col>5</xdr:col>
          <xdr:colOff>409575</xdr:colOff>
          <xdr:row>26</xdr:row>
          <xdr:rowOff>228600</xdr:rowOff>
        </xdr:to>
        <xdr:sp macro="" textlink="">
          <xdr:nvSpPr>
            <xdr:cNvPr id="86076" name="Option Button 60" hidden="1">
              <a:extLst>
                <a:ext uri="{63B3BB69-23CF-44E3-9099-C40C66FF867C}">
                  <a14:compatExt spid="_x0000_s86076"/>
                </a:ext>
                <a:ext uri="{FF2B5EF4-FFF2-40B4-BE49-F238E27FC236}">
                  <a16:creationId xmlns:a16="http://schemas.microsoft.com/office/drawing/2014/main" id="{00000000-0008-0000-3200-00003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26</xdr:row>
          <xdr:rowOff>19050</xdr:rowOff>
        </xdr:from>
        <xdr:to>
          <xdr:col>6</xdr:col>
          <xdr:colOff>409575</xdr:colOff>
          <xdr:row>26</xdr:row>
          <xdr:rowOff>228600</xdr:rowOff>
        </xdr:to>
        <xdr:sp macro="" textlink="">
          <xdr:nvSpPr>
            <xdr:cNvPr id="86077" name="Option Button 61" hidden="1">
              <a:extLst>
                <a:ext uri="{63B3BB69-23CF-44E3-9099-C40C66FF867C}">
                  <a14:compatExt spid="_x0000_s86077"/>
                </a:ext>
                <a:ext uri="{FF2B5EF4-FFF2-40B4-BE49-F238E27FC236}">
                  <a16:creationId xmlns:a16="http://schemas.microsoft.com/office/drawing/2014/main" id="{00000000-0008-0000-3200-00003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27</xdr:row>
          <xdr:rowOff>19050</xdr:rowOff>
        </xdr:from>
        <xdr:to>
          <xdr:col>3</xdr:col>
          <xdr:colOff>409575</xdr:colOff>
          <xdr:row>27</xdr:row>
          <xdr:rowOff>228600</xdr:rowOff>
        </xdr:to>
        <xdr:sp macro="" textlink="">
          <xdr:nvSpPr>
            <xdr:cNvPr id="86078" name="Option Button 62" hidden="1">
              <a:extLst>
                <a:ext uri="{63B3BB69-23CF-44E3-9099-C40C66FF867C}">
                  <a14:compatExt spid="_x0000_s86078"/>
                </a:ext>
                <a:ext uri="{FF2B5EF4-FFF2-40B4-BE49-F238E27FC236}">
                  <a16:creationId xmlns:a16="http://schemas.microsoft.com/office/drawing/2014/main" id="{00000000-0008-0000-3200-00003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27</xdr:row>
          <xdr:rowOff>19050</xdr:rowOff>
        </xdr:from>
        <xdr:to>
          <xdr:col>4</xdr:col>
          <xdr:colOff>409575</xdr:colOff>
          <xdr:row>27</xdr:row>
          <xdr:rowOff>228600</xdr:rowOff>
        </xdr:to>
        <xdr:sp macro="" textlink="">
          <xdr:nvSpPr>
            <xdr:cNvPr id="86079" name="Option Button 63" hidden="1">
              <a:extLst>
                <a:ext uri="{63B3BB69-23CF-44E3-9099-C40C66FF867C}">
                  <a14:compatExt spid="_x0000_s86079"/>
                </a:ext>
                <a:ext uri="{FF2B5EF4-FFF2-40B4-BE49-F238E27FC236}">
                  <a16:creationId xmlns:a16="http://schemas.microsoft.com/office/drawing/2014/main" id="{00000000-0008-0000-3200-00003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27</xdr:row>
          <xdr:rowOff>19050</xdr:rowOff>
        </xdr:from>
        <xdr:to>
          <xdr:col>5</xdr:col>
          <xdr:colOff>409575</xdr:colOff>
          <xdr:row>27</xdr:row>
          <xdr:rowOff>228600</xdr:rowOff>
        </xdr:to>
        <xdr:sp macro="" textlink="">
          <xdr:nvSpPr>
            <xdr:cNvPr id="86080" name="Option Button 64" hidden="1">
              <a:extLst>
                <a:ext uri="{63B3BB69-23CF-44E3-9099-C40C66FF867C}">
                  <a14:compatExt spid="_x0000_s86080"/>
                </a:ext>
                <a:ext uri="{FF2B5EF4-FFF2-40B4-BE49-F238E27FC236}">
                  <a16:creationId xmlns:a16="http://schemas.microsoft.com/office/drawing/2014/main" id="{00000000-0008-0000-3200-00004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27</xdr:row>
          <xdr:rowOff>19050</xdr:rowOff>
        </xdr:from>
        <xdr:to>
          <xdr:col>6</xdr:col>
          <xdr:colOff>409575</xdr:colOff>
          <xdr:row>27</xdr:row>
          <xdr:rowOff>228600</xdr:rowOff>
        </xdr:to>
        <xdr:sp macro="" textlink="">
          <xdr:nvSpPr>
            <xdr:cNvPr id="86081" name="Option Button 65" hidden="1">
              <a:extLst>
                <a:ext uri="{63B3BB69-23CF-44E3-9099-C40C66FF867C}">
                  <a14:compatExt spid="_x0000_s86081"/>
                </a:ext>
                <a:ext uri="{FF2B5EF4-FFF2-40B4-BE49-F238E27FC236}">
                  <a16:creationId xmlns:a16="http://schemas.microsoft.com/office/drawing/2014/main" id="{00000000-0008-0000-3200-00004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28</xdr:row>
          <xdr:rowOff>19050</xdr:rowOff>
        </xdr:from>
        <xdr:to>
          <xdr:col>3</xdr:col>
          <xdr:colOff>409575</xdr:colOff>
          <xdr:row>28</xdr:row>
          <xdr:rowOff>228600</xdr:rowOff>
        </xdr:to>
        <xdr:sp macro="" textlink="">
          <xdr:nvSpPr>
            <xdr:cNvPr id="86082" name="Option Button 66" hidden="1">
              <a:extLst>
                <a:ext uri="{63B3BB69-23CF-44E3-9099-C40C66FF867C}">
                  <a14:compatExt spid="_x0000_s86082"/>
                </a:ext>
                <a:ext uri="{FF2B5EF4-FFF2-40B4-BE49-F238E27FC236}">
                  <a16:creationId xmlns:a16="http://schemas.microsoft.com/office/drawing/2014/main" id="{00000000-0008-0000-3200-00004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28</xdr:row>
          <xdr:rowOff>19050</xdr:rowOff>
        </xdr:from>
        <xdr:to>
          <xdr:col>4</xdr:col>
          <xdr:colOff>409575</xdr:colOff>
          <xdr:row>28</xdr:row>
          <xdr:rowOff>228600</xdr:rowOff>
        </xdr:to>
        <xdr:sp macro="" textlink="">
          <xdr:nvSpPr>
            <xdr:cNvPr id="86083" name="Option Button 67" hidden="1">
              <a:extLst>
                <a:ext uri="{63B3BB69-23CF-44E3-9099-C40C66FF867C}">
                  <a14:compatExt spid="_x0000_s86083"/>
                </a:ext>
                <a:ext uri="{FF2B5EF4-FFF2-40B4-BE49-F238E27FC236}">
                  <a16:creationId xmlns:a16="http://schemas.microsoft.com/office/drawing/2014/main" id="{00000000-0008-0000-3200-00004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28</xdr:row>
          <xdr:rowOff>19050</xdr:rowOff>
        </xdr:from>
        <xdr:to>
          <xdr:col>5</xdr:col>
          <xdr:colOff>409575</xdr:colOff>
          <xdr:row>28</xdr:row>
          <xdr:rowOff>228600</xdr:rowOff>
        </xdr:to>
        <xdr:sp macro="" textlink="">
          <xdr:nvSpPr>
            <xdr:cNvPr id="86084" name="Option Button 68" hidden="1">
              <a:extLst>
                <a:ext uri="{63B3BB69-23CF-44E3-9099-C40C66FF867C}">
                  <a14:compatExt spid="_x0000_s86084"/>
                </a:ext>
                <a:ext uri="{FF2B5EF4-FFF2-40B4-BE49-F238E27FC236}">
                  <a16:creationId xmlns:a16="http://schemas.microsoft.com/office/drawing/2014/main" id="{00000000-0008-0000-3200-00004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28</xdr:row>
          <xdr:rowOff>19050</xdr:rowOff>
        </xdr:from>
        <xdr:to>
          <xdr:col>6</xdr:col>
          <xdr:colOff>409575</xdr:colOff>
          <xdr:row>28</xdr:row>
          <xdr:rowOff>228600</xdr:rowOff>
        </xdr:to>
        <xdr:sp macro="" textlink="">
          <xdr:nvSpPr>
            <xdr:cNvPr id="86085" name="Option Button 69" hidden="1">
              <a:extLst>
                <a:ext uri="{63B3BB69-23CF-44E3-9099-C40C66FF867C}">
                  <a14:compatExt spid="_x0000_s86085"/>
                </a:ext>
                <a:ext uri="{FF2B5EF4-FFF2-40B4-BE49-F238E27FC236}">
                  <a16:creationId xmlns:a16="http://schemas.microsoft.com/office/drawing/2014/main" id="{00000000-0008-0000-3200-00004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19050</xdr:rowOff>
        </xdr:from>
        <xdr:to>
          <xdr:col>3</xdr:col>
          <xdr:colOff>409575</xdr:colOff>
          <xdr:row>29</xdr:row>
          <xdr:rowOff>228600</xdr:rowOff>
        </xdr:to>
        <xdr:sp macro="" textlink="">
          <xdr:nvSpPr>
            <xdr:cNvPr id="86086" name="Option Button 70" hidden="1">
              <a:extLst>
                <a:ext uri="{63B3BB69-23CF-44E3-9099-C40C66FF867C}">
                  <a14:compatExt spid="_x0000_s86086"/>
                </a:ext>
                <a:ext uri="{FF2B5EF4-FFF2-40B4-BE49-F238E27FC236}">
                  <a16:creationId xmlns:a16="http://schemas.microsoft.com/office/drawing/2014/main" id="{00000000-0008-0000-3200-00004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29</xdr:row>
          <xdr:rowOff>19050</xdr:rowOff>
        </xdr:from>
        <xdr:to>
          <xdr:col>4</xdr:col>
          <xdr:colOff>409575</xdr:colOff>
          <xdr:row>29</xdr:row>
          <xdr:rowOff>228600</xdr:rowOff>
        </xdr:to>
        <xdr:sp macro="" textlink="">
          <xdr:nvSpPr>
            <xdr:cNvPr id="86087" name="Option Button 71" hidden="1">
              <a:extLst>
                <a:ext uri="{63B3BB69-23CF-44E3-9099-C40C66FF867C}">
                  <a14:compatExt spid="_x0000_s86087"/>
                </a:ext>
                <a:ext uri="{FF2B5EF4-FFF2-40B4-BE49-F238E27FC236}">
                  <a16:creationId xmlns:a16="http://schemas.microsoft.com/office/drawing/2014/main" id="{00000000-0008-0000-3200-00004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29</xdr:row>
          <xdr:rowOff>19050</xdr:rowOff>
        </xdr:from>
        <xdr:to>
          <xdr:col>5</xdr:col>
          <xdr:colOff>409575</xdr:colOff>
          <xdr:row>29</xdr:row>
          <xdr:rowOff>228600</xdr:rowOff>
        </xdr:to>
        <xdr:sp macro="" textlink="">
          <xdr:nvSpPr>
            <xdr:cNvPr id="86088" name="Option Button 72" hidden="1">
              <a:extLst>
                <a:ext uri="{63B3BB69-23CF-44E3-9099-C40C66FF867C}">
                  <a14:compatExt spid="_x0000_s86088"/>
                </a:ext>
                <a:ext uri="{FF2B5EF4-FFF2-40B4-BE49-F238E27FC236}">
                  <a16:creationId xmlns:a16="http://schemas.microsoft.com/office/drawing/2014/main" id="{00000000-0008-0000-3200-00004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29</xdr:row>
          <xdr:rowOff>19050</xdr:rowOff>
        </xdr:from>
        <xdr:to>
          <xdr:col>6</xdr:col>
          <xdr:colOff>409575</xdr:colOff>
          <xdr:row>29</xdr:row>
          <xdr:rowOff>228600</xdr:rowOff>
        </xdr:to>
        <xdr:sp macro="" textlink="">
          <xdr:nvSpPr>
            <xdr:cNvPr id="86089" name="Option Button 73" hidden="1">
              <a:extLst>
                <a:ext uri="{63B3BB69-23CF-44E3-9099-C40C66FF867C}">
                  <a14:compatExt spid="_x0000_s86089"/>
                </a:ext>
                <a:ext uri="{FF2B5EF4-FFF2-40B4-BE49-F238E27FC236}">
                  <a16:creationId xmlns:a16="http://schemas.microsoft.com/office/drawing/2014/main" id="{00000000-0008-0000-3200-00004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30</xdr:row>
          <xdr:rowOff>19050</xdr:rowOff>
        </xdr:from>
        <xdr:to>
          <xdr:col>3</xdr:col>
          <xdr:colOff>409575</xdr:colOff>
          <xdr:row>30</xdr:row>
          <xdr:rowOff>228600</xdr:rowOff>
        </xdr:to>
        <xdr:sp macro="" textlink="">
          <xdr:nvSpPr>
            <xdr:cNvPr id="86090" name="Option Button 74" hidden="1">
              <a:extLst>
                <a:ext uri="{63B3BB69-23CF-44E3-9099-C40C66FF867C}">
                  <a14:compatExt spid="_x0000_s86090"/>
                </a:ext>
                <a:ext uri="{FF2B5EF4-FFF2-40B4-BE49-F238E27FC236}">
                  <a16:creationId xmlns:a16="http://schemas.microsoft.com/office/drawing/2014/main" id="{00000000-0008-0000-3200-00004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30</xdr:row>
          <xdr:rowOff>19050</xdr:rowOff>
        </xdr:from>
        <xdr:to>
          <xdr:col>4</xdr:col>
          <xdr:colOff>409575</xdr:colOff>
          <xdr:row>30</xdr:row>
          <xdr:rowOff>228600</xdr:rowOff>
        </xdr:to>
        <xdr:sp macro="" textlink="">
          <xdr:nvSpPr>
            <xdr:cNvPr id="86091" name="Option Button 75" hidden="1">
              <a:extLst>
                <a:ext uri="{63B3BB69-23CF-44E3-9099-C40C66FF867C}">
                  <a14:compatExt spid="_x0000_s86091"/>
                </a:ext>
                <a:ext uri="{FF2B5EF4-FFF2-40B4-BE49-F238E27FC236}">
                  <a16:creationId xmlns:a16="http://schemas.microsoft.com/office/drawing/2014/main" id="{00000000-0008-0000-3200-00004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30</xdr:row>
          <xdr:rowOff>19050</xdr:rowOff>
        </xdr:from>
        <xdr:to>
          <xdr:col>5</xdr:col>
          <xdr:colOff>409575</xdr:colOff>
          <xdr:row>30</xdr:row>
          <xdr:rowOff>228600</xdr:rowOff>
        </xdr:to>
        <xdr:sp macro="" textlink="">
          <xdr:nvSpPr>
            <xdr:cNvPr id="86092" name="Option Button 76" hidden="1">
              <a:extLst>
                <a:ext uri="{63B3BB69-23CF-44E3-9099-C40C66FF867C}">
                  <a14:compatExt spid="_x0000_s86092"/>
                </a:ext>
                <a:ext uri="{FF2B5EF4-FFF2-40B4-BE49-F238E27FC236}">
                  <a16:creationId xmlns:a16="http://schemas.microsoft.com/office/drawing/2014/main" id="{00000000-0008-0000-3200-00004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30</xdr:row>
          <xdr:rowOff>19050</xdr:rowOff>
        </xdr:from>
        <xdr:to>
          <xdr:col>6</xdr:col>
          <xdr:colOff>409575</xdr:colOff>
          <xdr:row>30</xdr:row>
          <xdr:rowOff>228600</xdr:rowOff>
        </xdr:to>
        <xdr:sp macro="" textlink="">
          <xdr:nvSpPr>
            <xdr:cNvPr id="86093" name="Option Button 77" hidden="1">
              <a:extLst>
                <a:ext uri="{63B3BB69-23CF-44E3-9099-C40C66FF867C}">
                  <a14:compatExt spid="_x0000_s86093"/>
                </a:ext>
                <a:ext uri="{FF2B5EF4-FFF2-40B4-BE49-F238E27FC236}">
                  <a16:creationId xmlns:a16="http://schemas.microsoft.com/office/drawing/2014/main" id="{00000000-0008-0000-3200-00004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31</xdr:row>
          <xdr:rowOff>19050</xdr:rowOff>
        </xdr:from>
        <xdr:to>
          <xdr:col>3</xdr:col>
          <xdr:colOff>409575</xdr:colOff>
          <xdr:row>31</xdr:row>
          <xdr:rowOff>228600</xdr:rowOff>
        </xdr:to>
        <xdr:sp macro="" textlink="">
          <xdr:nvSpPr>
            <xdr:cNvPr id="86094" name="Option Button 78" hidden="1">
              <a:extLst>
                <a:ext uri="{63B3BB69-23CF-44E3-9099-C40C66FF867C}">
                  <a14:compatExt spid="_x0000_s86094"/>
                </a:ext>
                <a:ext uri="{FF2B5EF4-FFF2-40B4-BE49-F238E27FC236}">
                  <a16:creationId xmlns:a16="http://schemas.microsoft.com/office/drawing/2014/main" id="{00000000-0008-0000-3200-00004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31</xdr:row>
          <xdr:rowOff>19050</xdr:rowOff>
        </xdr:from>
        <xdr:to>
          <xdr:col>4</xdr:col>
          <xdr:colOff>409575</xdr:colOff>
          <xdr:row>31</xdr:row>
          <xdr:rowOff>228600</xdr:rowOff>
        </xdr:to>
        <xdr:sp macro="" textlink="">
          <xdr:nvSpPr>
            <xdr:cNvPr id="86095" name="Option Button 79" hidden="1">
              <a:extLst>
                <a:ext uri="{63B3BB69-23CF-44E3-9099-C40C66FF867C}">
                  <a14:compatExt spid="_x0000_s86095"/>
                </a:ext>
                <a:ext uri="{FF2B5EF4-FFF2-40B4-BE49-F238E27FC236}">
                  <a16:creationId xmlns:a16="http://schemas.microsoft.com/office/drawing/2014/main" id="{00000000-0008-0000-3200-00004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31</xdr:row>
          <xdr:rowOff>19050</xdr:rowOff>
        </xdr:from>
        <xdr:to>
          <xdr:col>5</xdr:col>
          <xdr:colOff>409575</xdr:colOff>
          <xdr:row>31</xdr:row>
          <xdr:rowOff>228600</xdr:rowOff>
        </xdr:to>
        <xdr:sp macro="" textlink="">
          <xdr:nvSpPr>
            <xdr:cNvPr id="86096" name="Option Button 80" hidden="1">
              <a:extLst>
                <a:ext uri="{63B3BB69-23CF-44E3-9099-C40C66FF867C}">
                  <a14:compatExt spid="_x0000_s86096"/>
                </a:ext>
                <a:ext uri="{FF2B5EF4-FFF2-40B4-BE49-F238E27FC236}">
                  <a16:creationId xmlns:a16="http://schemas.microsoft.com/office/drawing/2014/main" id="{00000000-0008-0000-3200-00005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31</xdr:row>
          <xdr:rowOff>19050</xdr:rowOff>
        </xdr:from>
        <xdr:to>
          <xdr:col>6</xdr:col>
          <xdr:colOff>409575</xdr:colOff>
          <xdr:row>31</xdr:row>
          <xdr:rowOff>228600</xdr:rowOff>
        </xdr:to>
        <xdr:sp macro="" textlink="">
          <xdr:nvSpPr>
            <xdr:cNvPr id="86097" name="Option Button 81" hidden="1">
              <a:extLst>
                <a:ext uri="{63B3BB69-23CF-44E3-9099-C40C66FF867C}">
                  <a14:compatExt spid="_x0000_s86097"/>
                </a:ext>
                <a:ext uri="{FF2B5EF4-FFF2-40B4-BE49-F238E27FC236}">
                  <a16:creationId xmlns:a16="http://schemas.microsoft.com/office/drawing/2014/main" id="{00000000-0008-0000-3200-00005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19050</xdr:rowOff>
        </xdr:from>
        <xdr:to>
          <xdr:col>3</xdr:col>
          <xdr:colOff>409575</xdr:colOff>
          <xdr:row>32</xdr:row>
          <xdr:rowOff>228600</xdr:rowOff>
        </xdr:to>
        <xdr:sp macro="" textlink="">
          <xdr:nvSpPr>
            <xdr:cNvPr id="86098" name="Option Button 82" hidden="1">
              <a:extLst>
                <a:ext uri="{63B3BB69-23CF-44E3-9099-C40C66FF867C}">
                  <a14:compatExt spid="_x0000_s86098"/>
                </a:ext>
                <a:ext uri="{FF2B5EF4-FFF2-40B4-BE49-F238E27FC236}">
                  <a16:creationId xmlns:a16="http://schemas.microsoft.com/office/drawing/2014/main" id="{00000000-0008-0000-3200-00005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32</xdr:row>
          <xdr:rowOff>19050</xdr:rowOff>
        </xdr:from>
        <xdr:to>
          <xdr:col>4</xdr:col>
          <xdr:colOff>409575</xdr:colOff>
          <xdr:row>32</xdr:row>
          <xdr:rowOff>228600</xdr:rowOff>
        </xdr:to>
        <xdr:sp macro="" textlink="">
          <xdr:nvSpPr>
            <xdr:cNvPr id="86099" name="Option Button 83" hidden="1">
              <a:extLst>
                <a:ext uri="{63B3BB69-23CF-44E3-9099-C40C66FF867C}">
                  <a14:compatExt spid="_x0000_s86099"/>
                </a:ext>
                <a:ext uri="{FF2B5EF4-FFF2-40B4-BE49-F238E27FC236}">
                  <a16:creationId xmlns:a16="http://schemas.microsoft.com/office/drawing/2014/main" id="{00000000-0008-0000-3200-00005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32</xdr:row>
          <xdr:rowOff>19050</xdr:rowOff>
        </xdr:from>
        <xdr:to>
          <xdr:col>5</xdr:col>
          <xdr:colOff>409575</xdr:colOff>
          <xdr:row>32</xdr:row>
          <xdr:rowOff>228600</xdr:rowOff>
        </xdr:to>
        <xdr:sp macro="" textlink="">
          <xdr:nvSpPr>
            <xdr:cNvPr id="86100" name="Option Button 84" hidden="1">
              <a:extLst>
                <a:ext uri="{63B3BB69-23CF-44E3-9099-C40C66FF867C}">
                  <a14:compatExt spid="_x0000_s86100"/>
                </a:ext>
                <a:ext uri="{FF2B5EF4-FFF2-40B4-BE49-F238E27FC236}">
                  <a16:creationId xmlns:a16="http://schemas.microsoft.com/office/drawing/2014/main" id="{00000000-0008-0000-3200-00005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32</xdr:row>
          <xdr:rowOff>19050</xdr:rowOff>
        </xdr:from>
        <xdr:to>
          <xdr:col>6</xdr:col>
          <xdr:colOff>409575</xdr:colOff>
          <xdr:row>32</xdr:row>
          <xdr:rowOff>228600</xdr:rowOff>
        </xdr:to>
        <xdr:sp macro="" textlink="">
          <xdr:nvSpPr>
            <xdr:cNvPr id="86101" name="Option Button 85" hidden="1">
              <a:extLst>
                <a:ext uri="{63B3BB69-23CF-44E3-9099-C40C66FF867C}">
                  <a14:compatExt spid="_x0000_s86101"/>
                </a:ext>
                <a:ext uri="{FF2B5EF4-FFF2-40B4-BE49-F238E27FC236}">
                  <a16:creationId xmlns:a16="http://schemas.microsoft.com/office/drawing/2014/main" id="{00000000-0008-0000-3200-00005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33</xdr:row>
          <xdr:rowOff>19050</xdr:rowOff>
        </xdr:from>
        <xdr:to>
          <xdr:col>3</xdr:col>
          <xdr:colOff>409575</xdr:colOff>
          <xdr:row>33</xdr:row>
          <xdr:rowOff>228600</xdr:rowOff>
        </xdr:to>
        <xdr:sp macro="" textlink="">
          <xdr:nvSpPr>
            <xdr:cNvPr id="86102" name="Option Button 86" hidden="1">
              <a:extLst>
                <a:ext uri="{63B3BB69-23CF-44E3-9099-C40C66FF867C}">
                  <a14:compatExt spid="_x0000_s86102"/>
                </a:ext>
                <a:ext uri="{FF2B5EF4-FFF2-40B4-BE49-F238E27FC236}">
                  <a16:creationId xmlns:a16="http://schemas.microsoft.com/office/drawing/2014/main" id="{00000000-0008-0000-3200-00005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33</xdr:row>
          <xdr:rowOff>19050</xdr:rowOff>
        </xdr:from>
        <xdr:to>
          <xdr:col>4</xdr:col>
          <xdr:colOff>409575</xdr:colOff>
          <xdr:row>33</xdr:row>
          <xdr:rowOff>228600</xdr:rowOff>
        </xdr:to>
        <xdr:sp macro="" textlink="">
          <xdr:nvSpPr>
            <xdr:cNvPr id="86103" name="Option Button 87" hidden="1">
              <a:extLst>
                <a:ext uri="{63B3BB69-23CF-44E3-9099-C40C66FF867C}">
                  <a14:compatExt spid="_x0000_s86103"/>
                </a:ext>
                <a:ext uri="{FF2B5EF4-FFF2-40B4-BE49-F238E27FC236}">
                  <a16:creationId xmlns:a16="http://schemas.microsoft.com/office/drawing/2014/main" id="{00000000-0008-0000-3200-00005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33</xdr:row>
          <xdr:rowOff>19050</xdr:rowOff>
        </xdr:from>
        <xdr:to>
          <xdr:col>5</xdr:col>
          <xdr:colOff>409575</xdr:colOff>
          <xdr:row>33</xdr:row>
          <xdr:rowOff>228600</xdr:rowOff>
        </xdr:to>
        <xdr:sp macro="" textlink="">
          <xdr:nvSpPr>
            <xdr:cNvPr id="86104" name="Option Button 88" hidden="1">
              <a:extLst>
                <a:ext uri="{63B3BB69-23CF-44E3-9099-C40C66FF867C}">
                  <a14:compatExt spid="_x0000_s86104"/>
                </a:ext>
                <a:ext uri="{FF2B5EF4-FFF2-40B4-BE49-F238E27FC236}">
                  <a16:creationId xmlns:a16="http://schemas.microsoft.com/office/drawing/2014/main" id="{00000000-0008-0000-3200-00005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33</xdr:row>
          <xdr:rowOff>19050</xdr:rowOff>
        </xdr:from>
        <xdr:to>
          <xdr:col>6</xdr:col>
          <xdr:colOff>409575</xdr:colOff>
          <xdr:row>33</xdr:row>
          <xdr:rowOff>228600</xdr:rowOff>
        </xdr:to>
        <xdr:sp macro="" textlink="">
          <xdr:nvSpPr>
            <xdr:cNvPr id="86105" name="Option Button 89" hidden="1">
              <a:extLst>
                <a:ext uri="{63B3BB69-23CF-44E3-9099-C40C66FF867C}">
                  <a14:compatExt spid="_x0000_s86105"/>
                </a:ext>
                <a:ext uri="{FF2B5EF4-FFF2-40B4-BE49-F238E27FC236}">
                  <a16:creationId xmlns:a16="http://schemas.microsoft.com/office/drawing/2014/main" id="{00000000-0008-0000-3200-00005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34</xdr:row>
          <xdr:rowOff>19050</xdr:rowOff>
        </xdr:from>
        <xdr:to>
          <xdr:col>3</xdr:col>
          <xdr:colOff>409575</xdr:colOff>
          <xdr:row>34</xdr:row>
          <xdr:rowOff>228600</xdr:rowOff>
        </xdr:to>
        <xdr:sp macro="" textlink="">
          <xdr:nvSpPr>
            <xdr:cNvPr id="86106" name="Option Button 90" hidden="1">
              <a:extLst>
                <a:ext uri="{63B3BB69-23CF-44E3-9099-C40C66FF867C}">
                  <a14:compatExt spid="_x0000_s86106"/>
                </a:ext>
                <a:ext uri="{FF2B5EF4-FFF2-40B4-BE49-F238E27FC236}">
                  <a16:creationId xmlns:a16="http://schemas.microsoft.com/office/drawing/2014/main" id="{00000000-0008-0000-3200-00005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34</xdr:row>
          <xdr:rowOff>19050</xdr:rowOff>
        </xdr:from>
        <xdr:to>
          <xdr:col>4</xdr:col>
          <xdr:colOff>409575</xdr:colOff>
          <xdr:row>34</xdr:row>
          <xdr:rowOff>228600</xdr:rowOff>
        </xdr:to>
        <xdr:sp macro="" textlink="">
          <xdr:nvSpPr>
            <xdr:cNvPr id="86107" name="Option Button 91" hidden="1">
              <a:extLst>
                <a:ext uri="{63B3BB69-23CF-44E3-9099-C40C66FF867C}">
                  <a14:compatExt spid="_x0000_s86107"/>
                </a:ext>
                <a:ext uri="{FF2B5EF4-FFF2-40B4-BE49-F238E27FC236}">
                  <a16:creationId xmlns:a16="http://schemas.microsoft.com/office/drawing/2014/main" id="{00000000-0008-0000-3200-00005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34</xdr:row>
          <xdr:rowOff>19050</xdr:rowOff>
        </xdr:from>
        <xdr:to>
          <xdr:col>5</xdr:col>
          <xdr:colOff>409575</xdr:colOff>
          <xdr:row>34</xdr:row>
          <xdr:rowOff>228600</xdr:rowOff>
        </xdr:to>
        <xdr:sp macro="" textlink="">
          <xdr:nvSpPr>
            <xdr:cNvPr id="86108" name="Option Button 92" hidden="1">
              <a:extLst>
                <a:ext uri="{63B3BB69-23CF-44E3-9099-C40C66FF867C}">
                  <a14:compatExt spid="_x0000_s86108"/>
                </a:ext>
                <a:ext uri="{FF2B5EF4-FFF2-40B4-BE49-F238E27FC236}">
                  <a16:creationId xmlns:a16="http://schemas.microsoft.com/office/drawing/2014/main" id="{00000000-0008-0000-3200-00005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34</xdr:row>
          <xdr:rowOff>19050</xdr:rowOff>
        </xdr:from>
        <xdr:to>
          <xdr:col>6</xdr:col>
          <xdr:colOff>409575</xdr:colOff>
          <xdr:row>34</xdr:row>
          <xdr:rowOff>228600</xdr:rowOff>
        </xdr:to>
        <xdr:sp macro="" textlink="">
          <xdr:nvSpPr>
            <xdr:cNvPr id="86109" name="Option Button 93" hidden="1">
              <a:extLst>
                <a:ext uri="{63B3BB69-23CF-44E3-9099-C40C66FF867C}">
                  <a14:compatExt spid="_x0000_s86109"/>
                </a:ext>
                <a:ext uri="{FF2B5EF4-FFF2-40B4-BE49-F238E27FC236}">
                  <a16:creationId xmlns:a16="http://schemas.microsoft.com/office/drawing/2014/main" id="{00000000-0008-0000-3200-00005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19050</xdr:rowOff>
        </xdr:from>
        <xdr:to>
          <xdr:col>3</xdr:col>
          <xdr:colOff>409575</xdr:colOff>
          <xdr:row>35</xdr:row>
          <xdr:rowOff>228600</xdr:rowOff>
        </xdr:to>
        <xdr:sp macro="" textlink="">
          <xdr:nvSpPr>
            <xdr:cNvPr id="86110" name="Option Button 94" hidden="1">
              <a:extLst>
                <a:ext uri="{63B3BB69-23CF-44E3-9099-C40C66FF867C}">
                  <a14:compatExt spid="_x0000_s86110"/>
                </a:ext>
                <a:ext uri="{FF2B5EF4-FFF2-40B4-BE49-F238E27FC236}">
                  <a16:creationId xmlns:a16="http://schemas.microsoft.com/office/drawing/2014/main" id="{00000000-0008-0000-3200-00005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35</xdr:row>
          <xdr:rowOff>19050</xdr:rowOff>
        </xdr:from>
        <xdr:to>
          <xdr:col>4</xdr:col>
          <xdr:colOff>409575</xdr:colOff>
          <xdr:row>35</xdr:row>
          <xdr:rowOff>228600</xdr:rowOff>
        </xdr:to>
        <xdr:sp macro="" textlink="">
          <xdr:nvSpPr>
            <xdr:cNvPr id="86111" name="Option Button 95" hidden="1">
              <a:extLst>
                <a:ext uri="{63B3BB69-23CF-44E3-9099-C40C66FF867C}">
                  <a14:compatExt spid="_x0000_s86111"/>
                </a:ext>
                <a:ext uri="{FF2B5EF4-FFF2-40B4-BE49-F238E27FC236}">
                  <a16:creationId xmlns:a16="http://schemas.microsoft.com/office/drawing/2014/main" id="{00000000-0008-0000-3200-00005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35</xdr:row>
          <xdr:rowOff>19050</xdr:rowOff>
        </xdr:from>
        <xdr:to>
          <xdr:col>5</xdr:col>
          <xdr:colOff>409575</xdr:colOff>
          <xdr:row>35</xdr:row>
          <xdr:rowOff>228600</xdr:rowOff>
        </xdr:to>
        <xdr:sp macro="" textlink="">
          <xdr:nvSpPr>
            <xdr:cNvPr id="86112" name="Option Button 96" hidden="1">
              <a:extLst>
                <a:ext uri="{63B3BB69-23CF-44E3-9099-C40C66FF867C}">
                  <a14:compatExt spid="_x0000_s86112"/>
                </a:ext>
                <a:ext uri="{FF2B5EF4-FFF2-40B4-BE49-F238E27FC236}">
                  <a16:creationId xmlns:a16="http://schemas.microsoft.com/office/drawing/2014/main" id="{00000000-0008-0000-3200-00006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35</xdr:row>
          <xdr:rowOff>19050</xdr:rowOff>
        </xdr:from>
        <xdr:to>
          <xdr:col>6</xdr:col>
          <xdr:colOff>409575</xdr:colOff>
          <xdr:row>35</xdr:row>
          <xdr:rowOff>228600</xdr:rowOff>
        </xdr:to>
        <xdr:sp macro="" textlink="">
          <xdr:nvSpPr>
            <xdr:cNvPr id="86113" name="Option Button 97" hidden="1">
              <a:extLst>
                <a:ext uri="{63B3BB69-23CF-44E3-9099-C40C66FF867C}">
                  <a14:compatExt spid="_x0000_s86113"/>
                </a:ext>
                <a:ext uri="{FF2B5EF4-FFF2-40B4-BE49-F238E27FC236}">
                  <a16:creationId xmlns:a16="http://schemas.microsoft.com/office/drawing/2014/main" id="{00000000-0008-0000-3200-00006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36</xdr:row>
          <xdr:rowOff>19050</xdr:rowOff>
        </xdr:from>
        <xdr:to>
          <xdr:col>3</xdr:col>
          <xdr:colOff>409575</xdr:colOff>
          <xdr:row>36</xdr:row>
          <xdr:rowOff>228600</xdr:rowOff>
        </xdr:to>
        <xdr:sp macro="" textlink="">
          <xdr:nvSpPr>
            <xdr:cNvPr id="86114" name="Option Button 98" hidden="1">
              <a:extLst>
                <a:ext uri="{63B3BB69-23CF-44E3-9099-C40C66FF867C}">
                  <a14:compatExt spid="_x0000_s86114"/>
                </a:ext>
                <a:ext uri="{FF2B5EF4-FFF2-40B4-BE49-F238E27FC236}">
                  <a16:creationId xmlns:a16="http://schemas.microsoft.com/office/drawing/2014/main" id="{00000000-0008-0000-3200-00006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36</xdr:row>
          <xdr:rowOff>19050</xdr:rowOff>
        </xdr:from>
        <xdr:to>
          <xdr:col>4</xdr:col>
          <xdr:colOff>409575</xdr:colOff>
          <xdr:row>36</xdr:row>
          <xdr:rowOff>228600</xdr:rowOff>
        </xdr:to>
        <xdr:sp macro="" textlink="">
          <xdr:nvSpPr>
            <xdr:cNvPr id="86115" name="Option Button 99" hidden="1">
              <a:extLst>
                <a:ext uri="{63B3BB69-23CF-44E3-9099-C40C66FF867C}">
                  <a14:compatExt spid="_x0000_s86115"/>
                </a:ext>
                <a:ext uri="{FF2B5EF4-FFF2-40B4-BE49-F238E27FC236}">
                  <a16:creationId xmlns:a16="http://schemas.microsoft.com/office/drawing/2014/main" id="{00000000-0008-0000-3200-00006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36</xdr:row>
          <xdr:rowOff>19050</xdr:rowOff>
        </xdr:from>
        <xdr:to>
          <xdr:col>5</xdr:col>
          <xdr:colOff>409575</xdr:colOff>
          <xdr:row>36</xdr:row>
          <xdr:rowOff>228600</xdr:rowOff>
        </xdr:to>
        <xdr:sp macro="" textlink="">
          <xdr:nvSpPr>
            <xdr:cNvPr id="86116" name="Option Button 100" hidden="1">
              <a:extLst>
                <a:ext uri="{63B3BB69-23CF-44E3-9099-C40C66FF867C}">
                  <a14:compatExt spid="_x0000_s86116"/>
                </a:ext>
                <a:ext uri="{FF2B5EF4-FFF2-40B4-BE49-F238E27FC236}">
                  <a16:creationId xmlns:a16="http://schemas.microsoft.com/office/drawing/2014/main" id="{00000000-0008-0000-3200-00006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36</xdr:row>
          <xdr:rowOff>19050</xdr:rowOff>
        </xdr:from>
        <xdr:to>
          <xdr:col>6</xdr:col>
          <xdr:colOff>409575</xdr:colOff>
          <xdr:row>36</xdr:row>
          <xdr:rowOff>228600</xdr:rowOff>
        </xdr:to>
        <xdr:sp macro="" textlink="">
          <xdr:nvSpPr>
            <xdr:cNvPr id="86117" name="Option Button 101" hidden="1">
              <a:extLst>
                <a:ext uri="{63B3BB69-23CF-44E3-9099-C40C66FF867C}">
                  <a14:compatExt spid="_x0000_s86117"/>
                </a:ext>
                <a:ext uri="{FF2B5EF4-FFF2-40B4-BE49-F238E27FC236}">
                  <a16:creationId xmlns:a16="http://schemas.microsoft.com/office/drawing/2014/main" id="{00000000-0008-0000-3200-00006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37</xdr:row>
          <xdr:rowOff>19050</xdr:rowOff>
        </xdr:from>
        <xdr:to>
          <xdr:col>3</xdr:col>
          <xdr:colOff>409575</xdr:colOff>
          <xdr:row>37</xdr:row>
          <xdr:rowOff>228600</xdr:rowOff>
        </xdr:to>
        <xdr:sp macro="" textlink="">
          <xdr:nvSpPr>
            <xdr:cNvPr id="86118" name="Option Button 102" hidden="1">
              <a:extLst>
                <a:ext uri="{63B3BB69-23CF-44E3-9099-C40C66FF867C}">
                  <a14:compatExt spid="_x0000_s86118"/>
                </a:ext>
                <a:ext uri="{FF2B5EF4-FFF2-40B4-BE49-F238E27FC236}">
                  <a16:creationId xmlns:a16="http://schemas.microsoft.com/office/drawing/2014/main" id="{00000000-0008-0000-3200-00006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37</xdr:row>
          <xdr:rowOff>19050</xdr:rowOff>
        </xdr:from>
        <xdr:to>
          <xdr:col>4</xdr:col>
          <xdr:colOff>409575</xdr:colOff>
          <xdr:row>37</xdr:row>
          <xdr:rowOff>228600</xdr:rowOff>
        </xdr:to>
        <xdr:sp macro="" textlink="">
          <xdr:nvSpPr>
            <xdr:cNvPr id="86119" name="Option Button 103" hidden="1">
              <a:extLst>
                <a:ext uri="{63B3BB69-23CF-44E3-9099-C40C66FF867C}">
                  <a14:compatExt spid="_x0000_s86119"/>
                </a:ext>
                <a:ext uri="{FF2B5EF4-FFF2-40B4-BE49-F238E27FC236}">
                  <a16:creationId xmlns:a16="http://schemas.microsoft.com/office/drawing/2014/main" id="{00000000-0008-0000-3200-00006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37</xdr:row>
          <xdr:rowOff>19050</xdr:rowOff>
        </xdr:from>
        <xdr:to>
          <xdr:col>5</xdr:col>
          <xdr:colOff>409575</xdr:colOff>
          <xdr:row>37</xdr:row>
          <xdr:rowOff>228600</xdr:rowOff>
        </xdr:to>
        <xdr:sp macro="" textlink="">
          <xdr:nvSpPr>
            <xdr:cNvPr id="86120" name="Option Button 104" hidden="1">
              <a:extLst>
                <a:ext uri="{63B3BB69-23CF-44E3-9099-C40C66FF867C}">
                  <a14:compatExt spid="_x0000_s86120"/>
                </a:ext>
                <a:ext uri="{FF2B5EF4-FFF2-40B4-BE49-F238E27FC236}">
                  <a16:creationId xmlns:a16="http://schemas.microsoft.com/office/drawing/2014/main" id="{00000000-0008-0000-3200-00006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37</xdr:row>
          <xdr:rowOff>19050</xdr:rowOff>
        </xdr:from>
        <xdr:to>
          <xdr:col>6</xdr:col>
          <xdr:colOff>409575</xdr:colOff>
          <xdr:row>37</xdr:row>
          <xdr:rowOff>228600</xdr:rowOff>
        </xdr:to>
        <xdr:sp macro="" textlink="">
          <xdr:nvSpPr>
            <xdr:cNvPr id="86121" name="Option Button 105" hidden="1">
              <a:extLst>
                <a:ext uri="{63B3BB69-23CF-44E3-9099-C40C66FF867C}">
                  <a14:compatExt spid="_x0000_s86121"/>
                </a:ext>
                <a:ext uri="{FF2B5EF4-FFF2-40B4-BE49-F238E27FC236}">
                  <a16:creationId xmlns:a16="http://schemas.microsoft.com/office/drawing/2014/main" id="{00000000-0008-0000-3200-00006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38</xdr:row>
          <xdr:rowOff>19050</xdr:rowOff>
        </xdr:from>
        <xdr:to>
          <xdr:col>3</xdr:col>
          <xdr:colOff>409575</xdr:colOff>
          <xdr:row>38</xdr:row>
          <xdr:rowOff>228600</xdr:rowOff>
        </xdr:to>
        <xdr:sp macro="" textlink="">
          <xdr:nvSpPr>
            <xdr:cNvPr id="86122" name="Option Button 106" hidden="1">
              <a:extLst>
                <a:ext uri="{63B3BB69-23CF-44E3-9099-C40C66FF867C}">
                  <a14:compatExt spid="_x0000_s86122"/>
                </a:ext>
                <a:ext uri="{FF2B5EF4-FFF2-40B4-BE49-F238E27FC236}">
                  <a16:creationId xmlns:a16="http://schemas.microsoft.com/office/drawing/2014/main" id="{00000000-0008-0000-3200-00006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38</xdr:row>
          <xdr:rowOff>19050</xdr:rowOff>
        </xdr:from>
        <xdr:to>
          <xdr:col>4</xdr:col>
          <xdr:colOff>409575</xdr:colOff>
          <xdr:row>38</xdr:row>
          <xdr:rowOff>228600</xdr:rowOff>
        </xdr:to>
        <xdr:sp macro="" textlink="">
          <xdr:nvSpPr>
            <xdr:cNvPr id="86123" name="Option Button 107" hidden="1">
              <a:extLst>
                <a:ext uri="{63B3BB69-23CF-44E3-9099-C40C66FF867C}">
                  <a14:compatExt spid="_x0000_s86123"/>
                </a:ext>
                <a:ext uri="{FF2B5EF4-FFF2-40B4-BE49-F238E27FC236}">
                  <a16:creationId xmlns:a16="http://schemas.microsoft.com/office/drawing/2014/main" id="{00000000-0008-0000-3200-00006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38</xdr:row>
          <xdr:rowOff>19050</xdr:rowOff>
        </xdr:from>
        <xdr:to>
          <xdr:col>5</xdr:col>
          <xdr:colOff>409575</xdr:colOff>
          <xdr:row>38</xdr:row>
          <xdr:rowOff>228600</xdr:rowOff>
        </xdr:to>
        <xdr:sp macro="" textlink="">
          <xdr:nvSpPr>
            <xdr:cNvPr id="86124" name="Option Button 108" hidden="1">
              <a:extLst>
                <a:ext uri="{63B3BB69-23CF-44E3-9099-C40C66FF867C}">
                  <a14:compatExt spid="_x0000_s86124"/>
                </a:ext>
                <a:ext uri="{FF2B5EF4-FFF2-40B4-BE49-F238E27FC236}">
                  <a16:creationId xmlns:a16="http://schemas.microsoft.com/office/drawing/2014/main" id="{00000000-0008-0000-3200-00006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38</xdr:row>
          <xdr:rowOff>19050</xdr:rowOff>
        </xdr:from>
        <xdr:to>
          <xdr:col>6</xdr:col>
          <xdr:colOff>409575</xdr:colOff>
          <xdr:row>38</xdr:row>
          <xdr:rowOff>228600</xdr:rowOff>
        </xdr:to>
        <xdr:sp macro="" textlink="">
          <xdr:nvSpPr>
            <xdr:cNvPr id="86125" name="Option Button 109" hidden="1">
              <a:extLst>
                <a:ext uri="{63B3BB69-23CF-44E3-9099-C40C66FF867C}">
                  <a14:compatExt spid="_x0000_s86125"/>
                </a:ext>
                <a:ext uri="{FF2B5EF4-FFF2-40B4-BE49-F238E27FC236}">
                  <a16:creationId xmlns:a16="http://schemas.microsoft.com/office/drawing/2014/main" id="{00000000-0008-0000-3200-00006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39</xdr:row>
          <xdr:rowOff>19050</xdr:rowOff>
        </xdr:from>
        <xdr:to>
          <xdr:col>3</xdr:col>
          <xdr:colOff>409575</xdr:colOff>
          <xdr:row>39</xdr:row>
          <xdr:rowOff>228600</xdr:rowOff>
        </xdr:to>
        <xdr:sp macro="" textlink="">
          <xdr:nvSpPr>
            <xdr:cNvPr id="86126" name="Option Button 110" hidden="1">
              <a:extLst>
                <a:ext uri="{63B3BB69-23CF-44E3-9099-C40C66FF867C}">
                  <a14:compatExt spid="_x0000_s86126"/>
                </a:ext>
                <a:ext uri="{FF2B5EF4-FFF2-40B4-BE49-F238E27FC236}">
                  <a16:creationId xmlns:a16="http://schemas.microsoft.com/office/drawing/2014/main" id="{00000000-0008-0000-3200-00006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39</xdr:row>
          <xdr:rowOff>19050</xdr:rowOff>
        </xdr:from>
        <xdr:to>
          <xdr:col>4</xdr:col>
          <xdr:colOff>409575</xdr:colOff>
          <xdr:row>39</xdr:row>
          <xdr:rowOff>228600</xdr:rowOff>
        </xdr:to>
        <xdr:sp macro="" textlink="">
          <xdr:nvSpPr>
            <xdr:cNvPr id="86127" name="Option Button 111" hidden="1">
              <a:extLst>
                <a:ext uri="{63B3BB69-23CF-44E3-9099-C40C66FF867C}">
                  <a14:compatExt spid="_x0000_s86127"/>
                </a:ext>
                <a:ext uri="{FF2B5EF4-FFF2-40B4-BE49-F238E27FC236}">
                  <a16:creationId xmlns:a16="http://schemas.microsoft.com/office/drawing/2014/main" id="{00000000-0008-0000-3200-00006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39</xdr:row>
          <xdr:rowOff>19050</xdr:rowOff>
        </xdr:from>
        <xdr:to>
          <xdr:col>5</xdr:col>
          <xdr:colOff>409575</xdr:colOff>
          <xdr:row>39</xdr:row>
          <xdr:rowOff>228600</xdr:rowOff>
        </xdr:to>
        <xdr:sp macro="" textlink="">
          <xdr:nvSpPr>
            <xdr:cNvPr id="86128" name="Option Button 112" hidden="1">
              <a:extLst>
                <a:ext uri="{63B3BB69-23CF-44E3-9099-C40C66FF867C}">
                  <a14:compatExt spid="_x0000_s86128"/>
                </a:ext>
                <a:ext uri="{FF2B5EF4-FFF2-40B4-BE49-F238E27FC236}">
                  <a16:creationId xmlns:a16="http://schemas.microsoft.com/office/drawing/2014/main" id="{00000000-0008-0000-3200-00007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39</xdr:row>
          <xdr:rowOff>19050</xdr:rowOff>
        </xdr:from>
        <xdr:to>
          <xdr:col>6</xdr:col>
          <xdr:colOff>409575</xdr:colOff>
          <xdr:row>39</xdr:row>
          <xdr:rowOff>228600</xdr:rowOff>
        </xdr:to>
        <xdr:sp macro="" textlink="">
          <xdr:nvSpPr>
            <xdr:cNvPr id="86129" name="Option Button 113" hidden="1">
              <a:extLst>
                <a:ext uri="{63B3BB69-23CF-44E3-9099-C40C66FF867C}">
                  <a14:compatExt spid="_x0000_s86129"/>
                </a:ext>
                <a:ext uri="{FF2B5EF4-FFF2-40B4-BE49-F238E27FC236}">
                  <a16:creationId xmlns:a16="http://schemas.microsoft.com/office/drawing/2014/main" id="{00000000-0008-0000-3200-00007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40</xdr:row>
          <xdr:rowOff>19050</xdr:rowOff>
        </xdr:from>
        <xdr:to>
          <xdr:col>3</xdr:col>
          <xdr:colOff>409575</xdr:colOff>
          <xdr:row>40</xdr:row>
          <xdr:rowOff>228600</xdr:rowOff>
        </xdr:to>
        <xdr:sp macro="" textlink="">
          <xdr:nvSpPr>
            <xdr:cNvPr id="86130" name="Option Button 114" hidden="1">
              <a:extLst>
                <a:ext uri="{63B3BB69-23CF-44E3-9099-C40C66FF867C}">
                  <a14:compatExt spid="_x0000_s86130"/>
                </a:ext>
                <a:ext uri="{FF2B5EF4-FFF2-40B4-BE49-F238E27FC236}">
                  <a16:creationId xmlns:a16="http://schemas.microsoft.com/office/drawing/2014/main" id="{00000000-0008-0000-3200-00007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40</xdr:row>
          <xdr:rowOff>19050</xdr:rowOff>
        </xdr:from>
        <xdr:to>
          <xdr:col>4</xdr:col>
          <xdr:colOff>409575</xdr:colOff>
          <xdr:row>40</xdr:row>
          <xdr:rowOff>228600</xdr:rowOff>
        </xdr:to>
        <xdr:sp macro="" textlink="">
          <xdr:nvSpPr>
            <xdr:cNvPr id="86131" name="Option Button 115" hidden="1">
              <a:extLst>
                <a:ext uri="{63B3BB69-23CF-44E3-9099-C40C66FF867C}">
                  <a14:compatExt spid="_x0000_s86131"/>
                </a:ext>
                <a:ext uri="{FF2B5EF4-FFF2-40B4-BE49-F238E27FC236}">
                  <a16:creationId xmlns:a16="http://schemas.microsoft.com/office/drawing/2014/main" id="{00000000-0008-0000-3200-00007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40</xdr:row>
          <xdr:rowOff>19050</xdr:rowOff>
        </xdr:from>
        <xdr:to>
          <xdr:col>5</xdr:col>
          <xdr:colOff>409575</xdr:colOff>
          <xdr:row>40</xdr:row>
          <xdr:rowOff>228600</xdr:rowOff>
        </xdr:to>
        <xdr:sp macro="" textlink="">
          <xdr:nvSpPr>
            <xdr:cNvPr id="86132" name="Option Button 116" hidden="1">
              <a:extLst>
                <a:ext uri="{63B3BB69-23CF-44E3-9099-C40C66FF867C}">
                  <a14:compatExt spid="_x0000_s86132"/>
                </a:ext>
                <a:ext uri="{FF2B5EF4-FFF2-40B4-BE49-F238E27FC236}">
                  <a16:creationId xmlns:a16="http://schemas.microsoft.com/office/drawing/2014/main" id="{00000000-0008-0000-3200-00007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40</xdr:row>
          <xdr:rowOff>19050</xdr:rowOff>
        </xdr:from>
        <xdr:to>
          <xdr:col>6</xdr:col>
          <xdr:colOff>409575</xdr:colOff>
          <xdr:row>40</xdr:row>
          <xdr:rowOff>228600</xdr:rowOff>
        </xdr:to>
        <xdr:sp macro="" textlink="">
          <xdr:nvSpPr>
            <xdr:cNvPr id="86133" name="Option Button 117" hidden="1">
              <a:extLst>
                <a:ext uri="{63B3BB69-23CF-44E3-9099-C40C66FF867C}">
                  <a14:compatExt spid="_x0000_s86133"/>
                </a:ext>
                <a:ext uri="{FF2B5EF4-FFF2-40B4-BE49-F238E27FC236}">
                  <a16:creationId xmlns:a16="http://schemas.microsoft.com/office/drawing/2014/main" id="{00000000-0008-0000-3200-00007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19050</xdr:rowOff>
        </xdr:from>
        <xdr:to>
          <xdr:col>3</xdr:col>
          <xdr:colOff>409575</xdr:colOff>
          <xdr:row>41</xdr:row>
          <xdr:rowOff>228600</xdr:rowOff>
        </xdr:to>
        <xdr:sp macro="" textlink="">
          <xdr:nvSpPr>
            <xdr:cNvPr id="86134" name="Option Button 118" hidden="1">
              <a:extLst>
                <a:ext uri="{63B3BB69-23CF-44E3-9099-C40C66FF867C}">
                  <a14:compatExt spid="_x0000_s86134"/>
                </a:ext>
                <a:ext uri="{FF2B5EF4-FFF2-40B4-BE49-F238E27FC236}">
                  <a16:creationId xmlns:a16="http://schemas.microsoft.com/office/drawing/2014/main" id="{00000000-0008-0000-3200-00007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41</xdr:row>
          <xdr:rowOff>19050</xdr:rowOff>
        </xdr:from>
        <xdr:to>
          <xdr:col>4</xdr:col>
          <xdr:colOff>409575</xdr:colOff>
          <xdr:row>41</xdr:row>
          <xdr:rowOff>228600</xdr:rowOff>
        </xdr:to>
        <xdr:sp macro="" textlink="">
          <xdr:nvSpPr>
            <xdr:cNvPr id="86135" name="Option Button 119" hidden="1">
              <a:extLst>
                <a:ext uri="{63B3BB69-23CF-44E3-9099-C40C66FF867C}">
                  <a14:compatExt spid="_x0000_s86135"/>
                </a:ext>
                <a:ext uri="{FF2B5EF4-FFF2-40B4-BE49-F238E27FC236}">
                  <a16:creationId xmlns:a16="http://schemas.microsoft.com/office/drawing/2014/main" id="{00000000-0008-0000-3200-00007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41</xdr:row>
          <xdr:rowOff>19050</xdr:rowOff>
        </xdr:from>
        <xdr:to>
          <xdr:col>5</xdr:col>
          <xdr:colOff>409575</xdr:colOff>
          <xdr:row>41</xdr:row>
          <xdr:rowOff>228600</xdr:rowOff>
        </xdr:to>
        <xdr:sp macro="" textlink="">
          <xdr:nvSpPr>
            <xdr:cNvPr id="86136" name="Option Button 120" hidden="1">
              <a:extLst>
                <a:ext uri="{63B3BB69-23CF-44E3-9099-C40C66FF867C}">
                  <a14:compatExt spid="_x0000_s86136"/>
                </a:ext>
                <a:ext uri="{FF2B5EF4-FFF2-40B4-BE49-F238E27FC236}">
                  <a16:creationId xmlns:a16="http://schemas.microsoft.com/office/drawing/2014/main" id="{00000000-0008-0000-3200-00007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41</xdr:row>
          <xdr:rowOff>19050</xdr:rowOff>
        </xdr:from>
        <xdr:to>
          <xdr:col>6</xdr:col>
          <xdr:colOff>409575</xdr:colOff>
          <xdr:row>41</xdr:row>
          <xdr:rowOff>228600</xdr:rowOff>
        </xdr:to>
        <xdr:sp macro="" textlink="">
          <xdr:nvSpPr>
            <xdr:cNvPr id="86137" name="Option Button 121" hidden="1">
              <a:extLst>
                <a:ext uri="{63B3BB69-23CF-44E3-9099-C40C66FF867C}">
                  <a14:compatExt spid="_x0000_s86137"/>
                </a:ext>
                <a:ext uri="{FF2B5EF4-FFF2-40B4-BE49-F238E27FC236}">
                  <a16:creationId xmlns:a16="http://schemas.microsoft.com/office/drawing/2014/main" id="{00000000-0008-0000-3200-00007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42</xdr:row>
          <xdr:rowOff>19050</xdr:rowOff>
        </xdr:from>
        <xdr:to>
          <xdr:col>3</xdr:col>
          <xdr:colOff>409575</xdr:colOff>
          <xdr:row>42</xdr:row>
          <xdr:rowOff>228600</xdr:rowOff>
        </xdr:to>
        <xdr:sp macro="" textlink="">
          <xdr:nvSpPr>
            <xdr:cNvPr id="86138" name="Option Button 122" hidden="1">
              <a:extLst>
                <a:ext uri="{63B3BB69-23CF-44E3-9099-C40C66FF867C}">
                  <a14:compatExt spid="_x0000_s86138"/>
                </a:ext>
                <a:ext uri="{FF2B5EF4-FFF2-40B4-BE49-F238E27FC236}">
                  <a16:creationId xmlns:a16="http://schemas.microsoft.com/office/drawing/2014/main" id="{00000000-0008-0000-3200-00007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42</xdr:row>
          <xdr:rowOff>19050</xdr:rowOff>
        </xdr:from>
        <xdr:to>
          <xdr:col>4</xdr:col>
          <xdr:colOff>409575</xdr:colOff>
          <xdr:row>42</xdr:row>
          <xdr:rowOff>228600</xdr:rowOff>
        </xdr:to>
        <xdr:sp macro="" textlink="">
          <xdr:nvSpPr>
            <xdr:cNvPr id="86139" name="Option Button 123" hidden="1">
              <a:extLst>
                <a:ext uri="{63B3BB69-23CF-44E3-9099-C40C66FF867C}">
                  <a14:compatExt spid="_x0000_s86139"/>
                </a:ext>
                <a:ext uri="{FF2B5EF4-FFF2-40B4-BE49-F238E27FC236}">
                  <a16:creationId xmlns:a16="http://schemas.microsoft.com/office/drawing/2014/main" id="{00000000-0008-0000-3200-00007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42</xdr:row>
          <xdr:rowOff>19050</xdr:rowOff>
        </xdr:from>
        <xdr:to>
          <xdr:col>5</xdr:col>
          <xdr:colOff>409575</xdr:colOff>
          <xdr:row>42</xdr:row>
          <xdr:rowOff>228600</xdr:rowOff>
        </xdr:to>
        <xdr:sp macro="" textlink="">
          <xdr:nvSpPr>
            <xdr:cNvPr id="86140" name="Option Button 124" hidden="1">
              <a:extLst>
                <a:ext uri="{63B3BB69-23CF-44E3-9099-C40C66FF867C}">
                  <a14:compatExt spid="_x0000_s86140"/>
                </a:ext>
                <a:ext uri="{FF2B5EF4-FFF2-40B4-BE49-F238E27FC236}">
                  <a16:creationId xmlns:a16="http://schemas.microsoft.com/office/drawing/2014/main" id="{00000000-0008-0000-3200-00007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42</xdr:row>
          <xdr:rowOff>19050</xdr:rowOff>
        </xdr:from>
        <xdr:to>
          <xdr:col>6</xdr:col>
          <xdr:colOff>409575</xdr:colOff>
          <xdr:row>42</xdr:row>
          <xdr:rowOff>228600</xdr:rowOff>
        </xdr:to>
        <xdr:sp macro="" textlink="">
          <xdr:nvSpPr>
            <xdr:cNvPr id="86141" name="Option Button 125" hidden="1">
              <a:extLst>
                <a:ext uri="{63B3BB69-23CF-44E3-9099-C40C66FF867C}">
                  <a14:compatExt spid="_x0000_s86141"/>
                </a:ext>
                <a:ext uri="{FF2B5EF4-FFF2-40B4-BE49-F238E27FC236}">
                  <a16:creationId xmlns:a16="http://schemas.microsoft.com/office/drawing/2014/main" id="{00000000-0008-0000-3200-00007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43</xdr:row>
          <xdr:rowOff>19050</xdr:rowOff>
        </xdr:from>
        <xdr:to>
          <xdr:col>3</xdr:col>
          <xdr:colOff>409575</xdr:colOff>
          <xdr:row>43</xdr:row>
          <xdr:rowOff>228600</xdr:rowOff>
        </xdr:to>
        <xdr:sp macro="" textlink="">
          <xdr:nvSpPr>
            <xdr:cNvPr id="86142" name="Option Button 126" hidden="1">
              <a:extLst>
                <a:ext uri="{63B3BB69-23CF-44E3-9099-C40C66FF867C}">
                  <a14:compatExt spid="_x0000_s86142"/>
                </a:ext>
                <a:ext uri="{FF2B5EF4-FFF2-40B4-BE49-F238E27FC236}">
                  <a16:creationId xmlns:a16="http://schemas.microsoft.com/office/drawing/2014/main" id="{00000000-0008-0000-3200-00007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43</xdr:row>
          <xdr:rowOff>19050</xdr:rowOff>
        </xdr:from>
        <xdr:to>
          <xdr:col>4</xdr:col>
          <xdr:colOff>409575</xdr:colOff>
          <xdr:row>43</xdr:row>
          <xdr:rowOff>228600</xdr:rowOff>
        </xdr:to>
        <xdr:sp macro="" textlink="">
          <xdr:nvSpPr>
            <xdr:cNvPr id="86143" name="Option Button 127" hidden="1">
              <a:extLst>
                <a:ext uri="{63B3BB69-23CF-44E3-9099-C40C66FF867C}">
                  <a14:compatExt spid="_x0000_s86143"/>
                </a:ext>
                <a:ext uri="{FF2B5EF4-FFF2-40B4-BE49-F238E27FC236}">
                  <a16:creationId xmlns:a16="http://schemas.microsoft.com/office/drawing/2014/main" id="{00000000-0008-0000-3200-00007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43</xdr:row>
          <xdr:rowOff>19050</xdr:rowOff>
        </xdr:from>
        <xdr:to>
          <xdr:col>5</xdr:col>
          <xdr:colOff>409575</xdr:colOff>
          <xdr:row>43</xdr:row>
          <xdr:rowOff>228600</xdr:rowOff>
        </xdr:to>
        <xdr:sp macro="" textlink="">
          <xdr:nvSpPr>
            <xdr:cNvPr id="86144" name="Option Button 128" hidden="1">
              <a:extLst>
                <a:ext uri="{63B3BB69-23CF-44E3-9099-C40C66FF867C}">
                  <a14:compatExt spid="_x0000_s86144"/>
                </a:ext>
                <a:ext uri="{FF2B5EF4-FFF2-40B4-BE49-F238E27FC236}">
                  <a16:creationId xmlns:a16="http://schemas.microsoft.com/office/drawing/2014/main" id="{00000000-0008-0000-3200-00008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43</xdr:row>
          <xdr:rowOff>19050</xdr:rowOff>
        </xdr:from>
        <xdr:to>
          <xdr:col>6</xdr:col>
          <xdr:colOff>409575</xdr:colOff>
          <xdr:row>43</xdr:row>
          <xdr:rowOff>228600</xdr:rowOff>
        </xdr:to>
        <xdr:sp macro="" textlink="">
          <xdr:nvSpPr>
            <xdr:cNvPr id="86145" name="Option Button 129" hidden="1">
              <a:extLst>
                <a:ext uri="{63B3BB69-23CF-44E3-9099-C40C66FF867C}">
                  <a14:compatExt spid="_x0000_s86145"/>
                </a:ext>
                <a:ext uri="{FF2B5EF4-FFF2-40B4-BE49-F238E27FC236}">
                  <a16:creationId xmlns:a16="http://schemas.microsoft.com/office/drawing/2014/main" id="{00000000-0008-0000-3200-00008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19050</xdr:rowOff>
        </xdr:from>
        <xdr:to>
          <xdr:col>3</xdr:col>
          <xdr:colOff>409575</xdr:colOff>
          <xdr:row>44</xdr:row>
          <xdr:rowOff>228600</xdr:rowOff>
        </xdr:to>
        <xdr:sp macro="" textlink="">
          <xdr:nvSpPr>
            <xdr:cNvPr id="86146" name="Option Button 130" hidden="1">
              <a:extLst>
                <a:ext uri="{63B3BB69-23CF-44E3-9099-C40C66FF867C}">
                  <a14:compatExt spid="_x0000_s86146"/>
                </a:ext>
                <a:ext uri="{FF2B5EF4-FFF2-40B4-BE49-F238E27FC236}">
                  <a16:creationId xmlns:a16="http://schemas.microsoft.com/office/drawing/2014/main" id="{00000000-0008-0000-3200-00008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44</xdr:row>
          <xdr:rowOff>19050</xdr:rowOff>
        </xdr:from>
        <xdr:to>
          <xdr:col>4</xdr:col>
          <xdr:colOff>409575</xdr:colOff>
          <xdr:row>44</xdr:row>
          <xdr:rowOff>228600</xdr:rowOff>
        </xdr:to>
        <xdr:sp macro="" textlink="">
          <xdr:nvSpPr>
            <xdr:cNvPr id="86147" name="Option Button 131" hidden="1">
              <a:extLst>
                <a:ext uri="{63B3BB69-23CF-44E3-9099-C40C66FF867C}">
                  <a14:compatExt spid="_x0000_s86147"/>
                </a:ext>
                <a:ext uri="{FF2B5EF4-FFF2-40B4-BE49-F238E27FC236}">
                  <a16:creationId xmlns:a16="http://schemas.microsoft.com/office/drawing/2014/main" id="{00000000-0008-0000-3200-00008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44</xdr:row>
          <xdr:rowOff>19050</xdr:rowOff>
        </xdr:from>
        <xdr:to>
          <xdr:col>5</xdr:col>
          <xdr:colOff>409575</xdr:colOff>
          <xdr:row>44</xdr:row>
          <xdr:rowOff>228600</xdr:rowOff>
        </xdr:to>
        <xdr:sp macro="" textlink="">
          <xdr:nvSpPr>
            <xdr:cNvPr id="86148" name="Option Button 132" hidden="1">
              <a:extLst>
                <a:ext uri="{63B3BB69-23CF-44E3-9099-C40C66FF867C}">
                  <a14:compatExt spid="_x0000_s86148"/>
                </a:ext>
                <a:ext uri="{FF2B5EF4-FFF2-40B4-BE49-F238E27FC236}">
                  <a16:creationId xmlns:a16="http://schemas.microsoft.com/office/drawing/2014/main" id="{00000000-0008-0000-3200-00008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44</xdr:row>
          <xdr:rowOff>19050</xdr:rowOff>
        </xdr:from>
        <xdr:to>
          <xdr:col>6</xdr:col>
          <xdr:colOff>409575</xdr:colOff>
          <xdr:row>44</xdr:row>
          <xdr:rowOff>228600</xdr:rowOff>
        </xdr:to>
        <xdr:sp macro="" textlink="">
          <xdr:nvSpPr>
            <xdr:cNvPr id="86149" name="Option Button 133" hidden="1">
              <a:extLst>
                <a:ext uri="{63B3BB69-23CF-44E3-9099-C40C66FF867C}">
                  <a14:compatExt spid="_x0000_s86149"/>
                </a:ext>
                <a:ext uri="{FF2B5EF4-FFF2-40B4-BE49-F238E27FC236}">
                  <a16:creationId xmlns:a16="http://schemas.microsoft.com/office/drawing/2014/main" id="{00000000-0008-0000-3200-00008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45</xdr:row>
          <xdr:rowOff>19050</xdr:rowOff>
        </xdr:from>
        <xdr:to>
          <xdr:col>3</xdr:col>
          <xdr:colOff>409575</xdr:colOff>
          <xdr:row>45</xdr:row>
          <xdr:rowOff>228600</xdr:rowOff>
        </xdr:to>
        <xdr:sp macro="" textlink="">
          <xdr:nvSpPr>
            <xdr:cNvPr id="86150" name="Option Button 134" hidden="1">
              <a:extLst>
                <a:ext uri="{63B3BB69-23CF-44E3-9099-C40C66FF867C}">
                  <a14:compatExt spid="_x0000_s86150"/>
                </a:ext>
                <a:ext uri="{FF2B5EF4-FFF2-40B4-BE49-F238E27FC236}">
                  <a16:creationId xmlns:a16="http://schemas.microsoft.com/office/drawing/2014/main" id="{00000000-0008-0000-3200-00008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45</xdr:row>
          <xdr:rowOff>19050</xdr:rowOff>
        </xdr:from>
        <xdr:to>
          <xdr:col>4</xdr:col>
          <xdr:colOff>409575</xdr:colOff>
          <xdr:row>45</xdr:row>
          <xdr:rowOff>228600</xdr:rowOff>
        </xdr:to>
        <xdr:sp macro="" textlink="">
          <xdr:nvSpPr>
            <xdr:cNvPr id="86151" name="Option Button 135" hidden="1">
              <a:extLst>
                <a:ext uri="{63B3BB69-23CF-44E3-9099-C40C66FF867C}">
                  <a14:compatExt spid="_x0000_s86151"/>
                </a:ext>
                <a:ext uri="{FF2B5EF4-FFF2-40B4-BE49-F238E27FC236}">
                  <a16:creationId xmlns:a16="http://schemas.microsoft.com/office/drawing/2014/main" id="{00000000-0008-0000-3200-00008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45</xdr:row>
          <xdr:rowOff>19050</xdr:rowOff>
        </xdr:from>
        <xdr:to>
          <xdr:col>5</xdr:col>
          <xdr:colOff>409575</xdr:colOff>
          <xdr:row>45</xdr:row>
          <xdr:rowOff>228600</xdr:rowOff>
        </xdr:to>
        <xdr:sp macro="" textlink="">
          <xdr:nvSpPr>
            <xdr:cNvPr id="86152" name="Option Button 136" hidden="1">
              <a:extLst>
                <a:ext uri="{63B3BB69-23CF-44E3-9099-C40C66FF867C}">
                  <a14:compatExt spid="_x0000_s86152"/>
                </a:ext>
                <a:ext uri="{FF2B5EF4-FFF2-40B4-BE49-F238E27FC236}">
                  <a16:creationId xmlns:a16="http://schemas.microsoft.com/office/drawing/2014/main" id="{00000000-0008-0000-3200-00008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45</xdr:row>
          <xdr:rowOff>19050</xdr:rowOff>
        </xdr:from>
        <xdr:to>
          <xdr:col>6</xdr:col>
          <xdr:colOff>409575</xdr:colOff>
          <xdr:row>45</xdr:row>
          <xdr:rowOff>228600</xdr:rowOff>
        </xdr:to>
        <xdr:sp macro="" textlink="">
          <xdr:nvSpPr>
            <xdr:cNvPr id="86153" name="Option Button 137" hidden="1">
              <a:extLst>
                <a:ext uri="{63B3BB69-23CF-44E3-9099-C40C66FF867C}">
                  <a14:compatExt spid="_x0000_s86153"/>
                </a:ext>
                <a:ext uri="{FF2B5EF4-FFF2-40B4-BE49-F238E27FC236}">
                  <a16:creationId xmlns:a16="http://schemas.microsoft.com/office/drawing/2014/main" id="{00000000-0008-0000-3200-00008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46</xdr:row>
          <xdr:rowOff>19050</xdr:rowOff>
        </xdr:from>
        <xdr:to>
          <xdr:col>3</xdr:col>
          <xdr:colOff>409575</xdr:colOff>
          <xdr:row>46</xdr:row>
          <xdr:rowOff>228600</xdr:rowOff>
        </xdr:to>
        <xdr:sp macro="" textlink="">
          <xdr:nvSpPr>
            <xdr:cNvPr id="86154" name="Option Button 138" hidden="1">
              <a:extLst>
                <a:ext uri="{63B3BB69-23CF-44E3-9099-C40C66FF867C}">
                  <a14:compatExt spid="_x0000_s86154"/>
                </a:ext>
                <a:ext uri="{FF2B5EF4-FFF2-40B4-BE49-F238E27FC236}">
                  <a16:creationId xmlns:a16="http://schemas.microsoft.com/office/drawing/2014/main" id="{00000000-0008-0000-3200-00008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46</xdr:row>
          <xdr:rowOff>19050</xdr:rowOff>
        </xdr:from>
        <xdr:to>
          <xdr:col>4</xdr:col>
          <xdr:colOff>409575</xdr:colOff>
          <xdr:row>46</xdr:row>
          <xdr:rowOff>228600</xdr:rowOff>
        </xdr:to>
        <xdr:sp macro="" textlink="">
          <xdr:nvSpPr>
            <xdr:cNvPr id="86155" name="Option Button 139" hidden="1">
              <a:extLst>
                <a:ext uri="{63B3BB69-23CF-44E3-9099-C40C66FF867C}">
                  <a14:compatExt spid="_x0000_s86155"/>
                </a:ext>
                <a:ext uri="{FF2B5EF4-FFF2-40B4-BE49-F238E27FC236}">
                  <a16:creationId xmlns:a16="http://schemas.microsoft.com/office/drawing/2014/main" id="{00000000-0008-0000-3200-00008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46</xdr:row>
          <xdr:rowOff>19050</xdr:rowOff>
        </xdr:from>
        <xdr:to>
          <xdr:col>5</xdr:col>
          <xdr:colOff>409575</xdr:colOff>
          <xdr:row>46</xdr:row>
          <xdr:rowOff>228600</xdr:rowOff>
        </xdr:to>
        <xdr:sp macro="" textlink="">
          <xdr:nvSpPr>
            <xdr:cNvPr id="86156" name="Option Button 140" hidden="1">
              <a:extLst>
                <a:ext uri="{63B3BB69-23CF-44E3-9099-C40C66FF867C}">
                  <a14:compatExt spid="_x0000_s86156"/>
                </a:ext>
                <a:ext uri="{FF2B5EF4-FFF2-40B4-BE49-F238E27FC236}">
                  <a16:creationId xmlns:a16="http://schemas.microsoft.com/office/drawing/2014/main" id="{00000000-0008-0000-3200-00008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46</xdr:row>
          <xdr:rowOff>19050</xdr:rowOff>
        </xdr:from>
        <xdr:to>
          <xdr:col>6</xdr:col>
          <xdr:colOff>409575</xdr:colOff>
          <xdr:row>46</xdr:row>
          <xdr:rowOff>228600</xdr:rowOff>
        </xdr:to>
        <xdr:sp macro="" textlink="">
          <xdr:nvSpPr>
            <xdr:cNvPr id="86157" name="Option Button 141" hidden="1">
              <a:extLst>
                <a:ext uri="{63B3BB69-23CF-44E3-9099-C40C66FF867C}">
                  <a14:compatExt spid="_x0000_s86157"/>
                </a:ext>
                <a:ext uri="{FF2B5EF4-FFF2-40B4-BE49-F238E27FC236}">
                  <a16:creationId xmlns:a16="http://schemas.microsoft.com/office/drawing/2014/main" id="{00000000-0008-0000-3200-00008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19050</xdr:rowOff>
        </xdr:from>
        <xdr:to>
          <xdr:col>3</xdr:col>
          <xdr:colOff>409575</xdr:colOff>
          <xdr:row>47</xdr:row>
          <xdr:rowOff>228600</xdr:rowOff>
        </xdr:to>
        <xdr:sp macro="" textlink="">
          <xdr:nvSpPr>
            <xdr:cNvPr id="86158" name="Option Button 142" hidden="1">
              <a:extLst>
                <a:ext uri="{63B3BB69-23CF-44E3-9099-C40C66FF867C}">
                  <a14:compatExt spid="_x0000_s86158"/>
                </a:ext>
                <a:ext uri="{FF2B5EF4-FFF2-40B4-BE49-F238E27FC236}">
                  <a16:creationId xmlns:a16="http://schemas.microsoft.com/office/drawing/2014/main" id="{00000000-0008-0000-3200-00008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47</xdr:row>
          <xdr:rowOff>19050</xdr:rowOff>
        </xdr:from>
        <xdr:to>
          <xdr:col>4</xdr:col>
          <xdr:colOff>409575</xdr:colOff>
          <xdr:row>47</xdr:row>
          <xdr:rowOff>228600</xdr:rowOff>
        </xdr:to>
        <xdr:sp macro="" textlink="">
          <xdr:nvSpPr>
            <xdr:cNvPr id="86159" name="Option Button 143" hidden="1">
              <a:extLst>
                <a:ext uri="{63B3BB69-23CF-44E3-9099-C40C66FF867C}">
                  <a14:compatExt spid="_x0000_s86159"/>
                </a:ext>
                <a:ext uri="{FF2B5EF4-FFF2-40B4-BE49-F238E27FC236}">
                  <a16:creationId xmlns:a16="http://schemas.microsoft.com/office/drawing/2014/main" id="{00000000-0008-0000-3200-00008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47</xdr:row>
          <xdr:rowOff>19050</xdr:rowOff>
        </xdr:from>
        <xdr:to>
          <xdr:col>5</xdr:col>
          <xdr:colOff>409575</xdr:colOff>
          <xdr:row>47</xdr:row>
          <xdr:rowOff>228600</xdr:rowOff>
        </xdr:to>
        <xdr:sp macro="" textlink="">
          <xdr:nvSpPr>
            <xdr:cNvPr id="86160" name="Option Button 144" hidden="1">
              <a:extLst>
                <a:ext uri="{63B3BB69-23CF-44E3-9099-C40C66FF867C}">
                  <a14:compatExt spid="_x0000_s86160"/>
                </a:ext>
                <a:ext uri="{FF2B5EF4-FFF2-40B4-BE49-F238E27FC236}">
                  <a16:creationId xmlns:a16="http://schemas.microsoft.com/office/drawing/2014/main" id="{00000000-0008-0000-3200-00009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47</xdr:row>
          <xdr:rowOff>19050</xdr:rowOff>
        </xdr:from>
        <xdr:to>
          <xdr:col>6</xdr:col>
          <xdr:colOff>409575</xdr:colOff>
          <xdr:row>47</xdr:row>
          <xdr:rowOff>228600</xdr:rowOff>
        </xdr:to>
        <xdr:sp macro="" textlink="">
          <xdr:nvSpPr>
            <xdr:cNvPr id="86161" name="Option Button 145" hidden="1">
              <a:extLst>
                <a:ext uri="{63B3BB69-23CF-44E3-9099-C40C66FF867C}">
                  <a14:compatExt spid="_x0000_s86161"/>
                </a:ext>
                <a:ext uri="{FF2B5EF4-FFF2-40B4-BE49-F238E27FC236}">
                  <a16:creationId xmlns:a16="http://schemas.microsoft.com/office/drawing/2014/main" id="{00000000-0008-0000-3200-00009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48</xdr:row>
          <xdr:rowOff>19050</xdr:rowOff>
        </xdr:from>
        <xdr:to>
          <xdr:col>3</xdr:col>
          <xdr:colOff>409575</xdr:colOff>
          <xdr:row>48</xdr:row>
          <xdr:rowOff>228600</xdr:rowOff>
        </xdr:to>
        <xdr:sp macro="" textlink="">
          <xdr:nvSpPr>
            <xdr:cNvPr id="86162" name="Option Button 146" hidden="1">
              <a:extLst>
                <a:ext uri="{63B3BB69-23CF-44E3-9099-C40C66FF867C}">
                  <a14:compatExt spid="_x0000_s86162"/>
                </a:ext>
                <a:ext uri="{FF2B5EF4-FFF2-40B4-BE49-F238E27FC236}">
                  <a16:creationId xmlns:a16="http://schemas.microsoft.com/office/drawing/2014/main" id="{00000000-0008-0000-3200-00009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48</xdr:row>
          <xdr:rowOff>19050</xdr:rowOff>
        </xdr:from>
        <xdr:to>
          <xdr:col>4</xdr:col>
          <xdr:colOff>409575</xdr:colOff>
          <xdr:row>48</xdr:row>
          <xdr:rowOff>228600</xdr:rowOff>
        </xdr:to>
        <xdr:sp macro="" textlink="">
          <xdr:nvSpPr>
            <xdr:cNvPr id="86163" name="Option Button 147" hidden="1">
              <a:extLst>
                <a:ext uri="{63B3BB69-23CF-44E3-9099-C40C66FF867C}">
                  <a14:compatExt spid="_x0000_s86163"/>
                </a:ext>
                <a:ext uri="{FF2B5EF4-FFF2-40B4-BE49-F238E27FC236}">
                  <a16:creationId xmlns:a16="http://schemas.microsoft.com/office/drawing/2014/main" id="{00000000-0008-0000-3200-00009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48</xdr:row>
          <xdr:rowOff>19050</xdr:rowOff>
        </xdr:from>
        <xdr:to>
          <xdr:col>5</xdr:col>
          <xdr:colOff>409575</xdr:colOff>
          <xdr:row>48</xdr:row>
          <xdr:rowOff>228600</xdr:rowOff>
        </xdr:to>
        <xdr:sp macro="" textlink="">
          <xdr:nvSpPr>
            <xdr:cNvPr id="86164" name="Option Button 148" hidden="1">
              <a:extLst>
                <a:ext uri="{63B3BB69-23CF-44E3-9099-C40C66FF867C}">
                  <a14:compatExt spid="_x0000_s86164"/>
                </a:ext>
                <a:ext uri="{FF2B5EF4-FFF2-40B4-BE49-F238E27FC236}">
                  <a16:creationId xmlns:a16="http://schemas.microsoft.com/office/drawing/2014/main" id="{00000000-0008-0000-3200-00009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48</xdr:row>
          <xdr:rowOff>19050</xdr:rowOff>
        </xdr:from>
        <xdr:to>
          <xdr:col>6</xdr:col>
          <xdr:colOff>409575</xdr:colOff>
          <xdr:row>48</xdr:row>
          <xdr:rowOff>228600</xdr:rowOff>
        </xdr:to>
        <xdr:sp macro="" textlink="">
          <xdr:nvSpPr>
            <xdr:cNvPr id="86165" name="Option Button 149" hidden="1">
              <a:extLst>
                <a:ext uri="{63B3BB69-23CF-44E3-9099-C40C66FF867C}">
                  <a14:compatExt spid="_x0000_s86165"/>
                </a:ext>
                <a:ext uri="{FF2B5EF4-FFF2-40B4-BE49-F238E27FC236}">
                  <a16:creationId xmlns:a16="http://schemas.microsoft.com/office/drawing/2014/main" id="{00000000-0008-0000-3200-00009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6</xdr:col>
          <xdr:colOff>600075</xdr:colOff>
          <xdr:row>14</xdr:row>
          <xdr:rowOff>0</xdr:rowOff>
        </xdr:to>
        <xdr:sp macro="" textlink="">
          <xdr:nvSpPr>
            <xdr:cNvPr id="86166" name="Group Box 150" hidden="1">
              <a:extLst>
                <a:ext uri="{63B3BB69-23CF-44E3-9099-C40C66FF867C}">
                  <a14:compatExt spid="_x0000_s86166"/>
                </a:ext>
                <a:ext uri="{FF2B5EF4-FFF2-40B4-BE49-F238E27FC236}">
                  <a16:creationId xmlns:a16="http://schemas.microsoft.com/office/drawing/2014/main" id="{00000000-0008-0000-3200-00009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6</xdr:col>
          <xdr:colOff>600075</xdr:colOff>
          <xdr:row>15</xdr:row>
          <xdr:rowOff>0</xdr:rowOff>
        </xdr:to>
        <xdr:sp macro="" textlink="">
          <xdr:nvSpPr>
            <xdr:cNvPr id="86167" name="Group Box 151" hidden="1">
              <a:extLst>
                <a:ext uri="{63B3BB69-23CF-44E3-9099-C40C66FF867C}">
                  <a14:compatExt spid="_x0000_s86167"/>
                </a:ext>
                <a:ext uri="{FF2B5EF4-FFF2-40B4-BE49-F238E27FC236}">
                  <a16:creationId xmlns:a16="http://schemas.microsoft.com/office/drawing/2014/main" id="{00000000-0008-0000-3200-000097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6</xdr:col>
          <xdr:colOff>600075</xdr:colOff>
          <xdr:row>16</xdr:row>
          <xdr:rowOff>0</xdr:rowOff>
        </xdr:to>
        <xdr:sp macro="" textlink="">
          <xdr:nvSpPr>
            <xdr:cNvPr id="86168" name="Group Box 152" hidden="1">
              <a:extLst>
                <a:ext uri="{63B3BB69-23CF-44E3-9099-C40C66FF867C}">
                  <a14:compatExt spid="_x0000_s86168"/>
                </a:ext>
                <a:ext uri="{FF2B5EF4-FFF2-40B4-BE49-F238E27FC236}">
                  <a16:creationId xmlns:a16="http://schemas.microsoft.com/office/drawing/2014/main" id="{00000000-0008-0000-3200-000098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6</xdr:col>
          <xdr:colOff>600075</xdr:colOff>
          <xdr:row>17</xdr:row>
          <xdr:rowOff>0</xdr:rowOff>
        </xdr:to>
        <xdr:sp macro="" textlink="">
          <xdr:nvSpPr>
            <xdr:cNvPr id="86169" name="Group Box 153" hidden="1">
              <a:extLst>
                <a:ext uri="{63B3BB69-23CF-44E3-9099-C40C66FF867C}">
                  <a14:compatExt spid="_x0000_s86169"/>
                </a:ext>
                <a:ext uri="{FF2B5EF4-FFF2-40B4-BE49-F238E27FC236}">
                  <a16:creationId xmlns:a16="http://schemas.microsoft.com/office/drawing/2014/main" id="{00000000-0008-0000-3200-00009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6</xdr:col>
          <xdr:colOff>600075</xdr:colOff>
          <xdr:row>18</xdr:row>
          <xdr:rowOff>0</xdr:rowOff>
        </xdr:to>
        <xdr:sp macro="" textlink="">
          <xdr:nvSpPr>
            <xdr:cNvPr id="86170" name="Group Box 154" hidden="1">
              <a:extLst>
                <a:ext uri="{63B3BB69-23CF-44E3-9099-C40C66FF867C}">
                  <a14:compatExt spid="_x0000_s86170"/>
                </a:ext>
                <a:ext uri="{FF2B5EF4-FFF2-40B4-BE49-F238E27FC236}">
                  <a16:creationId xmlns:a16="http://schemas.microsoft.com/office/drawing/2014/main" id="{00000000-0008-0000-3200-00009A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6</xdr:col>
          <xdr:colOff>600075</xdr:colOff>
          <xdr:row>19</xdr:row>
          <xdr:rowOff>0</xdr:rowOff>
        </xdr:to>
        <xdr:sp macro="" textlink="">
          <xdr:nvSpPr>
            <xdr:cNvPr id="86171" name="Group Box 155" hidden="1">
              <a:extLst>
                <a:ext uri="{63B3BB69-23CF-44E3-9099-C40C66FF867C}">
                  <a14:compatExt spid="_x0000_s86171"/>
                </a:ext>
                <a:ext uri="{FF2B5EF4-FFF2-40B4-BE49-F238E27FC236}">
                  <a16:creationId xmlns:a16="http://schemas.microsoft.com/office/drawing/2014/main" id="{00000000-0008-0000-3200-00009B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6</xdr:col>
          <xdr:colOff>600075</xdr:colOff>
          <xdr:row>20</xdr:row>
          <xdr:rowOff>0</xdr:rowOff>
        </xdr:to>
        <xdr:sp macro="" textlink="">
          <xdr:nvSpPr>
            <xdr:cNvPr id="86172" name="Group Box 156" hidden="1">
              <a:extLst>
                <a:ext uri="{63B3BB69-23CF-44E3-9099-C40C66FF867C}">
                  <a14:compatExt spid="_x0000_s86172"/>
                </a:ext>
                <a:ext uri="{FF2B5EF4-FFF2-40B4-BE49-F238E27FC236}">
                  <a16:creationId xmlns:a16="http://schemas.microsoft.com/office/drawing/2014/main" id="{00000000-0008-0000-3200-00009C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6</xdr:col>
          <xdr:colOff>600075</xdr:colOff>
          <xdr:row>21</xdr:row>
          <xdr:rowOff>0</xdr:rowOff>
        </xdr:to>
        <xdr:sp macro="" textlink="">
          <xdr:nvSpPr>
            <xdr:cNvPr id="86173" name="Group Box 157" hidden="1">
              <a:extLst>
                <a:ext uri="{63B3BB69-23CF-44E3-9099-C40C66FF867C}">
                  <a14:compatExt spid="_x0000_s86173"/>
                </a:ext>
                <a:ext uri="{FF2B5EF4-FFF2-40B4-BE49-F238E27FC236}">
                  <a16:creationId xmlns:a16="http://schemas.microsoft.com/office/drawing/2014/main" id="{00000000-0008-0000-3200-00009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6</xdr:col>
          <xdr:colOff>600075</xdr:colOff>
          <xdr:row>22</xdr:row>
          <xdr:rowOff>0</xdr:rowOff>
        </xdr:to>
        <xdr:sp macro="" textlink="">
          <xdr:nvSpPr>
            <xdr:cNvPr id="86174" name="Group Box 158" hidden="1">
              <a:extLst>
                <a:ext uri="{63B3BB69-23CF-44E3-9099-C40C66FF867C}">
                  <a14:compatExt spid="_x0000_s86174"/>
                </a:ext>
                <a:ext uri="{FF2B5EF4-FFF2-40B4-BE49-F238E27FC236}">
                  <a16:creationId xmlns:a16="http://schemas.microsoft.com/office/drawing/2014/main" id="{00000000-0008-0000-3200-00009E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6</xdr:col>
          <xdr:colOff>600075</xdr:colOff>
          <xdr:row>23</xdr:row>
          <xdr:rowOff>0</xdr:rowOff>
        </xdr:to>
        <xdr:sp macro="" textlink="">
          <xdr:nvSpPr>
            <xdr:cNvPr id="86175" name="Group Box 159" hidden="1">
              <a:extLst>
                <a:ext uri="{63B3BB69-23CF-44E3-9099-C40C66FF867C}">
                  <a14:compatExt spid="_x0000_s86175"/>
                </a:ext>
                <a:ext uri="{FF2B5EF4-FFF2-40B4-BE49-F238E27FC236}">
                  <a16:creationId xmlns:a16="http://schemas.microsoft.com/office/drawing/2014/main" id="{00000000-0008-0000-3200-00009F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6</xdr:col>
          <xdr:colOff>600075</xdr:colOff>
          <xdr:row>24</xdr:row>
          <xdr:rowOff>0</xdr:rowOff>
        </xdr:to>
        <xdr:sp macro="" textlink="">
          <xdr:nvSpPr>
            <xdr:cNvPr id="86176" name="Group Box 160" hidden="1">
              <a:extLst>
                <a:ext uri="{63B3BB69-23CF-44E3-9099-C40C66FF867C}">
                  <a14:compatExt spid="_x0000_s86176"/>
                </a:ext>
                <a:ext uri="{FF2B5EF4-FFF2-40B4-BE49-F238E27FC236}">
                  <a16:creationId xmlns:a16="http://schemas.microsoft.com/office/drawing/2014/main" id="{00000000-0008-0000-3200-0000A0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6</xdr:col>
          <xdr:colOff>600075</xdr:colOff>
          <xdr:row>25</xdr:row>
          <xdr:rowOff>0</xdr:rowOff>
        </xdr:to>
        <xdr:sp macro="" textlink="">
          <xdr:nvSpPr>
            <xdr:cNvPr id="86177" name="Group Box 161" hidden="1">
              <a:extLst>
                <a:ext uri="{63B3BB69-23CF-44E3-9099-C40C66FF867C}">
                  <a14:compatExt spid="_x0000_s86177"/>
                </a:ext>
                <a:ext uri="{FF2B5EF4-FFF2-40B4-BE49-F238E27FC236}">
                  <a16:creationId xmlns:a16="http://schemas.microsoft.com/office/drawing/2014/main" id="{00000000-0008-0000-3200-0000A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6</xdr:col>
          <xdr:colOff>600075</xdr:colOff>
          <xdr:row>26</xdr:row>
          <xdr:rowOff>0</xdr:rowOff>
        </xdr:to>
        <xdr:sp macro="" textlink="">
          <xdr:nvSpPr>
            <xdr:cNvPr id="86178" name="Group Box 162" hidden="1">
              <a:extLst>
                <a:ext uri="{63B3BB69-23CF-44E3-9099-C40C66FF867C}">
                  <a14:compatExt spid="_x0000_s86178"/>
                </a:ext>
                <a:ext uri="{FF2B5EF4-FFF2-40B4-BE49-F238E27FC236}">
                  <a16:creationId xmlns:a16="http://schemas.microsoft.com/office/drawing/2014/main" id="{00000000-0008-0000-3200-0000A2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6</xdr:col>
          <xdr:colOff>600075</xdr:colOff>
          <xdr:row>27</xdr:row>
          <xdr:rowOff>0</xdr:rowOff>
        </xdr:to>
        <xdr:sp macro="" textlink="">
          <xdr:nvSpPr>
            <xdr:cNvPr id="86179" name="Group Box 163" hidden="1">
              <a:extLst>
                <a:ext uri="{63B3BB69-23CF-44E3-9099-C40C66FF867C}">
                  <a14:compatExt spid="_x0000_s86179"/>
                </a:ext>
                <a:ext uri="{FF2B5EF4-FFF2-40B4-BE49-F238E27FC236}">
                  <a16:creationId xmlns:a16="http://schemas.microsoft.com/office/drawing/2014/main" id="{00000000-0008-0000-3200-0000A3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6</xdr:col>
          <xdr:colOff>600075</xdr:colOff>
          <xdr:row>28</xdr:row>
          <xdr:rowOff>0</xdr:rowOff>
        </xdr:to>
        <xdr:sp macro="" textlink="">
          <xdr:nvSpPr>
            <xdr:cNvPr id="86180" name="Group Box 164" hidden="1">
              <a:extLst>
                <a:ext uri="{63B3BB69-23CF-44E3-9099-C40C66FF867C}">
                  <a14:compatExt spid="_x0000_s86180"/>
                </a:ext>
                <a:ext uri="{FF2B5EF4-FFF2-40B4-BE49-F238E27FC236}">
                  <a16:creationId xmlns:a16="http://schemas.microsoft.com/office/drawing/2014/main" id="{00000000-0008-0000-3200-0000A4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6</xdr:col>
          <xdr:colOff>600075</xdr:colOff>
          <xdr:row>29</xdr:row>
          <xdr:rowOff>0</xdr:rowOff>
        </xdr:to>
        <xdr:sp macro="" textlink="">
          <xdr:nvSpPr>
            <xdr:cNvPr id="86181" name="Group Box 165" hidden="1">
              <a:extLst>
                <a:ext uri="{63B3BB69-23CF-44E3-9099-C40C66FF867C}">
                  <a14:compatExt spid="_x0000_s86181"/>
                </a:ext>
                <a:ext uri="{FF2B5EF4-FFF2-40B4-BE49-F238E27FC236}">
                  <a16:creationId xmlns:a16="http://schemas.microsoft.com/office/drawing/2014/main" id="{00000000-0008-0000-3200-0000A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6</xdr:col>
          <xdr:colOff>600075</xdr:colOff>
          <xdr:row>30</xdr:row>
          <xdr:rowOff>0</xdr:rowOff>
        </xdr:to>
        <xdr:sp macro="" textlink="">
          <xdr:nvSpPr>
            <xdr:cNvPr id="86182" name="Group Box 166" hidden="1">
              <a:extLst>
                <a:ext uri="{63B3BB69-23CF-44E3-9099-C40C66FF867C}">
                  <a14:compatExt spid="_x0000_s86182"/>
                </a:ext>
                <a:ext uri="{FF2B5EF4-FFF2-40B4-BE49-F238E27FC236}">
                  <a16:creationId xmlns:a16="http://schemas.microsoft.com/office/drawing/2014/main" id="{00000000-0008-0000-3200-0000A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6</xdr:col>
          <xdr:colOff>600075</xdr:colOff>
          <xdr:row>31</xdr:row>
          <xdr:rowOff>0</xdr:rowOff>
        </xdr:to>
        <xdr:sp macro="" textlink="">
          <xdr:nvSpPr>
            <xdr:cNvPr id="86183" name="Group Box 167" hidden="1">
              <a:extLst>
                <a:ext uri="{63B3BB69-23CF-44E3-9099-C40C66FF867C}">
                  <a14:compatExt spid="_x0000_s86183"/>
                </a:ext>
                <a:ext uri="{FF2B5EF4-FFF2-40B4-BE49-F238E27FC236}">
                  <a16:creationId xmlns:a16="http://schemas.microsoft.com/office/drawing/2014/main" id="{00000000-0008-0000-3200-0000A7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6</xdr:col>
          <xdr:colOff>600075</xdr:colOff>
          <xdr:row>32</xdr:row>
          <xdr:rowOff>0</xdr:rowOff>
        </xdr:to>
        <xdr:sp macro="" textlink="">
          <xdr:nvSpPr>
            <xdr:cNvPr id="86184" name="Group Box 168" hidden="1">
              <a:extLst>
                <a:ext uri="{63B3BB69-23CF-44E3-9099-C40C66FF867C}">
                  <a14:compatExt spid="_x0000_s86184"/>
                </a:ext>
                <a:ext uri="{FF2B5EF4-FFF2-40B4-BE49-F238E27FC236}">
                  <a16:creationId xmlns:a16="http://schemas.microsoft.com/office/drawing/2014/main" id="{00000000-0008-0000-3200-0000A8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6</xdr:col>
          <xdr:colOff>600075</xdr:colOff>
          <xdr:row>33</xdr:row>
          <xdr:rowOff>0</xdr:rowOff>
        </xdr:to>
        <xdr:sp macro="" textlink="">
          <xdr:nvSpPr>
            <xdr:cNvPr id="86185" name="Group Box 169" hidden="1">
              <a:extLst>
                <a:ext uri="{63B3BB69-23CF-44E3-9099-C40C66FF867C}">
                  <a14:compatExt spid="_x0000_s86185"/>
                </a:ext>
                <a:ext uri="{FF2B5EF4-FFF2-40B4-BE49-F238E27FC236}">
                  <a16:creationId xmlns:a16="http://schemas.microsoft.com/office/drawing/2014/main" id="{00000000-0008-0000-3200-0000A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6</xdr:col>
          <xdr:colOff>600075</xdr:colOff>
          <xdr:row>34</xdr:row>
          <xdr:rowOff>0</xdr:rowOff>
        </xdr:to>
        <xdr:sp macro="" textlink="">
          <xdr:nvSpPr>
            <xdr:cNvPr id="86186" name="Group Box 170" hidden="1">
              <a:extLst>
                <a:ext uri="{63B3BB69-23CF-44E3-9099-C40C66FF867C}">
                  <a14:compatExt spid="_x0000_s86186"/>
                </a:ext>
                <a:ext uri="{FF2B5EF4-FFF2-40B4-BE49-F238E27FC236}">
                  <a16:creationId xmlns:a16="http://schemas.microsoft.com/office/drawing/2014/main" id="{00000000-0008-0000-3200-0000AA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6</xdr:col>
          <xdr:colOff>600075</xdr:colOff>
          <xdr:row>35</xdr:row>
          <xdr:rowOff>0</xdr:rowOff>
        </xdr:to>
        <xdr:sp macro="" textlink="">
          <xdr:nvSpPr>
            <xdr:cNvPr id="86187" name="Group Box 171" hidden="1">
              <a:extLst>
                <a:ext uri="{63B3BB69-23CF-44E3-9099-C40C66FF867C}">
                  <a14:compatExt spid="_x0000_s86187"/>
                </a:ext>
                <a:ext uri="{FF2B5EF4-FFF2-40B4-BE49-F238E27FC236}">
                  <a16:creationId xmlns:a16="http://schemas.microsoft.com/office/drawing/2014/main" id="{00000000-0008-0000-3200-0000AB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6</xdr:col>
          <xdr:colOff>600075</xdr:colOff>
          <xdr:row>36</xdr:row>
          <xdr:rowOff>0</xdr:rowOff>
        </xdr:to>
        <xdr:sp macro="" textlink="">
          <xdr:nvSpPr>
            <xdr:cNvPr id="86188" name="Group Box 172" hidden="1">
              <a:extLst>
                <a:ext uri="{63B3BB69-23CF-44E3-9099-C40C66FF867C}">
                  <a14:compatExt spid="_x0000_s86188"/>
                </a:ext>
                <a:ext uri="{FF2B5EF4-FFF2-40B4-BE49-F238E27FC236}">
                  <a16:creationId xmlns:a16="http://schemas.microsoft.com/office/drawing/2014/main" id="{00000000-0008-0000-3200-0000AC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6</xdr:col>
          <xdr:colOff>600075</xdr:colOff>
          <xdr:row>37</xdr:row>
          <xdr:rowOff>0</xdr:rowOff>
        </xdr:to>
        <xdr:sp macro="" textlink="">
          <xdr:nvSpPr>
            <xdr:cNvPr id="86189" name="Group Box 173" hidden="1">
              <a:extLst>
                <a:ext uri="{63B3BB69-23CF-44E3-9099-C40C66FF867C}">
                  <a14:compatExt spid="_x0000_s86189"/>
                </a:ext>
                <a:ext uri="{FF2B5EF4-FFF2-40B4-BE49-F238E27FC236}">
                  <a16:creationId xmlns:a16="http://schemas.microsoft.com/office/drawing/2014/main" id="{00000000-0008-0000-3200-0000A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6</xdr:col>
          <xdr:colOff>600075</xdr:colOff>
          <xdr:row>38</xdr:row>
          <xdr:rowOff>0</xdr:rowOff>
        </xdr:to>
        <xdr:sp macro="" textlink="">
          <xdr:nvSpPr>
            <xdr:cNvPr id="86190" name="Group Box 174" hidden="1">
              <a:extLst>
                <a:ext uri="{63B3BB69-23CF-44E3-9099-C40C66FF867C}">
                  <a14:compatExt spid="_x0000_s86190"/>
                </a:ext>
                <a:ext uri="{FF2B5EF4-FFF2-40B4-BE49-F238E27FC236}">
                  <a16:creationId xmlns:a16="http://schemas.microsoft.com/office/drawing/2014/main" id="{00000000-0008-0000-3200-0000AE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6</xdr:col>
          <xdr:colOff>600075</xdr:colOff>
          <xdr:row>39</xdr:row>
          <xdr:rowOff>0</xdr:rowOff>
        </xdr:to>
        <xdr:sp macro="" textlink="">
          <xdr:nvSpPr>
            <xdr:cNvPr id="86191" name="Group Box 175" hidden="1">
              <a:extLst>
                <a:ext uri="{63B3BB69-23CF-44E3-9099-C40C66FF867C}">
                  <a14:compatExt spid="_x0000_s86191"/>
                </a:ext>
                <a:ext uri="{FF2B5EF4-FFF2-40B4-BE49-F238E27FC236}">
                  <a16:creationId xmlns:a16="http://schemas.microsoft.com/office/drawing/2014/main" id="{00000000-0008-0000-3200-0000AF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6</xdr:col>
          <xdr:colOff>600075</xdr:colOff>
          <xdr:row>40</xdr:row>
          <xdr:rowOff>0</xdr:rowOff>
        </xdr:to>
        <xdr:sp macro="" textlink="">
          <xdr:nvSpPr>
            <xdr:cNvPr id="86192" name="Group Box 176" hidden="1">
              <a:extLst>
                <a:ext uri="{63B3BB69-23CF-44E3-9099-C40C66FF867C}">
                  <a14:compatExt spid="_x0000_s86192"/>
                </a:ext>
                <a:ext uri="{FF2B5EF4-FFF2-40B4-BE49-F238E27FC236}">
                  <a16:creationId xmlns:a16="http://schemas.microsoft.com/office/drawing/2014/main" id="{00000000-0008-0000-3200-0000B0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6</xdr:col>
          <xdr:colOff>600075</xdr:colOff>
          <xdr:row>41</xdr:row>
          <xdr:rowOff>0</xdr:rowOff>
        </xdr:to>
        <xdr:sp macro="" textlink="">
          <xdr:nvSpPr>
            <xdr:cNvPr id="86193" name="Group Box 177" hidden="1">
              <a:extLst>
                <a:ext uri="{63B3BB69-23CF-44E3-9099-C40C66FF867C}">
                  <a14:compatExt spid="_x0000_s86193"/>
                </a:ext>
                <a:ext uri="{FF2B5EF4-FFF2-40B4-BE49-F238E27FC236}">
                  <a16:creationId xmlns:a16="http://schemas.microsoft.com/office/drawing/2014/main" id="{00000000-0008-0000-3200-0000B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6</xdr:col>
          <xdr:colOff>600075</xdr:colOff>
          <xdr:row>42</xdr:row>
          <xdr:rowOff>0</xdr:rowOff>
        </xdr:to>
        <xdr:sp macro="" textlink="">
          <xdr:nvSpPr>
            <xdr:cNvPr id="86194" name="Group Box 178" hidden="1">
              <a:extLst>
                <a:ext uri="{63B3BB69-23CF-44E3-9099-C40C66FF867C}">
                  <a14:compatExt spid="_x0000_s86194"/>
                </a:ext>
                <a:ext uri="{FF2B5EF4-FFF2-40B4-BE49-F238E27FC236}">
                  <a16:creationId xmlns:a16="http://schemas.microsoft.com/office/drawing/2014/main" id="{00000000-0008-0000-3200-0000B2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6</xdr:col>
          <xdr:colOff>600075</xdr:colOff>
          <xdr:row>43</xdr:row>
          <xdr:rowOff>0</xdr:rowOff>
        </xdr:to>
        <xdr:sp macro="" textlink="">
          <xdr:nvSpPr>
            <xdr:cNvPr id="86195" name="Group Box 179" hidden="1">
              <a:extLst>
                <a:ext uri="{63B3BB69-23CF-44E3-9099-C40C66FF867C}">
                  <a14:compatExt spid="_x0000_s86195"/>
                </a:ext>
                <a:ext uri="{FF2B5EF4-FFF2-40B4-BE49-F238E27FC236}">
                  <a16:creationId xmlns:a16="http://schemas.microsoft.com/office/drawing/2014/main" id="{00000000-0008-0000-3200-0000B3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6</xdr:col>
          <xdr:colOff>600075</xdr:colOff>
          <xdr:row>44</xdr:row>
          <xdr:rowOff>0</xdr:rowOff>
        </xdr:to>
        <xdr:sp macro="" textlink="">
          <xdr:nvSpPr>
            <xdr:cNvPr id="86196" name="Group Box 180" hidden="1">
              <a:extLst>
                <a:ext uri="{63B3BB69-23CF-44E3-9099-C40C66FF867C}">
                  <a14:compatExt spid="_x0000_s86196"/>
                </a:ext>
                <a:ext uri="{FF2B5EF4-FFF2-40B4-BE49-F238E27FC236}">
                  <a16:creationId xmlns:a16="http://schemas.microsoft.com/office/drawing/2014/main" id="{00000000-0008-0000-3200-0000B4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6</xdr:col>
          <xdr:colOff>600075</xdr:colOff>
          <xdr:row>45</xdr:row>
          <xdr:rowOff>0</xdr:rowOff>
        </xdr:to>
        <xdr:sp macro="" textlink="">
          <xdr:nvSpPr>
            <xdr:cNvPr id="86197" name="Group Box 181" hidden="1">
              <a:extLst>
                <a:ext uri="{63B3BB69-23CF-44E3-9099-C40C66FF867C}">
                  <a14:compatExt spid="_x0000_s86197"/>
                </a:ext>
                <a:ext uri="{FF2B5EF4-FFF2-40B4-BE49-F238E27FC236}">
                  <a16:creationId xmlns:a16="http://schemas.microsoft.com/office/drawing/2014/main" id="{00000000-0008-0000-3200-0000B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6</xdr:col>
          <xdr:colOff>600075</xdr:colOff>
          <xdr:row>46</xdr:row>
          <xdr:rowOff>0</xdr:rowOff>
        </xdr:to>
        <xdr:sp macro="" textlink="">
          <xdr:nvSpPr>
            <xdr:cNvPr id="86198" name="Group Box 182" hidden="1">
              <a:extLst>
                <a:ext uri="{63B3BB69-23CF-44E3-9099-C40C66FF867C}">
                  <a14:compatExt spid="_x0000_s86198"/>
                </a:ext>
                <a:ext uri="{FF2B5EF4-FFF2-40B4-BE49-F238E27FC236}">
                  <a16:creationId xmlns:a16="http://schemas.microsoft.com/office/drawing/2014/main" id="{00000000-0008-0000-3200-0000B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6</xdr:col>
          <xdr:colOff>600075</xdr:colOff>
          <xdr:row>47</xdr:row>
          <xdr:rowOff>0</xdr:rowOff>
        </xdr:to>
        <xdr:sp macro="" textlink="">
          <xdr:nvSpPr>
            <xdr:cNvPr id="86199" name="Group Box 183" hidden="1">
              <a:extLst>
                <a:ext uri="{63B3BB69-23CF-44E3-9099-C40C66FF867C}">
                  <a14:compatExt spid="_x0000_s86199"/>
                </a:ext>
                <a:ext uri="{FF2B5EF4-FFF2-40B4-BE49-F238E27FC236}">
                  <a16:creationId xmlns:a16="http://schemas.microsoft.com/office/drawing/2014/main" id="{00000000-0008-0000-3200-0000B7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6</xdr:col>
          <xdr:colOff>600075</xdr:colOff>
          <xdr:row>48</xdr:row>
          <xdr:rowOff>0</xdr:rowOff>
        </xdr:to>
        <xdr:sp macro="" textlink="">
          <xdr:nvSpPr>
            <xdr:cNvPr id="86200" name="Group Box 184" hidden="1">
              <a:extLst>
                <a:ext uri="{63B3BB69-23CF-44E3-9099-C40C66FF867C}">
                  <a14:compatExt spid="_x0000_s86200"/>
                </a:ext>
                <a:ext uri="{FF2B5EF4-FFF2-40B4-BE49-F238E27FC236}">
                  <a16:creationId xmlns:a16="http://schemas.microsoft.com/office/drawing/2014/main" id="{00000000-0008-0000-3200-0000B8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6</xdr:col>
          <xdr:colOff>600075</xdr:colOff>
          <xdr:row>49</xdr:row>
          <xdr:rowOff>0</xdr:rowOff>
        </xdr:to>
        <xdr:sp macro="" textlink="">
          <xdr:nvSpPr>
            <xdr:cNvPr id="86201" name="Group Box 185" hidden="1">
              <a:extLst>
                <a:ext uri="{63B3BB69-23CF-44E3-9099-C40C66FF867C}">
                  <a14:compatExt spid="_x0000_s86201"/>
                </a:ext>
                <a:ext uri="{FF2B5EF4-FFF2-40B4-BE49-F238E27FC236}">
                  <a16:creationId xmlns:a16="http://schemas.microsoft.com/office/drawing/2014/main" id="{00000000-0008-0000-3200-0000B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6</xdr:col>
          <xdr:colOff>600075</xdr:colOff>
          <xdr:row>50</xdr:row>
          <xdr:rowOff>0</xdr:rowOff>
        </xdr:to>
        <xdr:sp macro="" textlink="">
          <xdr:nvSpPr>
            <xdr:cNvPr id="86202" name="Group Box 186" hidden="1">
              <a:extLst>
                <a:ext uri="{63B3BB69-23CF-44E3-9099-C40C66FF867C}">
                  <a14:compatExt spid="_x0000_s86202"/>
                </a:ext>
                <a:ext uri="{FF2B5EF4-FFF2-40B4-BE49-F238E27FC236}">
                  <a16:creationId xmlns:a16="http://schemas.microsoft.com/office/drawing/2014/main" id="{00000000-0008-0000-3200-0000BA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6</xdr:col>
          <xdr:colOff>600075</xdr:colOff>
          <xdr:row>51</xdr:row>
          <xdr:rowOff>0</xdr:rowOff>
        </xdr:to>
        <xdr:sp macro="" textlink="">
          <xdr:nvSpPr>
            <xdr:cNvPr id="86203" name="Group Box 187" hidden="1">
              <a:extLst>
                <a:ext uri="{63B3BB69-23CF-44E3-9099-C40C66FF867C}">
                  <a14:compatExt spid="_x0000_s86203"/>
                </a:ext>
                <a:ext uri="{FF2B5EF4-FFF2-40B4-BE49-F238E27FC236}">
                  <a16:creationId xmlns:a16="http://schemas.microsoft.com/office/drawing/2014/main" id="{00000000-0008-0000-3200-0000BB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6</xdr:col>
          <xdr:colOff>600075</xdr:colOff>
          <xdr:row>52</xdr:row>
          <xdr:rowOff>0</xdr:rowOff>
        </xdr:to>
        <xdr:sp macro="" textlink="">
          <xdr:nvSpPr>
            <xdr:cNvPr id="86204" name="Group Box 188" hidden="1">
              <a:extLst>
                <a:ext uri="{63B3BB69-23CF-44E3-9099-C40C66FF867C}">
                  <a14:compatExt spid="_x0000_s86204"/>
                </a:ext>
                <a:ext uri="{FF2B5EF4-FFF2-40B4-BE49-F238E27FC236}">
                  <a16:creationId xmlns:a16="http://schemas.microsoft.com/office/drawing/2014/main" id="{00000000-0008-0000-3200-0000BC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12</xdr:col>
      <xdr:colOff>38100</xdr:colOff>
      <xdr:row>6</xdr:row>
      <xdr:rowOff>97100</xdr:rowOff>
    </xdr:from>
    <xdr:to>
      <xdr:col>13</xdr:col>
      <xdr:colOff>482600</xdr:colOff>
      <xdr:row>8</xdr:row>
      <xdr:rowOff>228600</xdr:rowOff>
    </xdr:to>
    <xdr:sp macro="" textlink="">
      <xdr:nvSpPr>
        <xdr:cNvPr id="191" name="AutoShape 48">
          <a:hlinkClick xmlns:r="http://schemas.openxmlformats.org/officeDocument/2006/relationships" r:id="rId2"/>
          <a:extLst>
            <a:ext uri="{FF2B5EF4-FFF2-40B4-BE49-F238E27FC236}">
              <a16:creationId xmlns:a16="http://schemas.microsoft.com/office/drawing/2014/main" id="{00000000-0008-0000-3200-0000BF000000}"/>
            </a:ext>
          </a:extLst>
        </xdr:cNvPr>
        <xdr:cNvSpPr>
          <a:spLocks noChangeArrowheads="1"/>
        </xdr:cNvSpPr>
      </xdr:nvSpPr>
      <xdr:spPr bwMode="auto">
        <a:xfrm>
          <a:off x="7740650" y="1627450"/>
          <a:ext cx="1085850" cy="639500"/>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informatie</a:t>
          </a:r>
          <a:endParaRPr lang="nl-NL" sz="1400"/>
        </a:p>
      </xdr:txBody>
    </xdr:sp>
    <xdr:clientData/>
  </xdr:twoCellAnchor>
  <xdr:twoCellAnchor>
    <xdr:from>
      <xdr:col>12</xdr:col>
      <xdr:colOff>25400</xdr:colOff>
      <xdr:row>3</xdr:row>
      <xdr:rowOff>139700</xdr:rowOff>
    </xdr:from>
    <xdr:to>
      <xdr:col>13</xdr:col>
      <xdr:colOff>468816</xdr:colOff>
      <xdr:row>6</xdr:row>
      <xdr:rowOff>9876</xdr:rowOff>
    </xdr:to>
    <xdr:sp macro="" textlink="">
      <xdr:nvSpPr>
        <xdr:cNvPr id="192" name="AutoShape 48">
          <a:hlinkClick xmlns:r="http://schemas.openxmlformats.org/officeDocument/2006/relationships" r:id="rId3"/>
          <a:extLst>
            <a:ext uri="{FF2B5EF4-FFF2-40B4-BE49-F238E27FC236}">
              <a16:creationId xmlns:a16="http://schemas.microsoft.com/office/drawing/2014/main" id="{00000000-0008-0000-3200-0000C0000000}"/>
            </a:ext>
          </a:extLst>
        </xdr:cNvPr>
        <xdr:cNvSpPr>
          <a:spLocks noChangeArrowheads="1"/>
        </xdr:cNvSpPr>
      </xdr:nvSpPr>
      <xdr:spPr bwMode="auto">
        <a:xfrm>
          <a:off x="7727950" y="908050"/>
          <a:ext cx="1084766" cy="63217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beginblad</a:t>
          </a:r>
          <a:endParaRPr lang="nl-NL" sz="1400"/>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228600</xdr:colOff>
      <xdr:row>5</xdr:row>
      <xdr:rowOff>57150</xdr:rowOff>
    </xdr:from>
    <xdr:to>
      <xdr:col>4</xdr:col>
      <xdr:colOff>2009819</xdr:colOff>
      <xdr:row>5</xdr:row>
      <xdr:rowOff>1381125</xdr:rowOff>
    </xdr:to>
    <xdr:pic>
      <xdr:nvPicPr>
        <xdr:cNvPr id="2" name="Picture 2">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7250" y="3171825"/>
          <a:ext cx="2409869" cy="1323975"/>
        </a:xfrm>
        <a:prstGeom prst="rect">
          <a:avLst/>
        </a:prstGeom>
        <a:noFill/>
        <a:ln w="9525">
          <a:noFill/>
          <a:miter lim="800000"/>
          <a:headEnd/>
          <a:tailEnd/>
        </a:ln>
      </xdr:spPr>
    </xdr:pic>
    <xdr:clientData/>
  </xdr:twoCellAnchor>
  <xdr:twoCellAnchor editAs="oneCell">
    <xdr:from>
      <xdr:col>2</xdr:col>
      <xdr:colOff>276225</xdr:colOff>
      <xdr:row>21</xdr:row>
      <xdr:rowOff>104775</xdr:rowOff>
    </xdr:from>
    <xdr:to>
      <xdr:col>4</xdr:col>
      <xdr:colOff>1711007</xdr:colOff>
      <xdr:row>21</xdr:row>
      <xdr:rowOff>1381125</xdr:rowOff>
    </xdr:to>
    <xdr:pic>
      <xdr:nvPicPr>
        <xdr:cNvPr id="3" name="Picture 6">
          <a:extLst>
            <a:ext uri="{FF2B5EF4-FFF2-40B4-BE49-F238E27FC236}">
              <a16:creationId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04875" y="9077325"/>
          <a:ext cx="2063432" cy="1276350"/>
        </a:xfrm>
        <a:prstGeom prst="rect">
          <a:avLst/>
        </a:prstGeom>
        <a:noFill/>
        <a:ln w="9525">
          <a:noFill/>
          <a:miter lim="800000"/>
          <a:headEnd/>
          <a:tailEnd/>
        </a:ln>
      </xdr:spPr>
    </xdr:pic>
    <xdr:clientData/>
  </xdr:twoCellAnchor>
  <xdr:twoCellAnchor>
    <xdr:from>
      <xdr:col>4</xdr:col>
      <xdr:colOff>1885950</xdr:colOff>
      <xdr:row>3</xdr:row>
      <xdr:rowOff>133350</xdr:rowOff>
    </xdr:from>
    <xdr:to>
      <xdr:col>4</xdr:col>
      <xdr:colOff>3667125</xdr:colOff>
      <xdr:row>3</xdr:row>
      <xdr:rowOff>142875</xdr:rowOff>
    </xdr:to>
    <xdr:cxnSp macro="">
      <xdr:nvCxnSpPr>
        <xdr:cNvPr id="5" name="Rechte verbindingslijn met pijl 4">
          <a:extLst>
            <a:ext uri="{FF2B5EF4-FFF2-40B4-BE49-F238E27FC236}">
              <a16:creationId xmlns:a16="http://schemas.microsoft.com/office/drawing/2014/main" id="{00000000-0008-0000-3300-000005000000}"/>
            </a:ext>
          </a:extLst>
        </xdr:cNvPr>
        <xdr:cNvCxnSpPr/>
      </xdr:nvCxnSpPr>
      <xdr:spPr>
        <a:xfrm flipV="1">
          <a:off x="3143250" y="2171700"/>
          <a:ext cx="1781175" cy="9525"/>
        </a:xfrm>
        <a:prstGeom prst="straightConnector1">
          <a:avLst/>
        </a:prstGeom>
        <a:ln w="2540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4</xdr:col>
      <xdr:colOff>33867</xdr:colOff>
      <xdr:row>36</xdr:row>
      <xdr:rowOff>93132</xdr:rowOff>
    </xdr:from>
    <xdr:to>
      <xdr:col>4</xdr:col>
      <xdr:colOff>3141133</xdr:colOff>
      <xdr:row>36</xdr:row>
      <xdr:rowOff>1493987</xdr:rowOff>
    </xdr:to>
    <xdr:pic>
      <xdr:nvPicPr>
        <xdr:cNvPr id="7" name="Afbeelding 6">
          <a:extLst>
            <a:ext uri="{FF2B5EF4-FFF2-40B4-BE49-F238E27FC236}">
              <a16:creationId xmlns:a16="http://schemas.microsoft.com/office/drawing/2014/main" id="{00000000-0008-0000-3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8534" y="14410265"/>
          <a:ext cx="3107266" cy="1400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xdr:colOff>
      <xdr:row>2</xdr:row>
      <xdr:rowOff>133350</xdr:rowOff>
    </xdr:from>
    <xdr:to>
      <xdr:col>4</xdr:col>
      <xdr:colOff>395791</xdr:colOff>
      <xdr:row>2</xdr:row>
      <xdr:rowOff>765526</xdr:rowOff>
    </xdr:to>
    <xdr:sp macro="" textlink="">
      <xdr:nvSpPr>
        <xdr:cNvPr id="8" name="AutoShape 48">
          <a:hlinkClick xmlns:r="http://schemas.openxmlformats.org/officeDocument/2006/relationships" r:id="rId4"/>
          <a:extLst>
            <a:ext uri="{FF2B5EF4-FFF2-40B4-BE49-F238E27FC236}">
              <a16:creationId xmlns:a16="http://schemas.microsoft.com/office/drawing/2014/main" id="{37138DB8-1137-4263-9522-2F43379006C0}"/>
            </a:ext>
          </a:extLst>
        </xdr:cNvPr>
        <xdr:cNvSpPr>
          <a:spLocks noChangeArrowheads="1"/>
        </xdr:cNvSpPr>
      </xdr:nvSpPr>
      <xdr:spPr bwMode="auto">
        <a:xfrm>
          <a:off x="476250" y="485775"/>
          <a:ext cx="1214941" cy="63217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beginblad</a:t>
          </a:r>
          <a:endParaRPr lang="nl-NL" sz="1400"/>
        </a:p>
      </xdr:txBody>
    </xdr:sp>
    <xdr:clientData/>
  </xdr:twoCellAnchor>
  <xdr:twoCellAnchor>
    <xdr:from>
      <xdr:col>4</xdr:col>
      <xdr:colOff>520700</xdr:colOff>
      <xdr:row>2</xdr:row>
      <xdr:rowOff>114300</xdr:rowOff>
    </xdr:from>
    <xdr:to>
      <xdr:col>4</xdr:col>
      <xdr:colOff>3695700</xdr:colOff>
      <xdr:row>2</xdr:row>
      <xdr:rowOff>1574800</xdr:rowOff>
    </xdr:to>
    <xdr:sp macro="" textlink="">
      <xdr:nvSpPr>
        <xdr:cNvPr id="9" name="Tekstvak 8">
          <a:extLst>
            <a:ext uri="{FF2B5EF4-FFF2-40B4-BE49-F238E27FC236}">
              <a16:creationId xmlns:a16="http://schemas.microsoft.com/office/drawing/2014/main" id="{5C113DF0-A145-4BB4-B00A-271C06F00590}"/>
            </a:ext>
          </a:extLst>
        </xdr:cNvPr>
        <xdr:cNvSpPr txBox="1"/>
      </xdr:nvSpPr>
      <xdr:spPr>
        <a:xfrm>
          <a:off x="1816100" y="466725"/>
          <a:ext cx="3175000" cy="14605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a:t>Het aanlegniveau dat de leerkracht aangeeft met een cijfer wordt 'vertaald' in een woord.</a:t>
          </a:r>
        </a:p>
        <a:p>
          <a:r>
            <a:rPr lang="nl-NL" sz="1400"/>
            <a:t>Dit woord (zwak - benedengemiddeld - gemiddeld - boven gemiddeld - goed)</a:t>
          </a:r>
        </a:p>
        <a:p>
          <a:r>
            <a:rPr lang="nl-NL" sz="1400" baseline="0"/>
            <a:t>koppelt aan het tapblad 'AANLEG'</a:t>
          </a:r>
        </a:p>
        <a:p>
          <a:endParaRPr lang="nl-NL" sz="1100" baseline="0"/>
        </a:p>
      </xdr:txBody>
    </xdr:sp>
    <xdr:clientData/>
  </xdr:twoCellAnchor>
  <xdr:twoCellAnchor>
    <xdr:from>
      <xdr:col>1</xdr:col>
      <xdr:colOff>165100</xdr:colOff>
      <xdr:row>2</xdr:row>
      <xdr:rowOff>908050</xdr:rowOff>
    </xdr:from>
    <xdr:to>
      <xdr:col>4</xdr:col>
      <xdr:colOff>383091</xdr:colOff>
      <xdr:row>2</xdr:row>
      <xdr:rowOff>1540226</xdr:rowOff>
    </xdr:to>
    <xdr:sp macro="" textlink="">
      <xdr:nvSpPr>
        <xdr:cNvPr id="10" name="AutoShape 48">
          <a:hlinkClick xmlns:r="http://schemas.openxmlformats.org/officeDocument/2006/relationships" r:id="rId5"/>
          <a:extLst>
            <a:ext uri="{FF2B5EF4-FFF2-40B4-BE49-F238E27FC236}">
              <a16:creationId xmlns:a16="http://schemas.microsoft.com/office/drawing/2014/main" id="{E24656B9-1962-4D41-8859-027A8E0214F6}"/>
            </a:ext>
          </a:extLst>
        </xdr:cNvPr>
        <xdr:cNvSpPr>
          <a:spLocks noChangeArrowheads="1"/>
        </xdr:cNvSpPr>
      </xdr:nvSpPr>
      <xdr:spPr bwMode="auto">
        <a:xfrm>
          <a:off x="488950" y="1260475"/>
          <a:ext cx="1189541" cy="632176"/>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naar tabblad</a:t>
          </a:r>
        </a:p>
        <a:p>
          <a:pPr algn="ctr" rtl="0">
            <a:defRPr sz="1000"/>
          </a:pPr>
          <a:r>
            <a:rPr lang="nl-NL" sz="1400" b="0" i="0" u="none" strike="noStrike" baseline="0">
              <a:solidFill>
                <a:srgbClr val="000000"/>
              </a:solidFill>
              <a:latin typeface="Arial"/>
              <a:cs typeface="Arial"/>
            </a:rPr>
            <a:t>AANLEG</a:t>
          </a:r>
          <a:endParaRPr lang="nl-NL" sz="1400"/>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7</xdr:col>
      <xdr:colOff>130175</xdr:colOff>
      <xdr:row>4</xdr:row>
      <xdr:rowOff>187325</xdr:rowOff>
    </xdr:from>
    <xdr:to>
      <xdr:col>8</xdr:col>
      <xdr:colOff>3473450</xdr:colOff>
      <xdr:row>4</xdr:row>
      <xdr:rowOff>2368550</xdr:rowOff>
    </xdr:to>
    <xdr:pic>
      <xdr:nvPicPr>
        <xdr:cNvPr id="2" name="Picture 1">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59550" y="1530350"/>
          <a:ext cx="3952875" cy="2181225"/>
        </a:xfrm>
        <a:prstGeom prst="rect">
          <a:avLst/>
        </a:prstGeom>
        <a:noFill/>
        <a:ln w="9525">
          <a:noFill/>
          <a:miter lim="800000"/>
          <a:headEnd/>
          <a:tailEnd/>
        </a:ln>
      </xdr:spPr>
    </xdr:pic>
    <xdr:clientData/>
  </xdr:twoCellAnchor>
  <xdr:twoCellAnchor editAs="oneCell">
    <xdr:from>
      <xdr:col>7</xdr:col>
      <xdr:colOff>371475</xdr:colOff>
      <xdr:row>19</xdr:row>
      <xdr:rowOff>76200</xdr:rowOff>
    </xdr:from>
    <xdr:to>
      <xdr:col>8</xdr:col>
      <xdr:colOff>3457575</xdr:colOff>
      <xdr:row>19</xdr:row>
      <xdr:rowOff>2362200</xdr:rowOff>
    </xdr:to>
    <xdr:pic>
      <xdr:nvPicPr>
        <xdr:cNvPr id="3" name="Picture 2">
          <a:extLst>
            <a:ext uri="{FF2B5EF4-FFF2-40B4-BE49-F238E27FC236}">
              <a16:creationId xmlns:a16="http://schemas.microsoft.com/office/drawing/2014/main" id="{00000000-0008-0000-34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800850" y="11020425"/>
          <a:ext cx="3695700" cy="2286000"/>
        </a:xfrm>
        <a:prstGeom prst="rect">
          <a:avLst/>
        </a:prstGeom>
        <a:noFill/>
        <a:ln w="9525">
          <a:noFill/>
          <a:miter lim="800000"/>
          <a:headEnd/>
          <a:tailEnd/>
        </a:ln>
      </xdr:spPr>
    </xdr:pic>
    <xdr:clientData/>
  </xdr:twoCellAnchor>
  <xdr:twoCellAnchor editAs="oneCell">
    <xdr:from>
      <xdr:col>1</xdr:col>
      <xdr:colOff>15876</xdr:colOff>
      <xdr:row>4</xdr:row>
      <xdr:rowOff>409575</xdr:rowOff>
    </xdr:from>
    <xdr:to>
      <xdr:col>3</xdr:col>
      <xdr:colOff>1</xdr:colOff>
      <xdr:row>4</xdr:row>
      <xdr:rowOff>1123950</xdr:rowOff>
    </xdr:to>
    <xdr:sp macro="" textlink="">
      <xdr:nvSpPr>
        <xdr:cNvPr id="5" name="AutoShape 39">
          <a:extLst>
            <a:ext uri="{FF2B5EF4-FFF2-40B4-BE49-F238E27FC236}">
              <a16:creationId xmlns:a16="http://schemas.microsoft.com/office/drawing/2014/main" id="{00000000-0008-0000-3400-000005000000}"/>
            </a:ext>
          </a:extLst>
        </xdr:cNvPr>
        <xdr:cNvSpPr>
          <a:spLocks noChangeArrowheads="1"/>
        </xdr:cNvSpPr>
      </xdr:nvSpPr>
      <xdr:spPr bwMode="auto">
        <a:xfrm>
          <a:off x="619126" y="1743075"/>
          <a:ext cx="3365500" cy="714375"/>
        </a:xfrm>
        <a:prstGeom prst="wedgeRectCallout">
          <a:avLst>
            <a:gd name="adj1" fmla="val 83437"/>
            <a:gd name="adj2" fmla="val -203333"/>
          </a:avLst>
        </a:prstGeom>
        <a:solidFill>
          <a:srgbClr val="FF8080"/>
        </a:solidFill>
        <a:ln w="9525" algn="ctr">
          <a:solidFill>
            <a:srgbClr val="000000"/>
          </a:solidFill>
          <a:miter lim="800000"/>
          <a:headEnd/>
          <a:tailEnd/>
        </a:ln>
        <a:effectLst/>
      </xdr:spPr>
      <xdr:txBody>
        <a:bodyPr vertOverflow="clip" wrap="square" lIns="27432" tIns="22860" rIns="0" bIns="0" anchor="ctr" upright="1"/>
        <a:lstStyle/>
        <a:p>
          <a:pPr algn="ctr" rtl="0">
            <a:defRPr sz="1000"/>
          </a:pPr>
          <a:r>
            <a:rPr lang="nl-NL" sz="1600" b="0" i="0" u="none" strike="noStrike" baseline="0">
              <a:solidFill>
                <a:srgbClr val="000000"/>
              </a:solidFill>
              <a:latin typeface="Verdana"/>
              <a:ea typeface="Verdana"/>
              <a:cs typeface="Verdana"/>
            </a:rPr>
            <a:t>Toets leerlingnummer in </a:t>
          </a:r>
        </a:p>
        <a:p>
          <a:pPr algn="ctr" rtl="0">
            <a:defRPr sz="1000"/>
          </a:pPr>
          <a:r>
            <a:rPr lang="nl-NL" sz="1600" b="0" i="0" u="none" strike="noStrike" baseline="0">
              <a:solidFill>
                <a:srgbClr val="000000"/>
              </a:solidFill>
              <a:latin typeface="Verdana"/>
              <a:ea typeface="Verdana"/>
              <a:cs typeface="Verdana"/>
            </a:rPr>
            <a:t>Druk daarna op Enter</a:t>
          </a:r>
        </a:p>
      </xdr:txBody>
    </xdr:sp>
    <xdr:clientData fPrintsWithSheet="0"/>
  </xdr:twoCellAnchor>
  <xdr:twoCellAnchor>
    <xdr:from>
      <xdr:col>1</xdr:col>
      <xdr:colOff>0</xdr:colOff>
      <xdr:row>2</xdr:row>
      <xdr:rowOff>0</xdr:rowOff>
    </xdr:from>
    <xdr:to>
      <xdr:col>2</xdr:col>
      <xdr:colOff>1428750</xdr:colOff>
      <xdr:row>4</xdr:row>
      <xdr:rowOff>127000</xdr:rowOff>
    </xdr:to>
    <xdr:sp macro="" textlink="">
      <xdr:nvSpPr>
        <xdr:cNvPr id="7" name="AutoShape 48">
          <a:hlinkClick xmlns:r="http://schemas.openxmlformats.org/officeDocument/2006/relationships" r:id="rId3"/>
          <a:extLst>
            <a:ext uri="{FF2B5EF4-FFF2-40B4-BE49-F238E27FC236}">
              <a16:creationId xmlns:a16="http://schemas.microsoft.com/office/drawing/2014/main" id="{00000000-0008-0000-3400-000007000000}"/>
            </a:ext>
          </a:extLst>
        </xdr:cNvPr>
        <xdr:cNvSpPr>
          <a:spLocks noChangeArrowheads="1"/>
        </xdr:cNvSpPr>
      </xdr:nvSpPr>
      <xdr:spPr bwMode="auto">
        <a:xfrm>
          <a:off x="603250" y="317500"/>
          <a:ext cx="2032000" cy="114300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2800" b="0" i="0" u="none" strike="noStrike" baseline="0">
              <a:solidFill>
                <a:srgbClr val="000000"/>
              </a:solidFill>
              <a:latin typeface="Arial"/>
              <a:cs typeface="Arial"/>
            </a:rPr>
            <a:t>beginblad</a:t>
          </a:r>
          <a:endParaRPr lang="nl-NL" sz="2800"/>
        </a:p>
      </xdr:txBody>
    </xdr:sp>
    <xdr:clientData/>
  </xdr:twoCellAnchor>
  <xdr:twoCellAnchor editAs="oneCell">
    <xdr:from>
      <xdr:col>5</xdr:col>
      <xdr:colOff>558799</xdr:colOff>
      <xdr:row>31</xdr:row>
      <xdr:rowOff>101600</xdr:rowOff>
    </xdr:from>
    <xdr:to>
      <xdr:col>8</xdr:col>
      <xdr:colOff>3742664</xdr:colOff>
      <xdr:row>31</xdr:row>
      <xdr:rowOff>2413000</xdr:rowOff>
    </xdr:to>
    <xdr:pic>
      <xdr:nvPicPr>
        <xdr:cNvPr id="9" name="Afbeelding 8">
          <a:extLst>
            <a:ext uri="{FF2B5EF4-FFF2-40B4-BE49-F238E27FC236}">
              <a16:creationId xmlns:a16="http://schemas.microsoft.com/office/drawing/2014/main" id="{00000000-0008-0000-34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7899" y="19227800"/>
          <a:ext cx="5126965" cy="231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6</xdr:col>
      <xdr:colOff>0</xdr:colOff>
      <xdr:row>4</xdr:row>
      <xdr:rowOff>179295</xdr:rowOff>
    </xdr:from>
    <xdr:to>
      <xdr:col>8</xdr:col>
      <xdr:colOff>257735</xdr:colOff>
      <xdr:row>6</xdr:row>
      <xdr:rowOff>231402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3500-000002000000}"/>
            </a:ext>
          </a:extLst>
        </xdr:cNvPr>
        <xdr:cNvSpPr>
          <a:spLocks noChangeArrowheads="1"/>
        </xdr:cNvSpPr>
      </xdr:nvSpPr>
      <xdr:spPr bwMode="auto">
        <a:xfrm>
          <a:off x="7105650" y="931770"/>
          <a:ext cx="905435" cy="52835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6</xdr:col>
      <xdr:colOff>0</xdr:colOff>
      <xdr:row>2</xdr:row>
      <xdr:rowOff>0</xdr:rowOff>
    </xdr:from>
    <xdr:to>
      <xdr:col>8</xdr:col>
      <xdr:colOff>257735</xdr:colOff>
      <xdr:row>4</xdr:row>
      <xdr:rowOff>96931</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3500-000003000000}"/>
            </a:ext>
          </a:extLst>
        </xdr:cNvPr>
        <xdr:cNvSpPr>
          <a:spLocks noChangeArrowheads="1"/>
        </xdr:cNvSpPr>
      </xdr:nvSpPr>
      <xdr:spPr bwMode="auto">
        <a:xfrm>
          <a:off x="7105650" y="323850"/>
          <a:ext cx="905435" cy="52555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4</xdr:row>
      <xdr:rowOff>19050</xdr:rowOff>
    </xdr:from>
    <xdr:to>
      <xdr:col>14</xdr:col>
      <xdr:colOff>314325</xdr:colOff>
      <xdr:row>38</xdr:row>
      <xdr:rowOff>85725</xdr:rowOff>
    </xdr:to>
    <xdr:pic>
      <xdr:nvPicPr>
        <xdr:cNvPr id="9" name="Afbeelding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0"/>
          <a:ext cx="868680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9525</xdr:colOff>
      <xdr:row>0</xdr:row>
      <xdr:rowOff>114300</xdr:rowOff>
    </xdr:from>
    <xdr:to>
      <xdr:col>18</xdr:col>
      <xdr:colOff>533400</xdr:colOff>
      <xdr:row>6</xdr:row>
      <xdr:rowOff>28575</xdr:rowOff>
    </xdr:to>
    <xdr:sp macro="" textlink="">
      <xdr:nvSpPr>
        <xdr:cNvPr id="4" name="Toelichting met afgeronde rechthoek 3">
          <a:extLst>
            <a:ext uri="{FF2B5EF4-FFF2-40B4-BE49-F238E27FC236}">
              <a16:creationId xmlns:a16="http://schemas.microsoft.com/office/drawing/2014/main" id="{00000000-0008-0000-0500-000004000000}"/>
            </a:ext>
          </a:extLst>
        </xdr:cNvPr>
        <xdr:cNvSpPr/>
      </xdr:nvSpPr>
      <xdr:spPr bwMode="auto">
        <a:xfrm>
          <a:off x="9153525" y="114300"/>
          <a:ext cx="2352675" cy="981075"/>
        </a:xfrm>
        <a:prstGeom prst="wedgeRoundRectCallout">
          <a:avLst>
            <a:gd name="adj1" fmla="val -100185"/>
            <a:gd name="adj2" fmla="val 73592"/>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t>OPO =</a:t>
          </a:r>
          <a:r>
            <a:rPr lang="nl-NL" sz="1100" baseline="0"/>
            <a:t> Opbrenstgericht Passend Onderwijs</a:t>
          </a:r>
          <a:endParaRPr lang="nl-NL" sz="1100"/>
        </a:p>
        <a:p>
          <a:pPr algn="l"/>
          <a:r>
            <a:rPr lang="nl-NL" sz="1100"/>
            <a:t>In beeld worden gebracht de laatste drie scores van de middenmoot</a:t>
          </a:r>
        </a:p>
        <a:p>
          <a:pPr algn="l"/>
          <a:r>
            <a:rPr lang="nl-NL" sz="1100"/>
            <a:t>(zie</a:t>
          </a:r>
          <a:r>
            <a:rPr lang="nl-NL" sz="1100" baseline="0"/>
            <a:t> www.masterclassopo.nl)</a:t>
          </a:r>
          <a:endParaRPr lang="nl-NL" sz="1100"/>
        </a:p>
      </xdr:txBody>
    </xdr:sp>
    <xdr:clientData/>
  </xdr:twoCellAnchor>
  <xdr:twoCellAnchor>
    <xdr:from>
      <xdr:col>15</xdr:col>
      <xdr:colOff>9525</xdr:colOff>
      <xdr:row>31</xdr:row>
      <xdr:rowOff>123826</xdr:rowOff>
    </xdr:from>
    <xdr:to>
      <xdr:col>18</xdr:col>
      <xdr:colOff>533400</xdr:colOff>
      <xdr:row>37</xdr:row>
      <xdr:rowOff>28576</xdr:rowOff>
    </xdr:to>
    <xdr:sp macro="" textlink="">
      <xdr:nvSpPr>
        <xdr:cNvPr id="5" name="Toelichting met afgeronde rechthoek 4">
          <a:extLst>
            <a:ext uri="{FF2B5EF4-FFF2-40B4-BE49-F238E27FC236}">
              <a16:creationId xmlns:a16="http://schemas.microsoft.com/office/drawing/2014/main" id="{00000000-0008-0000-0500-000005000000}"/>
            </a:ext>
          </a:extLst>
        </xdr:cNvPr>
        <xdr:cNvSpPr/>
      </xdr:nvSpPr>
      <xdr:spPr bwMode="auto">
        <a:xfrm>
          <a:off x="9153525" y="5238751"/>
          <a:ext cx="2352675" cy="876300"/>
        </a:xfrm>
        <a:prstGeom prst="wedgeRoundRectCallout">
          <a:avLst>
            <a:gd name="adj1" fmla="val -228930"/>
            <a:gd name="adj2" fmla="val 11095"/>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rgbClr val="0000FF"/>
              </a:solidFill>
            </a:rPr>
            <a:t>Een</a:t>
          </a:r>
          <a:r>
            <a:rPr lang="nl-NL" sz="1100" baseline="0">
              <a:solidFill>
                <a:srgbClr val="0000FF"/>
              </a:solidFill>
            </a:rPr>
            <a:t> blauwe ster: de score is minimaal 0,5 NW </a:t>
          </a:r>
          <a:r>
            <a:rPr lang="nl-NL" sz="1100" u="sng" baseline="0">
              <a:solidFill>
                <a:srgbClr val="0000FF"/>
              </a:solidFill>
            </a:rPr>
            <a:t>hoger </a:t>
          </a:r>
          <a:r>
            <a:rPr lang="nl-NL" sz="1100" baseline="0">
              <a:solidFill>
                <a:srgbClr val="0000FF"/>
              </a:solidFill>
            </a:rPr>
            <a:t>dan de vorige score.</a:t>
          </a:r>
        </a:p>
        <a:p>
          <a:pPr algn="l"/>
          <a:r>
            <a:rPr lang="nl-NL" sz="1100">
              <a:solidFill>
                <a:srgbClr val="FF0000"/>
              </a:solidFill>
            </a:rPr>
            <a:t>Een rood uitroepteken: de score is 0,5</a:t>
          </a:r>
          <a:r>
            <a:rPr lang="nl-NL" sz="1100" baseline="0">
              <a:solidFill>
                <a:srgbClr val="FF0000"/>
              </a:solidFill>
            </a:rPr>
            <a:t> NW of meer </a:t>
          </a:r>
          <a:r>
            <a:rPr lang="nl-NL" sz="1100" u="sng" baseline="0">
              <a:solidFill>
                <a:srgbClr val="FF0000"/>
              </a:solidFill>
            </a:rPr>
            <a:t>lager</a:t>
          </a:r>
          <a:r>
            <a:rPr lang="nl-NL" sz="1100" baseline="0">
              <a:solidFill>
                <a:srgbClr val="FF0000"/>
              </a:solidFill>
            </a:rPr>
            <a:t> dan de vorige score.</a:t>
          </a:r>
          <a:endParaRPr lang="nl-NL" sz="1100">
            <a:solidFill>
              <a:srgbClr val="FF0000"/>
            </a:solidFill>
          </a:endParaRPr>
        </a:p>
      </xdr:txBody>
    </xdr:sp>
    <xdr:clientData/>
  </xdr:twoCellAnchor>
  <xdr:twoCellAnchor>
    <xdr:from>
      <xdr:col>15</xdr:col>
      <xdr:colOff>19050</xdr:colOff>
      <xdr:row>19</xdr:row>
      <xdr:rowOff>1</xdr:rowOff>
    </xdr:from>
    <xdr:to>
      <xdr:col>18</xdr:col>
      <xdr:colOff>542925</xdr:colOff>
      <xdr:row>31</xdr:row>
      <xdr:rowOff>9525</xdr:rowOff>
    </xdr:to>
    <xdr:sp macro="" textlink="">
      <xdr:nvSpPr>
        <xdr:cNvPr id="6" name="Toelichting met afgeronde rechthoek 5">
          <a:extLst>
            <a:ext uri="{FF2B5EF4-FFF2-40B4-BE49-F238E27FC236}">
              <a16:creationId xmlns:a16="http://schemas.microsoft.com/office/drawing/2014/main" id="{00000000-0008-0000-0500-000006000000}"/>
            </a:ext>
          </a:extLst>
        </xdr:cNvPr>
        <xdr:cNvSpPr/>
      </xdr:nvSpPr>
      <xdr:spPr bwMode="auto">
        <a:xfrm>
          <a:off x="9163050" y="3171826"/>
          <a:ext cx="2352675" cy="1952624"/>
        </a:xfrm>
        <a:prstGeom prst="wedgeRoundRectCallout">
          <a:avLst>
            <a:gd name="adj1" fmla="val -167392"/>
            <a:gd name="adj2" fmla="val 69457"/>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op </a:t>
          </a:r>
          <a:r>
            <a:rPr lang="nl-NL" sz="1100">
              <a:solidFill>
                <a:schemeClr val="tx1"/>
              </a:solidFill>
            </a:rPr>
            <a:t>de lichtgele</a:t>
          </a:r>
          <a:r>
            <a:rPr lang="nl-NL" sz="1100" baseline="0">
              <a:solidFill>
                <a:schemeClr val="tx1"/>
              </a:solidFill>
            </a:rPr>
            <a:t> vakken:</a:t>
          </a:r>
        </a:p>
        <a:p>
          <a:pPr algn="l"/>
          <a:r>
            <a:rPr lang="nl-NL" sz="1100" baseline="0">
              <a:solidFill>
                <a:schemeClr val="tx1"/>
              </a:solidFill>
            </a:rPr>
            <a:t>Je komt vanzelf op het tabblad</a:t>
          </a:r>
        </a:p>
        <a:p>
          <a:pPr algn="l"/>
          <a:r>
            <a:rPr lang="nl-NL" sz="1100" baseline="0">
              <a:solidFill>
                <a:schemeClr val="tx1"/>
              </a:solidFill>
            </a:rPr>
            <a:t> - de basisaanpak (= de aanpak voor  </a:t>
          </a:r>
        </a:p>
        <a:p>
          <a:pPr algn="l"/>
          <a:r>
            <a:rPr lang="nl-NL" sz="1100" baseline="0">
              <a:solidFill>
                <a:schemeClr val="tx1"/>
              </a:solidFill>
            </a:rPr>
            <a:t>   de middenmoot)</a:t>
          </a:r>
        </a:p>
        <a:p>
          <a:pPr algn="l"/>
          <a:r>
            <a:rPr lang="nl-NL" sz="1100" baseline="0">
              <a:solidFill>
                <a:schemeClr val="tx1"/>
              </a:solidFill>
            </a:rPr>
            <a:t> - de intensieve aanpak</a:t>
          </a:r>
        </a:p>
        <a:p>
          <a:pPr algn="l"/>
          <a:r>
            <a:rPr lang="nl-NL" sz="1100" baseline="0">
              <a:solidFill>
                <a:schemeClr val="tx1"/>
              </a:solidFill>
            </a:rPr>
            <a:t> - de aanpak voor de kinderen die </a:t>
          </a:r>
        </a:p>
        <a:p>
          <a:pPr algn="l"/>
          <a:r>
            <a:rPr lang="nl-NL" sz="1100" baseline="0">
              <a:solidFill>
                <a:schemeClr val="tx1"/>
              </a:solidFill>
            </a:rPr>
            <a:t>    voor verrijking in aanmerking </a:t>
          </a:r>
        </a:p>
        <a:p>
          <a:pPr algn="l"/>
          <a:r>
            <a:rPr lang="nl-NL" sz="1100" baseline="0">
              <a:solidFill>
                <a:schemeClr val="tx1"/>
              </a:solidFill>
            </a:rPr>
            <a:t>    komen.</a:t>
          </a:r>
        </a:p>
        <a:p>
          <a:pPr algn="l"/>
          <a:r>
            <a:rPr lang="nl-NL" sz="1100" baseline="0">
              <a:solidFill>
                <a:schemeClr val="tx1"/>
              </a:solidFill>
            </a:rPr>
            <a:t>Vergeet niet de dagen en tijden te noteren (onderaan het blad)</a:t>
          </a:r>
          <a:endParaRPr lang="nl-NL" sz="1100">
            <a:solidFill>
              <a:schemeClr val="tx1"/>
            </a:solidFill>
          </a:endParaRPr>
        </a:p>
      </xdr:txBody>
    </xdr:sp>
    <xdr:clientData/>
  </xdr:twoCellAnchor>
  <xdr:twoCellAnchor>
    <xdr:from>
      <xdr:col>15</xdr:col>
      <xdr:colOff>19050</xdr:colOff>
      <xdr:row>7</xdr:row>
      <xdr:rowOff>9526</xdr:rowOff>
    </xdr:from>
    <xdr:to>
      <xdr:col>18</xdr:col>
      <xdr:colOff>542925</xdr:colOff>
      <xdr:row>14</xdr:row>
      <xdr:rowOff>38100</xdr:rowOff>
    </xdr:to>
    <xdr:sp macro="" textlink="">
      <xdr:nvSpPr>
        <xdr:cNvPr id="7" name="Toelichting met afgeronde rechthoek 6">
          <a:extLst>
            <a:ext uri="{FF2B5EF4-FFF2-40B4-BE49-F238E27FC236}">
              <a16:creationId xmlns:a16="http://schemas.microsoft.com/office/drawing/2014/main" id="{00000000-0008-0000-0500-000007000000}"/>
            </a:ext>
          </a:extLst>
        </xdr:cNvPr>
        <xdr:cNvSpPr/>
      </xdr:nvSpPr>
      <xdr:spPr bwMode="auto">
        <a:xfrm>
          <a:off x="9163050" y="1238251"/>
          <a:ext cx="2352675" cy="1162049"/>
        </a:xfrm>
        <a:prstGeom prst="wedgeRoundRectCallout">
          <a:avLst>
            <a:gd name="adj1" fmla="val -403018"/>
            <a:gd name="adj2" fmla="val 96037"/>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Hier komen de namen van de kinderen</a:t>
          </a:r>
          <a:r>
            <a:rPr lang="nl-NL" sz="1100" baseline="0">
              <a:solidFill>
                <a:schemeClr val="tx1"/>
              </a:solidFill>
            </a:rPr>
            <a:t> die voor een intensieve aanpak in aanmerking komen.</a:t>
          </a:r>
        </a:p>
        <a:p>
          <a:pPr algn="l"/>
          <a:endParaRPr lang="nl-NL" sz="1100" baseline="0">
            <a:solidFill>
              <a:schemeClr val="tx1"/>
            </a:solidFill>
          </a:endParaRPr>
        </a:p>
        <a:p>
          <a:pPr algn="l"/>
          <a:r>
            <a:rPr lang="nl-NL" sz="1100" baseline="0">
              <a:solidFill>
                <a:schemeClr val="tx1"/>
              </a:solidFill>
            </a:rPr>
            <a:t>Noteer ook het groepsnummer (3-8)</a:t>
          </a:r>
          <a:endParaRPr lang="nl-NL" sz="1100">
            <a:solidFill>
              <a:schemeClr val="tx1"/>
            </a:solidFill>
          </a:endParaRPr>
        </a:p>
      </xdr:txBody>
    </xdr:sp>
    <xdr:clientData/>
  </xdr:twoCellAnchor>
  <xdr:twoCellAnchor>
    <xdr:from>
      <xdr:col>15</xdr:col>
      <xdr:colOff>0</xdr:colOff>
      <xdr:row>15</xdr:row>
      <xdr:rowOff>28575</xdr:rowOff>
    </xdr:from>
    <xdr:to>
      <xdr:col>18</xdr:col>
      <xdr:colOff>523875</xdr:colOff>
      <xdr:row>18</xdr:row>
      <xdr:rowOff>47625</xdr:rowOff>
    </xdr:to>
    <xdr:sp macro="" textlink="">
      <xdr:nvSpPr>
        <xdr:cNvPr id="10" name="Toelichting met afgeronde rechthoek 9">
          <a:extLst>
            <a:ext uri="{FF2B5EF4-FFF2-40B4-BE49-F238E27FC236}">
              <a16:creationId xmlns:a16="http://schemas.microsoft.com/office/drawing/2014/main" id="{00000000-0008-0000-0500-00000A000000}"/>
            </a:ext>
          </a:extLst>
        </xdr:cNvPr>
        <xdr:cNvSpPr/>
      </xdr:nvSpPr>
      <xdr:spPr bwMode="auto">
        <a:xfrm>
          <a:off x="9144000" y="2552700"/>
          <a:ext cx="2352675" cy="504825"/>
        </a:xfrm>
        <a:prstGeom prst="wedgeRoundRectCallout">
          <a:avLst>
            <a:gd name="adj1" fmla="val -138241"/>
            <a:gd name="adj2" fmla="val 131762"/>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Met een score van &gt;60% (I-II-III)</a:t>
          </a:r>
          <a:r>
            <a:rPr lang="nl-NL" sz="1100" baseline="0">
              <a:solidFill>
                <a:schemeClr val="tx1"/>
              </a:solidFill>
            </a:rPr>
            <a:t> zit je in de veilige marge.</a:t>
          </a:r>
          <a:endParaRPr lang="nl-NL" sz="1100">
            <a:solidFill>
              <a:schemeClr val="tx1"/>
            </a:solidFill>
          </a:endParaRPr>
        </a:p>
      </xdr:txBody>
    </xdr:sp>
    <xdr:clientData/>
  </xdr:twoCellAnchor>
  <xdr:twoCellAnchor>
    <xdr:from>
      <xdr:col>19</xdr:col>
      <xdr:colOff>180975</xdr:colOff>
      <xdr:row>1</xdr:row>
      <xdr:rowOff>133350</xdr:rowOff>
    </xdr:from>
    <xdr:to>
      <xdr:col>22</xdr:col>
      <xdr:colOff>28575</xdr:colOff>
      <xdr:row>8</xdr:row>
      <xdr:rowOff>123825</xdr:rowOff>
    </xdr:to>
    <xdr:sp macro="" textlink="">
      <xdr:nvSpPr>
        <xdr:cNvPr id="11" name="Pijl: links 7">
          <a:hlinkClick xmlns:r="http://schemas.openxmlformats.org/officeDocument/2006/relationships" r:id="rId2"/>
          <a:extLst>
            <a:ext uri="{FF2B5EF4-FFF2-40B4-BE49-F238E27FC236}">
              <a16:creationId xmlns:a16="http://schemas.microsoft.com/office/drawing/2014/main" id="{00000000-0008-0000-0500-00000B000000}"/>
            </a:ext>
          </a:extLst>
        </xdr:cNvPr>
        <xdr:cNvSpPr/>
      </xdr:nvSpPr>
      <xdr:spPr bwMode="auto">
        <a:xfrm flipH="1">
          <a:off x="11763375" y="2952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16</xdr:col>
      <xdr:colOff>381000</xdr:colOff>
      <xdr:row>15</xdr:row>
      <xdr:rowOff>66676</xdr:rowOff>
    </xdr:from>
    <xdr:to>
      <xdr:col>20</xdr:col>
      <xdr:colOff>38100</xdr:colOff>
      <xdr:row>36</xdr:row>
      <xdr:rowOff>28575</xdr:rowOff>
    </xdr:to>
    <xdr:sp macro="" textlink="">
      <xdr:nvSpPr>
        <xdr:cNvPr id="4" name="Afgeronde rechthoek 3">
          <a:extLst>
            <a:ext uri="{FF2B5EF4-FFF2-40B4-BE49-F238E27FC236}">
              <a16:creationId xmlns:a16="http://schemas.microsoft.com/office/drawing/2014/main" id="{00000000-0008-0000-0600-000004000000}"/>
            </a:ext>
          </a:extLst>
        </xdr:cNvPr>
        <xdr:cNvSpPr/>
      </xdr:nvSpPr>
      <xdr:spPr bwMode="auto">
        <a:xfrm>
          <a:off x="10134600" y="2590801"/>
          <a:ext cx="2095500" cy="3362324"/>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De gegevens worden automatisch verzameld.</a:t>
          </a:r>
        </a:p>
        <a:p>
          <a:pPr algn="l"/>
          <a:endParaRPr lang="nl-NL" sz="1100" baseline="0"/>
        </a:p>
        <a:p>
          <a:pPr algn="l"/>
          <a:r>
            <a:rPr lang="nl-NL" sz="1100" baseline="0"/>
            <a:t>Dit formulier kun je uitstekend gebruiken wanneer je een OPP beschrijft voor een leerling.</a:t>
          </a:r>
        </a:p>
        <a:p>
          <a:pPr algn="l"/>
          <a:endParaRPr lang="nl-NL" sz="1100" baseline="0"/>
        </a:p>
        <a:p>
          <a:pPr algn="l"/>
          <a:r>
            <a:rPr lang="nl-NL" sz="1100" baseline="0"/>
            <a:t>Ook kun je in één oogopslag zien of eruit komt wat erin zit en of er wellicht sprake is van dyslexie of dyscalculie.</a:t>
          </a:r>
        </a:p>
        <a:p>
          <a:pPr algn="l"/>
          <a:endParaRPr lang="nl-NL" sz="1100" baseline="0"/>
        </a:p>
        <a:p>
          <a:pPr algn="l"/>
          <a:r>
            <a:rPr lang="nl-NL" sz="1100" baseline="0"/>
            <a:t>Daarnaast zijn de grafieken goed in te zetten bij bespreking met de ouders over het VO schooladvies.</a:t>
          </a:r>
        </a:p>
        <a:p>
          <a:pPr algn="l"/>
          <a:endParaRPr lang="nl-NL" sz="1100" baseline="0"/>
        </a:p>
        <a:p>
          <a:pPr algn="l"/>
          <a:endParaRPr lang="nl-NL" sz="1100"/>
        </a:p>
      </xdr:txBody>
    </xdr:sp>
    <xdr:clientData/>
  </xdr:twoCellAnchor>
  <xdr:twoCellAnchor editAs="oneCell">
    <xdr:from>
      <xdr:col>1</xdr:col>
      <xdr:colOff>57151</xdr:colOff>
      <xdr:row>4</xdr:row>
      <xdr:rowOff>66675</xdr:rowOff>
    </xdr:from>
    <xdr:to>
      <xdr:col>16</xdr:col>
      <xdr:colOff>57151</xdr:colOff>
      <xdr:row>37</xdr:row>
      <xdr:rowOff>103946</xdr:rowOff>
    </xdr:to>
    <xdr:pic>
      <xdr:nvPicPr>
        <xdr:cNvPr id="5" name="Afbeelding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1" y="809625"/>
          <a:ext cx="9144000" cy="5380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542925</xdr:colOff>
      <xdr:row>6</xdr:row>
      <xdr:rowOff>85725</xdr:rowOff>
    </xdr:from>
    <xdr:to>
      <xdr:col>19</xdr:col>
      <xdr:colOff>390525</xdr:colOff>
      <xdr:row>14</xdr:row>
      <xdr:rowOff>9525</xdr:rowOff>
    </xdr:to>
    <xdr:sp macro="" textlink="">
      <xdr:nvSpPr>
        <xdr:cNvPr id="6" name="Pijl: links 7">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bwMode="auto">
        <a:xfrm flipH="1">
          <a:off x="10296525" y="11525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16</xdr:col>
      <xdr:colOff>381000</xdr:colOff>
      <xdr:row>15</xdr:row>
      <xdr:rowOff>66676</xdr:rowOff>
    </xdr:from>
    <xdr:to>
      <xdr:col>20</xdr:col>
      <xdr:colOff>38100</xdr:colOff>
      <xdr:row>40</xdr:row>
      <xdr:rowOff>66675</xdr:rowOff>
    </xdr:to>
    <xdr:sp macro="" textlink="">
      <xdr:nvSpPr>
        <xdr:cNvPr id="2" name="Afgeronde rechthoek 1">
          <a:extLst>
            <a:ext uri="{FF2B5EF4-FFF2-40B4-BE49-F238E27FC236}">
              <a16:creationId xmlns:a16="http://schemas.microsoft.com/office/drawing/2014/main" id="{00000000-0008-0000-0700-000002000000}"/>
            </a:ext>
          </a:extLst>
        </xdr:cNvPr>
        <xdr:cNvSpPr/>
      </xdr:nvSpPr>
      <xdr:spPr bwMode="auto">
        <a:xfrm>
          <a:off x="10134600" y="2590801"/>
          <a:ext cx="2095500" cy="4048124"/>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De gegevens worden automatisch verzameld.</a:t>
          </a:r>
        </a:p>
        <a:p>
          <a:pPr algn="l"/>
          <a:endParaRPr lang="nl-NL" sz="1100"/>
        </a:p>
        <a:p>
          <a:pPr algn="l"/>
          <a:r>
            <a:rPr lang="nl-NL" sz="1100"/>
            <a:t>Wanneer</a:t>
          </a:r>
          <a:r>
            <a:rPr lang="nl-NL" sz="1100" baseline="0"/>
            <a:t> DLE's ingevuld worden naast de gegevens van de niveauwaarden, verschijnt deze grafiek.</a:t>
          </a:r>
          <a:endParaRPr lang="nl-NL" sz="1100"/>
        </a:p>
        <a:p>
          <a:pPr algn="l"/>
          <a:endParaRPr lang="nl-NL" sz="1100" baseline="0"/>
        </a:p>
        <a:p>
          <a:pPr algn="l"/>
          <a:r>
            <a:rPr lang="nl-NL" sz="1100" baseline="0"/>
            <a:t>Dit formulier kun je uitstekend gebruiken wanneer je een OPP beschrijft voor een leerling.</a:t>
          </a:r>
        </a:p>
        <a:p>
          <a:pPr algn="l"/>
          <a:endParaRPr lang="nl-NL" sz="1100" baseline="0"/>
        </a:p>
        <a:p>
          <a:pPr algn="l"/>
          <a:r>
            <a:rPr lang="nl-NL" sz="1100" baseline="0"/>
            <a:t>Ook kun je in één oogopslag zien of eruit komt wat erin zit en of er wellicht sprake is van dyslexie of dyscalculie.</a:t>
          </a:r>
        </a:p>
        <a:p>
          <a:pPr algn="l"/>
          <a:endParaRPr lang="nl-NL" sz="1100" baseline="0"/>
        </a:p>
        <a:p>
          <a:pPr algn="l"/>
          <a:r>
            <a:rPr lang="nl-NL" sz="1100" baseline="0"/>
            <a:t>Daarnaast zijn de grafieken goed in te zetten bij bespreking met de ouders over het VO schooladvies.</a:t>
          </a:r>
        </a:p>
        <a:p>
          <a:pPr algn="l"/>
          <a:endParaRPr lang="nl-NL" sz="1100" baseline="0"/>
        </a:p>
        <a:p>
          <a:pPr algn="l"/>
          <a:endParaRPr lang="nl-NL" sz="1100"/>
        </a:p>
      </xdr:txBody>
    </xdr:sp>
    <xdr:clientData/>
  </xdr:twoCellAnchor>
  <xdr:twoCellAnchor>
    <xdr:from>
      <xdr:col>16</xdr:col>
      <xdr:colOff>542925</xdr:colOff>
      <xdr:row>6</xdr:row>
      <xdr:rowOff>85725</xdr:rowOff>
    </xdr:from>
    <xdr:to>
      <xdr:col>19</xdr:col>
      <xdr:colOff>390525</xdr:colOff>
      <xdr:row>14</xdr:row>
      <xdr:rowOff>9525</xdr:rowOff>
    </xdr:to>
    <xdr:sp macro="" textlink="">
      <xdr:nvSpPr>
        <xdr:cNvPr id="4" name="Pijl: links 7">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bwMode="auto">
        <a:xfrm flipH="1">
          <a:off x="10296525" y="11525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590551</xdr:colOff>
      <xdr:row>4</xdr:row>
      <xdr:rowOff>108343</xdr:rowOff>
    </xdr:from>
    <xdr:to>
      <xdr:col>16</xdr:col>
      <xdr:colOff>38101</xdr:colOff>
      <xdr:row>39</xdr:row>
      <xdr:rowOff>57149</xdr:rowOff>
    </xdr:to>
    <xdr:pic>
      <xdr:nvPicPr>
        <xdr:cNvPr id="5" name="Afbeelding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1" y="851293"/>
          <a:ext cx="9201150" cy="5616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304800</xdr:colOff>
      <xdr:row>3</xdr:row>
      <xdr:rowOff>38100</xdr:rowOff>
    </xdr:from>
    <xdr:to>
      <xdr:col>23</xdr:col>
      <xdr:colOff>590550</xdr:colOff>
      <xdr:row>33</xdr:row>
      <xdr:rowOff>66675</xdr:rowOff>
    </xdr:to>
    <xdr:pic>
      <xdr:nvPicPr>
        <xdr:cNvPr id="2" name="Afbeelding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19125"/>
          <a:ext cx="14306550"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276225</xdr:colOff>
      <xdr:row>2</xdr:row>
      <xdr:rowOff>85724</xdr:rowOff>
    </xdr:from>
    <xdr:to>
      <xdr:col>23</xdr:col>
      <xdr:colOff>542925</xdr:colOff>
      <xdr:row>26</xdr:row>
      <xdr:rowOff>133349</xdr:rowOff>
    </xdr:to>
    <xdr:sp macro="" textlink="">
      <xdr:nvSpPr>
        <xdr:cNvPr id="4" name="Afgeronde rechthoek 3">
          <a:extLst>
            <a:ext uri="{FF2B5EF4-FFF2-40B4-BE49-F238E27FC236}">
              <a16:creationId xmlns:a16="http://schemas.microsoft.com/office/drawing/2014/main" id="{00000000-0008-0000-0800-000004000000}"/>
            </a:ext>
          </a:extLst>
        </xdr:cNvPr>
        <xdr:cNvSpPr/>
      </xdr:nvSpPr>
      <xdr:spPr bwMode="auto">
        <a:xfrm>
          <a:off x="12468225" y="504824"/>
          <a:ext cx="2095500" cy="393382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Per</a:t>
          </a:r>
          <a:r>
            <a:rPr lang="nl-NL" sz="1100" baseline="0"/>
            <a:t> vak noteer je de BASISAANPAK in de gegeven vakken. </a:t>
          </a:r>
        </a:p>
        <a:p>
          <a:pPr algn="l"/>
          <a:endParaRPr lang="nl-NL" sz="1100" baseline="0"/>
        </a:p>
        <a:p>
          <a:pPr algn="l"/>
          <a:r>
            <a:rPr lang="nl-NL" sz="1100" baseline="0"/>
            <a:t>De Basisaanpak is bedoeld voor de MIDDENMOOT. </a:t>
          </a:r>
        </a:p>
        <a:p>
          <a:pPr algn="l"/>
          <a:r>
            <a:rPr lang="nl-NL" sz="1100" baseline="0"/>
            <a:t>Hiertoe behoort het grootste gedeelte van de groep (sowieso 50% van de groep).</a:t>
          </a:r>
        </a:p>
        <a:p>
          <a:pPr algn="l"/>
          <a:endParaRPr lang="nl-NL" sz="1100" baseline="0"/>
        </a:p>
        <a:p>
          <a:pPr algn="l"/>
          <a:r>
            <a:rPr lang="nl-NL" sz="1100" baseline="0"/>
            <a:t>De beschreven aanpakken worden automatisch gekopieerd naar de betreffende vakken.</a:t>
          </a:r>
        </a:p>
        <a:p>
          <a:pPr algn="l"/>
          <a:endParaRPr lang="nl-NL" sz="1100" baseline="0"/>
        </a:p>
        <a:p>
          <a:pPr algn="l"/>
          <a:r>
            <a:rPr lang="nl-NL" sz="1100" baseline="0"/>
            <a:t>Onderzoek heeft uitgewezen dat de leerkracht zich tijdens de instructie met name richt op die middenmoot.</a:t>
          </a:r>
        </a:p>
        <a:p>
          <a:pPr algn="l"/>
          <a:endParaRPr lang="nl-NL" sz="1100" baseline="0"/>
        </a:p>
        <a:p>
          <a:pPr algn="l"/>
          <a:r>
            <a:rPr lang="nl-NL" sz="1100" baseline="0"/>
            <a:t>zie ook: www.masterclassopo.nl</a:t>
          </a:r>
        </a:p>
        <a:p>
          <a:pPr algn="l"/>
          <a:endParaRPr lang="nl-NL" sz="1100"/>
        </a:p>
      </xdr:txBody>
    </xdr:sp>
    <xdr:clientData/>
  </xdr:twoCellAnchor>
  <xdr:twoCellAnchor>
    <xdr:from>
      <xdr:col>20</xdr:col>
      <xdr:colOff>542925</xdr:colOff>
      <xdr:row>27</xdr:row>
      <xdr:rowOff>66675</xdr:rowOff>
    </xdr:from>
    <xdr:to>
      <xdr:col>23</xdr:col>
      <xdr:colOff>390525</xdr:colOff>
      <xdr:row>34</xdr:row>
      <xdr:rowOff>152400</xdr:rowOff>
    </xdr:to>
    <xdr:sp macro="" textlink="">
      <xdr:nvSpPr>
        <xdr:cNvPr id="5" name="Pijl: links 7">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bwMode="auto">
        <a:xfrm flipH="1">
          <a:off x="12734925" y="4533900"/>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P%20-%20MRT%202021%20-%20De%20Kardoen/maart%202021/10.%20GP%20GROEP%208B%20-%2017-03-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loreantscholen.sharepoint.com/GP%20-%20JAN%202020%20-%20De%20Kardoen/9.GP%20%20-%20JAN%202020%20-%20GROEP%2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loreantscholen.sharepoint.com/SiDi%203%20-%20SIGNALERING/2018-2019/DiGi-3%20-%20groep%204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1"/>
      <sheetName val="info-2"/>
      <sheetName val="info-3"/>
      <sheetName val="info-4"/>
      <sheetName val="info-5"/>
      <sheetName val="info-6"/>
      <sheetName val="info-7"/>
      <sheetName val="info-8"/>
      <sheetName val="info-9"/>
      <sheetName val="info-10"/>
      <sheetName val="info-11"/>
      <sheetName val="info-12"/>
      <sheetName val="info-13"/>
      <sheetName val="info-14"/>
      <sheetName val="NIVEAU WAARDE - vorig jaar"/>
      <sheetName val="NIVEAU WAARDE - 1e toetsperiode"/>
      <sheetName val="NIVEAU WAARDE - 2e toetsperiode"/>
      <sheetName val="schoolweging"/>
      <sheetName val="Referentieniveau"/>
      <sheetName val="OPP vorige jaar"/>
      <sheetName val="OPP 1e periode"/>
      <sheetName val="OPP 2e periode"/>
      <sheetName val="ONTW.PERSPECTIEF"/>
      <sheetName val="DL - DLE"/>
      <sheetName val="OPO"/>
      <sheetName val="LIJV"/>
      <sheetName val="TOETSAFSPRAKEN EN NOTOTIES"/>
      <sheetName val="INTENSIEF - 1e periode"/>
      <sheetName val="INTENSIEF - 2e periode"/>
      <sheetName val="BASISAANPAK - 1e periode"/>
      <sheetName val="BASISAANPAK - 2e periode"/>
      <sheetName val="VERRIJKT - 1e periode"/>
      <sheetName val="VERRIJKT - 2e periode"/>
      <sheetName val="BEGINBLAD"/>
      <sheetName val="AANLEG"/>
      <sheetName val="SOCIAAL EMOTIONEEL"/>
      <sheetName val="VERWIJZING - VO"/>
      <sheetName val="TECHNISCH LEZEN - 1e periode"/>
      <sheetName val="TECHNISCH LEZEN - 2e periode"/>
      <sheetName val="BEGRIJPEND LEZEN - 1e periode"/>
      <sheetName val="BEGRIJPEND LEZEN - 2e periode"/>
      <sheetName val="SPELLEN - 1e periode"/>
      <sheetName val="SPELLEN - 2e periode"/>
      <sheetName val="REKENEN - 1e periode"/>
      <sheetName val="REKENEN - 2e periode"/>
      <sheetName val="HOOFDREKENEN - 1e periode"/>
      <sheetName val="HOOFDREKENEN - 2e periode"/>
      <sheetName val="DIVERSITEIT"/>
      <sheetName val="SIGNALERING HB"/>
      <sheetName val="LEERLING PROFIEL HB"/>
      <sheetName val="OUDERBRI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S4" t="str">
            <v>1F</v>
          </cell>
          <cell r="T4" t="str">
            <v>1S</v>
          </cell>
          <cell r="W4" t="str">
            <v>1F</v>
          </cell>
          <cell r="X4" t="str">
            <v>1S</v>
          </cell>
          <cell r="AA4" t="str">
            <v>1F</v>
          </cell>
          <cell r="AB4" t="str">
            <v>1S</v>
          </cell>
        </row>
        <row r="5">
          <cell r="R5" t="str">
            <v>B6</v>
          </cell>
          <cell r="S5">
            <v>0</v>
          </cell>
          <cell r="T5">
            <v>0</v>
          </cell>
          <cell r="W5">
            <v>0.4</v>
          </cell>
          <cell r="X5">
            <v>0</v>
          </cell>
          <cell r="AA5">
            <v>0</v>
          </cell>
          <cell r="AB5">
            <v>0</v>
          </cell>
        </row>
        <row r="6">
          <cell r="R6" t="str">
            <v>M6</v>
          </cell>
          <cell r="S6">
            <v>0.4</v>
          </cell>
          <cell r="T6">
            <v>0</v>
          </cell>
          <cell r="W6">
            <v>0.5</v>
          </cell>
          <cell r="X6">
            <v>0</v>
          </cell>
          <cell r="AA6">
            <v>0.1</v>
          </cell>
          <cell r="AB6">
            <v>0</v>
          </cell>
        </row>
        <row r="7">
          <cell r="R7" t="str">
            <v>B7</v>
          </cell>
          <cell r="S7">
            <v>0.5</v>
          </cell>
          <cell r="T7">
            <v>0.05</v>
          </cell>
          <cell r="W7">
            <v>0.6</v>
          </cell>
          <cell r="X7">
            <v>0</v>
          </cell>
          <cell r="AA7">
            <v>0.4</v>
          </cell>
          <cell r="AB7">
            <v>0</v>
          </cell>
        </row>
        <row r="8">
          <cell r="R8" t="str">
            <v>M7</v>
          </cell>
          <cell r="S8">
            <v>0.7</v>
          </cell>
          <cell r="T8">
            <v>0.2</v>
          </cell>
          <cell r="W8">
            <v>0.75</v>
          </cell>
          <cell r="X8">
            <v>0.2</v>
          </cell>
          <cell r="AA8">
            <v>0.6</v>
          </cell>
          <cell r="AB8">
            <v>0.1</v>
          </cell>
        </row>
        <row r="9">
          <cell r="R9" t="str">
            <v>B8</v>
          </cell>
          <cell r="S9">
            <v>0.75</v>
          </cell>
          <cell r="T9">
            <v>0.25</v>
          </cell>
          <cell r="W9">
            <v>0.8</v>
          </cell>
          <cell r="X9">
            <v>0.25</v>
          </cell>
          <cell r="AA9">
            <v>0.75</v>
          </cell>
          <cell r="AB9">
            <v>0.2</v>
          </cell>
        </row>
        <row r="10">
          <cell r="R10" t="str">
            <v>M8</v>
          </cell>
          <cell r="S10">
            <v>0.8</v>
          </cell>
          <cell r="T10">
            <v>0.45</v>
          </cell>
          <cell r="W10">
            <v>0.85</v>
          </cell>
          <cell r="X10">
            <v>0.45</v>
          </cell>
          <cell r="AA10">
            <v>0.9</v>
          </cell>
          <cell r="AB10">
            <v>0.3</v>
          </cell>
        </row>
        <row r="11">
          <cell r="R11" t="str">
            <v>E8</v>
          </cell>
          <cell r="S11">
            <v>0.96499999999999997</v>
          </cell>
          <cell r="T11">
            <v>0.65</v>
          </cell>
          <cell r="W11">
            <v>0.96499999999999997</v>
          </cell>
          <cell r="X11">
            <v>0.65</v>
          </cell>
          <cell r="AA11">
            <v>0.96499999999999997</v>
          </cell>
          <cell r="AB11">
            <v>0.45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1"/>
      <sheetName val="info-2"/>
      <sheetName val="info-3"/>
      <sheetName val="info-4"/>
      <sheetName val="info-5"/>
      <sheetName val="info-6"/>
      <sheetName val="info-7"/>
      <sheetName val="info-8"/>
      <sheetName val="info-9"/>
      <sheetName val="info-10"/>
      <sheetName val="info-11"/>
      <sheetName val="info-12"/>
      <sheetName val="info-13"/>
      <sheetName val="info-14"/>
      <sheetName val="info-15"/>
      <sheetName val="info-16"/>
      <sheetName val="info-17"/>
      <sheetName val="info-18"/>
      <sheetName val="info-19"/>
      <sheetName val="info-21"/>
      <sheetName val="info-22"/>
      <sheetName val="info-23"/>
      <sheetName val="info-24"/>
      <sheetName val="info-25"/>
      <sheetName val="info-26"/>
      <sheetName val="info-27"/>
      <sheetName val="info-28"/>
      <sheetName val="info-29"/>
      <sheetName val="BEGINBLAD"/>
      <sheetName val="NIVEAU WAARDE - voor vorige"/>
      <sheetName val="NIVEAU WAARDE - vorige afname"/>
      <sheetName val="NIVEAU WAARDE"/>
      <sheetName val="OPO"/>
      <sheetName val="LIJV"/>
      <sheetName val="INTENSIEF"/>
      <sheetName val="BASISAANPAK"/>
      <sheetName val="VERRIJKT"/>
      <sheetName val="TECHNISCH LEZEN"/>
      <sheetName val="EVALUATIE-TL"/>
      <sheetName val="SPELLEN"/>
      <sheetName val="EVALUATIE-SP"/>
      <sheetName val="BEGRIJPEND LEZEN"/>
      <sheetName val="EVALUATIE-BL"/>
      <sheetName val="REKENEN &amp; WISKUNDE"/>
      <sheetName val="EVALUATIE-R&amp;W"/>
      <sheetName val="HOOFDREKENEN"/>
      <sheetName val="EVALUATIE-HR"/>
      <sheetName val="KANJERLIJST 5-6-7-8"/>
      <sheetName val="LijV - LIJST 4-5-6-7-8"/>
      <sheetName val="SOCIAAL EMOTIONEEL"/>
      <sheetName val="TOTAAL OVERZICHT - BLADWIJZER"/>
      <sheetName val="TOTAAL OVERZICHT 3-4-5-6-7-8"/>
      <sheetName val="TIJDEN 3-8"/>
      <sheetName val="TIJDEN- PLUS"/>
      <sheetName val="GROEPSBESPREKING"/>
      <sheetName val="PLANNEN"/>
      <sheetName val="CIJFERLIJSTJE"/>
      <sheetName val="LEERLINGENKAART - INDIVIDUEEL"/>
      <sheetName val="MEERBEGAAFDHEID"/>
      <sheetName val="VERWIJZING - VO"/>
      <sheetName val="ONDERPRESTEREN"/>
      <sheetName val="RIO"/>
      <sheetName val="ONTW.PERSPECTIEF"/>
      <sheetName val="DIVERSITEIT"/>
      <sheetName val="OUDERBRI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
          <cell r="D6">
            <v>8</v>
          </cell>
        </row>
        <row r="7">
          <cell r="D7">
            <v>8</v>
          </cell>
        </row>
        <row r="8">
          <cell r="D8">
            <v>8</v>
          </cell>
        </row>
        <row r="9">
          <cell r="D9">
            <v>8</v>
          </cell>
        </row>
        <row r="10">
          <cell r="D10">
            <v>8</v>
          </cell>
        </row>
        <row r="11">
          <cell r="D11">
            <v>8</v>
          </cell>
        </row>
        <row r="12">
          <cell r="D12">
            <v>8</v>
          </cell>
        </row>
        <row r="13">
          <cell r="D13">
            <v>8</v>
          </cell>
        </row>
        <row r="14">
          <cell r="D14">
            <v>8</v>
          </cell>
        </row>
        <row r="15">
          <cell r="D15">
            <v>8</v>
          </cell>
        </row>
        <row r="16">
          <cell r="D16">
            <v>8</v>
          </cell>
        </row>
        <row r="17">
          <cell r="D17">
            <v>8</v>
          </cell>
        </row>
        <row r="18">
          <cell r="D18">
            <v>8</v>
          </cell>
        </row>
        <row r="19">
          <cell r="D19">
            <v>8</v>
          </cell>
        </row>
        <row r="20">
          <cell r="D20">
            <v>8</v>
          </cell>
        </row>
        <row r="21">
          <cell r="D21">
            <v>8</v>
          </cell>
        </row>
        <row r="22">
          <cell r="D22">
            <v>8</v>
          </cell>
        </row>
        <row r="23">
          <cell r="D23">
            <v>8</v>
          </cell>
        </row>
        <row r="24">
          <cell r="D24">
            <v>8</v>
          </cell>
        </row>
        <row r="25">
          <cell r="D25">
            <v>8</v>
          </cell>
        </row>
        <row r="26">
          <cell r="D26">
            <v>8</v>
          </cell>
        </row>
        <row r="27">
          <cell r="D27">
            <v>8</v>
          </cell>
        </row>
        <row r="28">
          <cell r="D28">
            <v>8</v>
          </cell>
        </row>
        <row r="29">
          <cell r="D29">
            <v>8</v>
          </cell>
        </row>
        <row r="30">
          <cell r="D30">
            <v>8</v>
          </cell>
        </row>
        <row r="31">
          <cell r="D31">
            <v>8</v>
          </cell>
        </row>
        <row r="32">
          <cell r="D32">
            <v>8</v>
          </cell>
        </row>
        <row r="33">
          <cell r="D33">
            <v>8</v>
          </cell>
        </row>
        <row r="34">
          <cell r="D34">
            <v>8</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Namenlijst 3-8"/>
      <sheetName val="Jaarlijkse signalering 3-8"/>
      <sheetName val="Leerlingprofiel 3-8"/>
    </sheetNames>
    <sheetDataSet>
      <sheetData sheetId="0">
        <row r="5">
          <cell r="C5" t="str">
            <v>Namen leerlingen:</v>
          </cell>
        </row>
      </sheetData>
      <sheetData sheetId="1">
        <row r="2">
          <cell r="F2">
            <v>1</v>
          </cell>
          <cell r="G2">
            <v>2</v>
          </cell>
          <cell r="H2">
            <v>3</v>
          </cell>
          <cell r="I2">
            <v>4</v>
          </cell>
          <cell r="J2">
            <v>5</v>
          </cell>
          <cell r="K2">
            <v>6</v>
          </cell>
          <cell r="L2">
            <v>7</v>
          </cell>
          <cell r="M2">
            <v>8</v>
          </cell>
          <cell r="N2">
            <v>9</v>
          </cell>
          <cell r="O2">
            <v>10</v>
          </cell>
          <cell r="P2">
            <v>11</v>
          </cell>
          <cell r="Q2">
            <v>12</v>
          </cell>
          <cell r="R2">
            <v>13</v>
          </cell>
          <cell r="S2">
            <v>14</v>
          </cell>
          <cell r="T2">
            <v>15</v>
          </cell>
          <cell r="U2">
            <v>16</v>
          </cell>
          <cell r="V2">
            <v>17</v>
          </cell>
          <cell r="W2">
            <v>18</v>
          </cell>
          <cell r="X2">
            <v>19</v>
          </cell>
          <cell r="Y2">
            <v>20</v>
          </cell>
          <cell r="Z2">
            <v>21</v>
          </cell>
          <cell r="AA2">
            <v>22</v>
          </cell>
          <cell r="AB2">
            <v>23</v>
          </cell>
          <cell r="AC2">
            <v>24</v>
          </cell>
          <cell r="AD2">
            <v>25</v>
          </cell>
          <cell r="AE2">
            <v>26</v>
          </cell>
          <cell r="AF2">
            <v>27</v>
          </cell>
          <cell r="AG2">
            <v>28</v>
          </cell>
          <cell r="AH2">
            <v>29</v>
          </cell>
          <cell r="AI2">
            <v>30</v>
          </cell>
          <cell r="AJ2">
            <v>31</v>
          </cell>
          <cell r="AK2">
            <v>32</v>
          </cell>
          <cell r="AL2">
            <v>33</v>
          </cell>
          <cell r="AM2">
            <v>34</v>
          </cell>
          <cell r="AN2">
            <v>35</v>
          </cell>
        </row>
        <row r="3">
          <cell r="F3" t="str">
            <v>Tess den Bakker</v>
          </cell>
          <cell r="G3" t="str">
            <v>Gerwin Beniers</v>
          </cell>
          <cell r="H3" t="str">
            <v>Manoah Boer</v>
          </cell>
          <cell r="I3" t="str">
            <v>Julia From</v>
          </cell>
          <cell r="J3" t="str">
            <v>Bram Grootemarsink</v>
          </cell>
          <cell r="K3" t="str">
            <v>Lise Grotenhuis</v>
          </cell>
          <cell r="L3" t="str">
            <v>Mila Hekman</v>
          </cell>
          <cell r="M3" t="str">
            <v>Nora Hekman</v>
          </cell>
          <cell r="N3" t="str">
            <v>Noor Homan</v>
          </cell>
          <cell r="O3" t="str">
            <v>Sem Katerberg</v>
          </cell>
          <cell r="P3" t="str">
            <v>Fem Nijhoff</v>
          </cell>
          <cell r="Q3" t="str">
            <v>Levi Olsman</v>
          </cell>
          <cell r="R3" t="str">
            <v>Tobi Ruijters</v>
          </cell>
          <cell r="S3" t="str">
            <v>Naomi Schenk</v>
          </cell>
          <cell r="T3" t="str">
            <v>Meike van der Tuin</v>
          </cell>
          <cell r="U3" t="str">
            <v>Julan van der Vegt</v>
          </cell>
          <cell r="V3" t="str">
            <v>Naud Vonk</v>
          </cell>
          <cell r="W3" t="str">
            <v>Chloë Vos</v>
          </cell>
          <cell r="X3" t="str">
            <v>Lieve Willems</v>
          </cell>
          <cell r="Y3" t="str">
            <v>Tygo Wolters</v>
          </cell>
          <cell r="Z3" t="str">
            <v>Jorden Zuidema</v>
          </cell>
          <cell r="AA3">
            <v>0</v>
          </cell>
          <cell r="AB3">
            <v>0</v>
          </cell>
          <cell r="AC3">
            <v>0</v>
          </cell>
          <cell r="AD3">
            <v>0</v>
          </cell>
          <cell r="AE3">
            <v>0</v>
          </cell>
          <cell r="AF3">
            <v>0</v>
          </cell>
          <cell r="AG3">
            <v>0</v>
          </cell>
          <cell r="AH3">
            <v>0</v>
          </cell>
          <cell r="AI3">
            <v>0</v>
          </cell>
          <cell r="AJ3">
            <v>0</v>
          </cell>
          <cell r="AK3">
            <v>0</v>
          </cell>
          <cell r="AL3">
            <v>0</v>
          </cell>
          <cell r="AM3">
            <v>0</v>
          </cell>
          <cell r="AN3">
            <v>0</v>
          </cell>
        </row>
        <row r="4">
          <cell r="F4">
            <v>3</v>
          </cell>
          <cell r="G4">
            <v>1</v>
          </cell>
          <cell r="H4">
            <v>3</v>
          </cell>
          <cell r="I4">
            <v>4</v>
          </cell>
          <cell r="J4">
            <v>3</v>
          </cell>
          <cell r="K4">
            <v>3</v>
          </cell>
          <cell r="L4">
            <v>5</v>
          </cell>
          <cell r="M4">
            <v>3</v>
          </cell>
          <cell r="N4">
            <v>2</v>
          </cell>
          <cell r="O4">
            <v>4</v>
          </cell>
          <cell r="P4">
            <v>4</v>
          </cell>
          <cell r="Q4">
            <v>3</v>
          </cell>
          <cell r="R4">
            <v>3</v>
          </cell>
          <cell r="S4">
            <v>3</v>
          </cell>
          <cell r="T4">
            <v>2</v>
          </cell>
          <cell r="U4">
            <v>3</v>
          </cell>
          <cell r="V4">
            <v>3</v>
          </cell>
          <cell r="W4">
            <v>5</v>
          </cell>
          <cell r="X4">
            <v>3</v>
          </cell>
          <cell r="Y4">
            <v>3</v>
          </cell>
          <cell r="Z4">
            <v>3</v>
          </cell>
        </row>
        <row r="5">
          <cell r="F5" t="str">
            <v>gemiddeld</v>
          </cell>
          <cell r="G5" t="str">
            <v>zwak</v>
          </cell>
          <cell r="H5" t="str">
            <v>gemiddeld</v>
          </cell>
          <cell r="I5" t="str">
            <v>boven gemiddeld</v>
          </cell>
          <cell r="J5" t="str">
            <v>gemiddeld</v>
          </cell>
          <cell r="K5" t="str">
            <v>gemiddeld</v>
          </cell>
          <cell r="L5" t="str">
            <v>goed</v>
          </cell>
          <cell r="M5" t="str">
            <v>gemiddeld</v>
          </cell>
          <cell r="N5" t="str">
            <v>beneden gemiddeld</v>
          </cell>
          <cell r="O5" t="str">
            <v>boven gemiddeld</v>
          </cell>
          <cell r="P5" t="str">
            <v>boven gemiddeld</v>
          </cell>
          <cell r="Q5" t="str">
            <v>gemiddeld</v>
          </cell>
          <cell r="R5" t="str">
            <v>gemiddeld</v>
          </cell>
          <cell r="S5" t="str">
            <v>gemiddeld</v>
          </cell>
          <cell r="T5" t="str">
            <v>beneden gemiddeld</v>
          </cell>
          <cell r="U5" t="str">
            <v>gemiddeld</v>
          </cell>
          <cell r="V5" t="str">
            <v>gemiddeld</v>
          </cell>
          <cell r="W5" t="str">
            <v>goed</v>
          </cell>
          <cell r="X5" t="str">
            <v>gemiddeld</v>
          </cell>
          <cell r="Y5" t="str">
            <v>gemiddeld</v>
          </cell>
          <cell r="Z5" t="str">
            <v>gemiddeld</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row>
        <row r="6">
          <cell r="F6" t="str">
            <v>signalering stopt</v>
          </cell>
          <cell r="G6" t="str">
            <v>signalering stopt</v>
          </cell>
          <cell r="H6" t="str">
            <v>signalering stopt</v>
          </cell>
          <cell r="I6" t="str">
            <v>vraag 1-12</v>
          </cell>
          <cell r="J6" t="str">
            <v>signalering stopt</v>
          </cell>
          <cell r="K6" t="str">
            <v>signalering stopt</v>
          </cell>
          <cell r="L6" t="str">
            <v>vraag 1-12</v>
          </cell>
          <cell r="M6" t="str">
            <v>signalering stopt</v>
          </cell>
          <cell r="N6" t="str">
            <v>signalering stopt</v>
          </cell>
          <cell r="O6" t="str">
            <v>vraag 1-12</v>
          </cell>
          <cell r="P6" t="str">
            <v>vraag 1-12</v>
          </cell>
          <cell r="Q6" t="str">
            <v>signalering stopt</v>
          </cell>
          <cell r="R6" t="str">
            <v>signalering stopt</v>
          </cell>
          <cell r="S6" t="str">
            <v>signalering stopt</v>
          </cell>
          <cell r="T6" t="str">
            <v>signalering stopt</v>
          </cell>
          <cell r="U6" t="str">
            <v>signalering stopt</v>
          </cell>
          <cell r="V6" t="str">
            <v>signalering stopt</v>
          </cell>
          <cell r="W6" t="str">
            <v>vraag 1-12</v>
          </cell>
          <cell r="X6" t="str">
            <v>signalering stopt</v>
          </cell>
          <cell r="Y6" t="str">
            <v>signalering stopt</v>
          </cell>
          <cell r="Z6" t="str">
            <v>signalering stopt</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row>
        <row r="9">
          <cell r="O9" t="str">
            <v>x</v>
          </cell>
        </row>
        <row r="12">
          <cell r="I12" t="str">
            <v>x</v>
          </cell>
          <cell r="O12" t="str">
            <v>x</v>
          </cell>
          <cell r="P12" t="str">
            <v>x</v>
          </cell>
        </row>
        <row r="13">
          <cell r="I13" t="str">
            <v>x</v>
          </cell>
          <cell r="L13" t="str">
            <v>x</v>
          </cell>
          <cell r="W13" t="str">
            <v>x</v>
          </cell>
        </row>
        <row r="16">
          <cell r="O16" t="str">
            <v>x</v>
          </cell>
        </row>
        <row r="20">
          <cell r="F20">
            <v>0</v>
          </cell>
          <cell r="G20">
            <v>0</v>
          </cell>
          <cell r="H20">
            <v>0</v>
          </cell>
          <cell r="I20">
            <v>2</v>
          </cell>
          <cell r="J20">
            <v>0</v>
          </cell>
          <cell r="K20">
            <v>0</v>
          </cell>
          <cell r="L20">
            <v>1</v>
          </cell>
          <cell r="M20">
            <v>0</v>
          </cell>
          <cell r="N20">
            <v>0</v>
          </cell>
          <cell r="O20">
            <v>3</v>
          </cell>
          <cell r="P20">
            <v>1</v>
          </cell>
          <cell r="Q20">
            <v>0</v>
          </cell>
          <cell r="R20">
            <v>0</v>
          </cell>
          <cell r="S20">
            <v>0</v>
          </cell>
          <cell r="T20">
            <v>0</v>
          </cell>
          <cell r="U20">
            <v>0</v>
          </cell>
          <cell r="V20">
            <v>0</v>
          </cell>
          <cell r="W20">
            <v>1</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F21">
            <v>0</v>
          </cell>
          <cell r="G21">
            <v>0</v>
          </cell>
          <cell r="H21">
            <v>0</v>
          </cell>
          <cell r="I21">
            <v>2</v>
          </cell>
          <cell r="J21">
            <v>0</v>
          </cell>
          <cell r="K21">
            <v>0</v>
          </cell>
          <cell r="L21">
            <v>1</v>
          </cell>
          <cell r="M21">
            <v>0</v>
          </cell>
          <cell r="N21">
            <v>0</v>
          </cell>
          <cell r="O21">
            <v>3</v>
          </cell>
          <cell r="P21">
            <v>1</v>
          </cell>
          <cell r="Q21">
            <v>0</v>
          </cell>
          <cell r="R21">
            <v>0</v>
          </cell>
          <cell r="S21">
            <v>0</v>
          </cell>
          <cell r="T21">
            <v>0</v>
          </cell>
          <cell r="U21">
            <v>0</v>
          </cell>
          <cell r="V21">
            <v>0</v>
          </cell>
          <cell r="W21">
            <v>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F22" t="str">
            <v>signalering stopt</v>
          </cell>
          <cell r="G22" t="str">
            <v>signalering stopt</v>
          </cell>
          <cell r="H22" t="str">
            <v>signalering stopt</v>
          </cell>
          <cell r="I22" t="str">
            <v>signalering stopt</v>
          </cell>
          <cell r="J22" t="str">
            <v>signalering stopt</v>
          </cell>
          <cell r="K22" t="str">
            <v>signalering stopt</v>
          </cell>
          <cell r="L22" t="str">
            <v>signalering stopt</v>
          </cell>
          <cell r="M22" t="str">
            <v>signalering stopt</v>
          </cell>
          <cell r="N22" t="str">
            <v>signalering stopt</v>
          </cell>
          <cell r="O22" t="str">
            <v>signalering stopt</v>
          </cell>
          <cell r="P22" t="str">
            <v>signalering stopt</v>
          </cell>
          <cell r="Q22" t="str">
            <v>signalering stopt</v>
          </cell>
          <cell r="R22" t="str">
            <v>signalering stopt</v>
          </cell>
          <cell r="S22" t="str">
            <v>signalering stopt</v>
          </cell>
          <cell r="T22" t="str">
            <v>signalering stopt</v>
          </cell>
          <cell r="U22" t="str">
            <v>signalering stopt</v>
          </cell>
          <cell r="V22" t="str">
            <v>signalering stopt</v>
          </cell>
          <cell r="W22" t="str">
            <v>signalering stopt</v>
          </cell>
          <cell r="X22" t="str">
            <v>signalering stopt</v>
          </cell>
          <cell r="Y22" t="str">
            <v>signalering stopt</v>
          </cell>
          <cell r="Z22" t="str">
            <v>signalering stopt</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row>
        <row r="33">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F34" t="str">
            <v/>
          </cell>
          <cell r="G34" t="str">
            <v/>
          </cell>
          <cell r="H34" t="str">
            <v/>
          </cell>
          <cell r="I34">
            <v>0</v>
          </cell>
          <cell r="J34" t="str">
            <v/>
          </cell>
          <cell r="K34" t="str">
            <v/>
          </cell>
          <cell r="L34">
            <v>0</v>
          </cell>
          <cell r="M34" t="str">
            <v/>
          </cell>
          <cell r="N34" t="str">
            <v/>
          </cell>
          <cell r="O34">
            <v>0</v>
          </cell>
          <cell r="P34">
            <v>0</v>
          </cell>
          <cell r="Q34" t="str">
            <v/>
          </cell>
          <cell r="R34" t="str">
            <v/>
          </cell>
          <cell r="S34" t="str">
            <v/>
          </cell>
          <cell r="T34" t="str">
            <v/>
          </cell>
          <cell r="U34" t="str">
            <v/>
          </cell>
          <cell r="V34" t="str">
            <v/>
          </cell>
          <cell r="W34">
            <v>0</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row>
        <row r="35">
          <cell r="F35" t="str">
            <v/>
          </cell>
          <cell r="G35" t="str">
            <v/>
          </cell>
          <cell r="H35" t="str">
            <v/>
          </cell>
          <cell r="I35">
            <v>1</v>
          </cell>
          <cell r="J35" t="str">
            <v/>
          </cell>
          <cell r="K35" t="str">
            <v/>
          </cell>
          <cell r="L35">
            <v>1</v>
          </cell>
          <cell r="M35" t="str">
            <v/>
          </cell>
          <cell r="N35" t="str">
            <v/>
          </cell>
          <cell r="O35">
            <v>1</v>
          </cell>
          <cell r="P35">
            <v>1</v>
          </cell>
          <cell r="Q35" t="str">
            <v/>
          </cell>
          <cell r="R35" t="str">
            <v/>
          </cell>
          <cell r="S35" t="str">
            <v/>
          </cell>
          <cell r="T35" t="str">
            <v/>
          </cell>
          <cell r="U35" t="str">
            <v/>
          </cell>
          <cell r="V35" t="str">
            <v/>
          </cell>
          <cell r="W35">
            <v>1</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row>
        <row r="36">
          <cell r="F36">
            <v>0</v>
          </cell>
          <cell r="G36">
            <v>0</v>
          </cell>
          <cell r="H36">
            <v>0</v>
          </cell>
          <cell r="I36">
            <v>1</v>
          </cell>
          <cell r="J36">
            <v>0</v>
          </cell>
          <cell r="K36">
            <v>0</v>
          </cell>
          <cell r="L36">
            <v>1</v>
          </cell>
          <cell r="M36">
            <v>0</v>
          </cell>
          <cell r="N36">
            <v>0</v>
          </cell>
          <cell r="O36">
            <v>1</v>
          </cell>
          <cell r="P36">
            <v>1</v>
          </cell>
          <cell r="Q36">
            <v>0</v>
          </cell>
          <cell r="R36">
            <v>0</v>
          </cell>
          <cell r="S36">
            <v>0</v>
          </cell>
          <cell r="T36">
            <v>0</v>
          </cell>
          <cell r="U36">
            <v>0</v>
          </cell>
          <cell r="V36">
            <v>0</v>
          </cell>
          <cell r="W36">
            <v>1</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row>
        <row r="37">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row>
      </sheetData>
      <sheetData sheetId="2"/>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7.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39.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8.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0.xml"/><Relationship Id="rId1" Type="http://schemas.openxmlformats.org/officeDocument/2006/relationships/printerSettings" Target="../printerSettings/printerSettings33.bin"/><Relationship Id="rId4" Type="http://schemas.openxmlformats.org/officeDocument/2006/relationships/comments" Target="../comments2.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1.xml"/><Relationship Id="rId1" Type="http://schemas.openxmlformats.org/officeDocument/2006/relationships/printerSettings" Target="../printerSettings/printerSettings34.bin"/><Relationship Id="rId4" Type="http://schemas.openxmlformats.org/officeDocument/2006/relationships/comments" Target="../comments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2.xml"/><Relationship Id="rId1" Type="http://schemas.openxmlformats.org/officeDocument/2006/relationships/printerSettings" Target="../printerSettings/printerSettings35.bin"/><Relationship Id="rId4" Type="http://schemas.openxmlformats.org/officeDocument/2006/relationships/comments" Target="../comments4.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3.xml"/><Relationship Id="rId1" Type="http://schemas.openxmlformats.org/officeDocument/2006/relationships/printerSettings" Target="../printerSettings/printerSettings36.bin"/><Relationship Id="rId4" Type="http://schemas.openxmlformats.org/officeDocument/2006/relationships/comments" Target="../comments5.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4.xml"/><Relationship Id="rId1" Type="http://schemas.openxmlformats.org/officeDocument/2006/relationships/printerSettings" Target="../printerSettings/printerSettings37.bin"/><Relationship Id="rId4" Type="http://schemas.openxmlformats.org/officeDocument/2006/relationships/comments" Target="../comments6.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5.xml"/><Relationship Id="rId1" Type="http://schemas.openxmlformats.org/officeDocument/2006/relationships/printerSettings" Target="../printerSettings/printerSettings38.bin"/><Relationship Id="rId4" Type="http://schemas.openxmlformats.org/officeDocument/2006/relationships/comments" Target="../comments7.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6.xml"/><Relationship Id="rId1" Type="http://schemas.openxmlformats.org/officeDocument/2006/relationships/printerSettings" Target="../printerSettings/printerSettings39.bin"/><Relationship Id="rId4" Type="http://schemas.openxmlformats.org/officeDocument/2006/relationships/comments" Target="../comments8.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7.xml"/><Relationship Id="rId1" Type="http://schemas.openxmlformats.org/officeDocument/2006/relationships/printerSettings" Target="../printerSettings/printerSettings40.bin"/><Relationship Id="rId4" Type="http://schemas.openxmlformats.org/officeDocument/2006/relationships/comments" Target="../comments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8.xml"/><Relationship Id="rId1" Type="http://schemas.openxmlformats.org/officeDocument/2006/relationships/printerSettings" Target="../printerSettings/printerSettings41.bin"/><Relationship Id="rId4" Type="http://schemas.openxmlformats.org/officeDocument/2006/relationships/comments" Target="../comments1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9.xml"/><Relationship Id="rId1" Type="http://schemas.openxmlformats.org/officeDocument/2006/relationships/printerSettings" Target="../printerSettings/printerSettings42.bin"/><Relationship Id="rId4" Type="http://schemas.openxmlformats.org/officeDocument/2006/relationships/comments" Target="../comments11.xml"/></Relationships>
</file>

<file path=xl/worksheets/_rels/sheet51.xml.rels><?xml version="1.0" encoding="UTF-8" standalone="yes"?>
<Relationships xmlns="http://schemas.openxmlformats.org/package/2006/relationships"><Relationship Id="rId117" Type="http://schemas.openxmlformats.org/officeDocument/2006/relationships/ctrlProp" Target="../ctrlProps/ctrlProp150.xml"/><Relationship Id="rId21" Type="http://schemas.openxmlformats.org/officeDocument/2006/relationships/ctrlProp" Target="../ctrlProps/ctrlProp54.xml"/><Relationship Id="rId42" Type="http://schemas.openxmlformats.org/officeDocument/2006/relationships/ctrlProp" Target="../ctrlProps/ctrlProp75.xml"/><Relationship Id="rId63" Type="http://schemas.openxmlformats.org/officeDocument/2006/relationships/ctrlProp" Target="../ctrlProps/ctrlProp96.xml"/><Relationship Id="rId84" Type="http://schemas.openxmlformats.org/officeDocument/2006/relationships/ctrlProp" Target="../ctrlProps/ctrlProp117.xml"/><Relationship Id="rId138" Type="http://schemas.openxmlformats.org/officeDocument/2006/relationships/ctrlProp" Target="../ctrlProps/ctrlProp171.xml"/><Relationship Id="rId159" Type="http://schemas.openxmlformats.org/officeDocument/2006/relationships/ctrlProp" Target="../ctrlProps/ctrlProp192.xml"/><Relationship Id="rId170" Type="http://schemas.openxmlformats.org/officeDocument/2006/relationships/ctrlProp" Target="../ctrlProps/ctrlProp203.xml"/><Relationship Id="rId191" Type="http://schemas.openxmlformats.org/officeDocument/2006/relationships/ctrlProp" Target="../ctrlProps/ctrlProp224.xml"/><Relationship Id="rId107" Type="http://schemas.openxmlformats.org/officeDocument/2006/relationships/ctrlProp" Target="../ctrlProps/ctrlProp140.xml"/><Relationship Id="rId11" Type="http://schemas.openxmlformats.org/officeDocument/2006/relationships/ctrlProp" Target="../ctrlProps/ctrlProp44.xml"/><Relationship Id="rId32" Type="http://schemas.openxmlformats.org/officeDocument/2006/relationships/ctrlProp" Target="../ctrlProps/ctrlProp65.xml"/><Relationship Id="rId53" Type="http://schemas.openxmlformats.org/officeDocument/2006/relationships/ctrlProp" Target="../ctrlProps/ctrlProp86.xml"/><Relationship Id="rId74" Type="http://schemas.openxmlformats.org/officeDocument/2006/relationships/ctrlProp" Target="../ctrlProps/ctrlProp107.xml"/><Relationship Id="rId128" Type="http://schemas.openxmlformats.org/officeDocument/2006/relationships/ctrlProp" Target="../ctrlProps/ctrlProp161.xml"/><Relationship Id="rId149" Type="http://schemas.openxmlformats.org/officeDocument/2006/relationships/ctrlProp" Target="../ctrlProps/ctrlProp182.xml"/><Relationship Id="rId5" Type="http://schemas.openxmlformats.org/officeDocument/2006/relationships/ctrlProp" Target="../ctrlProps/ctrlProp38.xml"/><Relationship Id="rId95" Type="http://schemas.openxmlformats.org/officeDocument/2006/relationships/ctrlProp" Target="../ctrlProps/ctrlProp128.xml"/><Relationship Id="rId160" Type="http://schemas.openxmlformats.org/officeDocument/2006/relationships/ctrlProp" Target="../ctrlProps/ctrlProp193.xml"/><Relationship Id="rId181" Type="http://schemas.openxmlformats.org/officeDocument/2006/relationships/ctrlProp" Target="../ctrlProps/ctrlProp214.xml"/><Relationship Id="rId22" Type="http://schemas.openxmlformats.org/officeDocument/2006/relationships/ctrlProp" Target="../ctrlProps/ctrlProp55.xml"/><Relationship Id="rId43" Type="http://schemas.openxmlformats.org/officeDocument/2006/relationships/ctrlProp" Target="../ctrlProps/ctrlProp76.xml"/><Relationship Id="rId64" Type="http://schemas.openxmlformats.org/officeDocument/2006/relationships/ctrlProp" Target="../ctrlProps/ctrlProp97.xml"/><Relationship Id="rId118" Type="http://schemas.openxmlformats.org/officeDocument/2006/relationships/ctrlProp" Target="../ctrlProps/ctrlProp151.xml"/><Relationship Id="rId139" Type="http://schemas.openxmlformats.org/officeDocument/2006/relationships/ctrlProp" Target="../ctrlProps/ctrlProp172.xml"/><Relationship Id="rId85" Type="http://schemas.openxmlformats.org/officeDocument/2006/relationships/ctrlProp" Target="../ctrlProps/ctrlProp118.xml"/><Relationship Id="rId150" Type="http://schemas.openxmlformats.org/officeDocument/2006/relationships/ctrlProp" Target="../ctrlProps/ctrlProp183.xml"/><Relationship Id="rId171" Type="http://schemas.openxmlformats.org/officeDocument/2006/relationships/ctrlProp" Target="../ctrlProps/ctrlProp204.xml"/><Relationship Id="rId192" Type="http://schemas.openxmlformats.org/officeDocument/2006/relationships/comments" Target="../comments12.xml"/><Relationship Id="rId12" Type="http://schemas.openxmlformats.org/officeDocument/2006/relationships/ctrlProp" Target="../ctrlProps/ctrlProp45.xml"/><Relationship Id="rId33" Type="http://schemas.openxmlformats.org/officeDocument/2006/relationships/ctrlProp" Target="../ctrlProps/ctrlProp66.xml"/><Relationship Id="rId108" Type="http://schemas.openxmlformats.org/officeDocument/2006/relationships/ctrlProp" Target="../ctrlProps/ctrlProp141.xml"/><Relationship Id="rId129" Type="http://schemas.openxmlformats.org/officeDocument/2006/relationships/ctrlProp" Target="../ctrlProps/ctrlProp162.xml"/><Relationship Id="rId54" Type="http://schemas.openxmlformats.org/officeDocument/2006/relationships/ctrlProp" Target="../ctrlProps/ctrlProp87.xml"/><Relationship Id="rId75" Type="http://schemas.openxmlformats.org/officeDocument/2006/relationships/ctrlProp" Target="../ctrlProps/ctrlProp108.xml"/><Relationship Id="rId96" Type="http://schemas.openxmlformats.org/officeDocument/2006/relationships/ctrlProp" Target="../ctrlProps/ctrlProp129.xml"/><Relationship Id="rId140" Type="http://schemas.openxmlformats.org/officeDocument/2006/relationships/ctrlProp" Target="../ctrlProps/ctrlProp173.xml"/><Relationship Id="rId161" Type="http://schemas.openxmlformats.org/officeDocument/2006/relationships/ctrlProp" Target="../ctrlProps/ctrlProp194.xml"/><Relationship Id="rId182" Type="http://schemas.openxmlformats.org/officeDocument/2006/relationships/ctrlProp" Target="../ctrlProps/ctrlProp215.xml"/><Relationship Id="rId6" Type="http://schemas.openxmlformats.org/officeDocument/2006/relationships/ctrlProp" Target="../ctrlProps/ctrlProp39.xml"/><Relationship Id="rId23" Type="http://schemas.openxmlformats.org/officeDocument/2006/relationships/ctrlProp" Target="../ctrlProps/ctrlProp56.xml"/><Relationship Id="rId119" Type="http://schemas.openxmlformats.org/officeDocument/2006/relationships/ctrlProp" Target="../ctrlProps/ctrlProp152.xml"/><Relationship Id="rId44" Type="http://schemas.openxmlformats.org/officeDocument/2006/relationships/ctrlProp" Target="../ctrlProps/ctrlProp77.xml"/><Relationship Id="rId65" Type="http://schemas.openxmlformats.org/officeDocument/2006/relationships/ctrlProp" Target="../ctrlProps/ctrlProp98.xml"/><Relationship Id="rId86" Type="http://schemas.openxmlformats.org/officeDocument/2006/relationships/ctrlProp" Target="../ctrlProps/ctrlProp119.xml"/><Relationship Id="rId130" Type="http://schemas.openxmlformats.org/officeDocument/2006/relationships/ctrlProp" Target="../ctrlProps/ctrlProp163.xml"/><Relationship Id="rId151" Type="http://schemas.openxmlformats.org/officeDocument/2006/relationships/ctrlProp" Target="../ctrlProps/ctrlProp184.xml"/><Relationship Id="rId172" Type="http://schemas.openxmlformats.org/officeDocument/2006/relationships/ctrlProp" Target="../ctrlProps/ctrlProp205.xml"/><Relationship Id="rId13" Type="http://schemas.openxmlformats.org/officeDocument/2006/relationships/ctrlProp" Target="../ctrlProps/ctrlProp46.xml"/><Relationship Id="rId18" Type="http://schemas.openxmlformats.org/officeDocument/2006/relationships/ctrlProp" Target="../ctrlProps/ctrlProp51.xml"/><Relationship Id="rId39" Type="http://schemas.openxmlformats.org/officeDocument/2006/relationships/ctrlProp" Target="../ctrlProps/ctrlProp72.xml"/><Relationship Id="rId109" Type="http://schemas.openxmlformats.org/officeDocument/2006/relationships/ctrlProp" Target="../ctrlProps/ctrlProp142.xml"/><Relationship Id="rId34" Type="http://schemas.openxmlformats.org/officeDocument/2006/relationships/ctrlProp" Target="../ctrlProps/ctrlProp67.xml"/><Relationship Id="rId50" Type="http://schemas.openxmlformats.org/officeDocument/2006/relationships/ctrlProp" Target="../ctrlProps/ctrlProp83.xml"/><Relationship Id="rId55" Type="http://schemas.openxmlformats.org/officeDocument/2006/relationships/ctrlProp" Target="../ctrlProps/ctrlProp88.xml"/><Relationship Id="rId76" Type="http://schemas.openxmlformats.org/officeDocument/2006/relationships/ctrlProp" Target="../ctrlProps/ctrlProp109.xml"/><Relationship Id="rId97" Type="http://schemas.openxmlformats.org/officeDocument/2006/relationships/ctrlProp" Target="../ctrlProps/ctrlProp130.xml"/><Relationship Id="rId104" Type="http://schemas.openxmlformats.org/officeDocument/2006/relationships/ctrlProp" Target="../ctrlProps/ctrlProp137.xml"/><Relationship Id="rId120" Type="http://schemas.openxmlformats.org/officeDocument/2006/relationships/ctrlProp" Target="../ctrlProps/ctrlProp153.xml"/><Relationship Id="rId125" Type="http://schemas.openxmlformats.org/officeDocument/2006/relationships/ctrlProp" Target="../ctrlProps/ctrlProp158.xml"/><Relationship Id="rId141" Type="http://schemas.openxmlformats.org/officeDocument/2006/relationships/ctrlProp" Target="../ctrlProps/ctrlProp174.xml"/><Relationship Id="rId146" Type="http://schemas.openxmlformats.org/officeDocument/2006/relationships/ctrlProp" Target="../ctrlProps/ctrlProp179.xml"/><Relationship Id="rId167" Type="http://schemas.openxmlformats.org/officeDocument/2006/relationships/ctrlProp" Target="../ctrlProps/ctrlProp200.xml"/><Relationship Id="rId188" Type="http://schemas.openxmlformats.org/officeDocument/2006/relationships/ctrlProp" Target="../ctrlProps/ctrlProp221.xml"/><Relationship Id="rId7" Type="http://schemas.openxmlformats.org/officeDocument/2006/relationships/ctrlProp" Target="../ctrlProps/ctrlProp40.xml"/><Relationship Id="rId71" Type="http://schemas.openxmlformats.org/officeDocument/2006/relationships/ctrlProp" Target="../ctrlProps/ctrlProp104.xml"/><Relationship Id="rId92" Type="http://schemas.openxmlformats.org/officeDocument/2006/relationships/ctrlProp" Target="../ctrlProps/ctrlProp125.xml"/><Relationship Id="rId162" Type="http://schemas.openxmlformats.org/officeDocument/2006/relationships/ctrlProp" Target="../ctrlProps/ctrlProp195.xml"/><Relationship Id="rId183" Type="http://schemas.openxmlformats.org/officeDocument/2006/relationships/ctrlProp" Target="../ctrlProps/ctrlProp216.xml"/><Relationship Id="rId2" Type="http://schemas.openxmlformats.org/officeDocument/2006/relationships/drawing" Target="../drawings/drawing50.xml"/><Relationship Id="rId29" Type="http://schemas.openxmlformats.org/officeDocument/2006/relationships/ctrlProp" Target="../ctrlProps/ctrlProp62.xml"/><Relationship Id="rId24" Type="http://schemas.openxmlformats.org/officeDocument/2006/relationships/ctrlProp" Target="../ctrlProps/ctrlProp57.xml"/><Relationship Id="rId40" Type="http://schemas.openxmlformats.org/officeDocument/2006/relationships/ctrlProp" Target="../ctrlProps/ctrlProp73.xml"/><Relationship Id="rId45" Type="http://schemas.openxmlformats.org/officeDocument/2006/relationships/ctrlProp" Target="../ctrlProps/ctrlProp78.xml"/><Relationship Id="rId66" Type="http://schemas.openxmlformats.org/officeDocument/2006/relationships/ctrlProp" Target="../ctrlProps/ctrlProp99.xml"/><Relationship Id="rId87" Type="http://schemas.openxmlformats.org/officeDocument/2006/relationships/ctrlProp" Target="../ctrlProps/ctrlProp120.xml"/><Relationship Id="rId110" Type="http://schemas.openxmlformats.org/officeDocument/2006/relationships/ctrlProp" Target="../ctrlProps/ctrlProp143.xml"/><Relationship Id="rId115" Type="http://schemas.openxmlformats.org/officeDocument/2006/relationships/ctrlProp" Target="../ctrlProps/ctrlProp148.xml"/><Relationship Id="rId131" Type="http://schemas.openxmlformats.org/officeDocument/2006/relationships/ctrlProp" Target="../ctrlProps/ctrlProp164.xml"/><Relationship Id="rId136" Type="http://schemas.openxmlformats.org/officeDocument/2006/relationships/ctrlProp" Target="../ctrlProps/ctrlProp169.xml"/><Relationship Id="rId157" Type="http://schemas.openxmlformats.org/officeDocument/2006/relationships/ctrlProp" Target="../ctrlProps/ctrlProp190.xml"/><Relationship Id="rId178" Type="http://schemas.openxmlformats.org/officeDocument/2006/relationships/ctrlProp" Target="../ctrlProps/ctrlProp211.xml"/><Relationship Id="rId61" Type="http://schemas.openxmlformats.org/officeDocument/2006/relationships/ctrlProp" Target="../ctrlProps/ctrlProp94.xml"/><Relationship Id="rId82" Type="http://schemas.openxmlformats.org/officeDocument/2006/relationships/ctrlProp" Target="../ctrlProps/ctrlProp115.xml"/><Relationship Id="rId152" Type="http://schemas.openxmlformats.org/officeDocument/2006/relationships/ctrlProp" Target="../ctrlProps/ctrlProp185.xml"/><Relationship Id="rId173" Type="http://schemas.openxmlformats.org/officeDocument/2006/relationships/ctrlProp" Target="../ctrlProps/ctrlProp206.xml"/><Relationship Id="rId19" Type="http://schemas.openxmlformats.org/officeDocument/2006/relationships/ctrlProp" Target="../ctrlProps/ctrlProp52.xml"/><Relationship Id="rId14" Type="http://schemas.openxmlformats.org/officeDocument/2006/relationships/ctrlProp" Target="../ctrlProps/ctrlProp47.xml"/><Relationship Id="rId30" Type="http://schemas.openxmlformats.org/officeDocument/2006/relationships/ctrlProp" Target="../ctrlProps/ctrlProp63.xml"/><Relationship Id="rId35" Type="http://schemas.openxmlformats.org/officeDocument/2006/relationships/ctrlProp" Target="../ctrlProps/ctrlProp68.xml"/><Relationship Id="rId56" Type="http://schemas.openxmlformats.org/officeDocument/2006/relationships/ctrlProp" Target="../ctrlProps/ctrlProp89.xml"/><Relationship Id="rId77" Type="http://schemas.openxmlformats.org/officeDocument/2006/relationships/ctrlProp" Target="../ctrlProps/ctrlProp110.xml"/><Relationship Id="rId100" Type="http://schemas.openxmlformats.org/officeDocument/2006/relationships/ctrlProp" Target="../ctrlProps/ctrlProp133.xml"/><Relationship Id="rId105" Type="http://schemas.openxmlformats.org/officeDocument/2006/relationships/ctrlProp" Target="../ctrlProps/ctrlProp138.xml"/><Relationship Id="rId126" Type="http://schemas.openxmlformats.org/officeDocument/2006/relationships/ctrlProp" Target="../ctrlProps/ctrlProp159.xml"/><Relationship Id="rId147" Type="http://schemas.openxmlformats.org/officeDocument/2006/relationships/ctrlProp" Target="../ctrlProps/ctrlProp180.xml"/><Relationship Id="rId168" Type="http://schemas.openxmlformats.org/officeDocument/2006/relationships/ctrlProp" Target="../ctrlProps/ctrlProp201.xml"/><Relationship Id="rId8" Type="http://schemas.openxmlformats.org/officeDocument/2006/relationships/ctrlProp" Target="../ctrlProps/ctrlProp41.xml"/><Relationship Id="rId51" Type="http://schemas.openxmlformats.org/officeDocument/2006/relationships/ctrlProp" Target="../ctrlProps/ctrlProp84.xml"/><Relationship Id="rId72" Type="http://schemas.openxmlformats.org/officeDocument/2006/relationships/ctrlProp" Target="../ctrlProps/ctrlProp105.xml"/><Relationship Id="rId93" Type="http://schemas.openxmlformats.org/officeDocument/2006/relationships/ctrlProp" Target="../ctrlProps/ctrlProp126.xml"/><Relationship Id="rId98" Type="http://schemas.openxmlformats.org/officeDocument/2006/relationships/ctrlProp" Target="../ctrlProps/ctrlProp131.xml"/><Relationship Id="rId121" Type="http://schemas.openxmlformats.org/officeDocument/2006/relationships/ctrlProp" Target="../ctrlProps/ctrlProp154.xml"/><Relationship Id="rId142" Type="http://schemas.openxmlformats.org/officeDocument/2006/relationships/ctrlProp" Target="../ctrlProps/ctrlProp175.xml"/><Relationship Id="rId163" Type="http://schemas.openxmlformats.org/officeDocument/2006/relationships/ctrlProp" Target="../ctrlProps/ctrlProp196.xml"/><Relationship Id="rId184" Type="http://schemas.openxmlformats.org/officeDocument/2006/relationships/ctrlProp" Target="../ctrlProps/ctrlProp217.xml"/><Relationship Id="rId189" Type="http://schemas.openxmlformats.org/officeDocument/2006/relationships/ctrlProp" Target="../ctrlProps/ctrlProp222.xml"/><Relationship Id="rId3" Type="http://schemas.openxmlformats.org/officeDocument/2006/relationships/vmlDrawing" Target="../drawings/vmlDrawing13.vml"/><Relationship Id="rId25" Type="http://schemas.openxmlformats.org/officeDocument/2006/relationships/ctrlProp" Target="../ctrlProps/ctrlProp58.xml"/><Relationship Id="rId46" Type="http://schemas.openxmlformats.org/officeDocument/2006/relationships/ctrlProp" Target="../ctrlProps/ctrlProp79.xml"/><Relationship Id="rId67" Type="http://schemas.openxmlformats.org/officeDocument/2006/relationships/ctrlProp" Target="../ctrlProps/ctrlProp100.xml"/><Relationship Id="rId116" Type="http://schemas.openxmlformats.org/officeDocument/2006/relationships/ctrlProp" Target="../ctrlProps/ctrlProp149.xml"/><Relationship Id="rId137" Type="http://schemas.openxmlformats.org/officeDocument/2006/relationships/ctrlProp" Target="../ctrlProps/ctrlProp170.xml"/><Relationship Id="rId158" Type="http://schemas.openxmlformats.org/officeDocument/2006/relationships/ctrlProp" Target="../ctrlProps/ctrlProp191.xml"/><Relationship Id="rId20" Type="http://schemas.openxmlformats.org/officeDocument/2006/relationships/ctrlProp" Target="../ctrlProps/ctrlProp53.xml"/><Relationship Id="rId41" Type="http://schemas.openxmlformats.org/officeDocument/2006/relationships/ctrlProp" Target="../ctrlProps/ctrlProp74.xml"/><Relationship Id="rId62" Type="http://schemas.openxmlformats.org/officeDocument/2006/relationships/ctrlProp" Target="../ctrlProps/ctrlProp95.xml"/><Relationship Id="rId83" Type="http://schemas.openxmlformats.org/officeDocument/2006/relationships/ctrlProp" Target="../ctrlProps/ctrlProp116.xml"/><Relationship Id="rId88" Type="http://schemas.openxmlformats.org/officeDocument/2006/relationships/ctrlProp" Target="../ctrlProps/ctrlProp121.xml"/><Relationship Id="rId111" Type="http://schemas.openxmlformats.org/officeDocument/2006/relationships/ctrlProp" Target="../ctrlProps/ctrlProp144.xml"/><Relationship Id="rId132" Type="http://schemas.openxmlformats.org/officeDocument/2006/relationships/ctrlProp" Target="../ctrlProps/ctrlProp165.xml"/><Relationship Id="rId153" Type="http://schemas.openxmlformats.org/officeDocument/2006/relationships/ctrlProp" Target="../ctrlProps/ctrlProp186.xml"/><Relationship Id="rId174" Type="http://schemas.openxmlformats.org/officeDocument/2006/relationships/ctrlProp" Target="../ctrlProps/ctrlProp207.xml"/><Relationship Id="rId179" Type="http://schemas.openxmlformats.org/officeDocument/2006/relationships/ctrlProp" Target="../ctrlProps/ctrlProp212.xml"/><Relationship Id="rId190" Type="http://schemas.openxmlformats.org/officeDocument/2006/relationships/ctrlProp" Target="../ctrlProps/ctrlProp223.xml"/><Relationship Id="rId15" Type="http://schemas.openxmlformats.org/officeDocument/2006/relationships/ctrlProp" Target="../ctrlProps/ctrlProp48.xml"/><Relationship Id="rId36" Type="http://schemas.openxmlformats.org/officeDocument/2006/relationships/ctrlProp" Target="../ctrlProps/ctrlProp69.xml"/><Relationship Id="rId57" Type="http://schemas.openxmlformats.org/officeDocument/2006/relationships/ctrlProp" Target="../ctrlProps/ctrlProp90.xml"/><Relationship Id="rId106" Type="http://schemas.openxmlformats.org/officeDocument/2006/relationships/ctrlProp" Target="../ctrlProps/ctrlProp139.xml"/><Relationship Id="rId127" Type="http://schemas.openxmlformats.org/officeDocument/2006/relationships/ctrlProp" Target="../ctrlProps/ctrlProp160.xml"/><Relationship Id="rId10" Type="http://schemas.openxmlformats.org/officeDocument/2006/relationships/ctrlProp" Target="../ctrlProps/ctrlProp43.xml"/><Relationship Id="rId31" Type="http://schemas.openxmlformats.org/officeDocument/2006/relationships/ctrlProp" Target="../ctrlProps/ctrlProp64.xml"/><Relationship Id="rId52" Type="http://schemas.openxmlformats.org/officeDocument/2006/relationships/ctrlProp" Target="../ctrlProps/ctrlProp85.xml"/><Relationship Id="rId73" Type="http://schemas.openxmlformats.org/officeDocument/2006/relationships/ctrlProp" Target="../ctrlProps/ctrlProp106.xml"/><Relationship Id="rId78" Type="http://schemas.openxmlformats.org/officeDocument/2006/relationships/ctrlProp" Target="../ctrlProps/ctrlProp111.xml"/><Relationship Id="rId94" Type="http://schemas.openxmlformats.org/officeDocument/2006/relationships/ctrlProp" Target="../ctrlProps/ctrlProp127.xml"/><Relationship Id="rId99" Type="http://schemas.openxmlformats.org/officeDocument/2006/relationships/ctrlProp" Target="../ctrlProps/ctrlProp132.xml"/><Relationship Id="rId101" Type="http://schemas.openxmlformats.org/officeDocument/2006/relationships/ctrlProp" Target="../ctrlProps/ctrlProp134.xml"/><Relationship Id="rId122" Type="http://schemas.openxmlformats.org/officeDocument/2006/relationships/ctrlProp" Target="../ctrlProps/ctrlProp155.xml"/><Relationship Id="rId143" Type="http://schemas.openxmlformats.org/officeDocument/2006/relationships/ctrlProp" Target="../ctrlProps/ctrlProp176.xml"/><Relationship Id="rId148" Type="http://schemas.openxmlformats.org/officeDocument/2006/relationships/ctrlProp" Target="../ctrlProps/ctrlProp181.xml"/><Relationship Id="rId164" Type="http://schemas.openxmlformats.org/officeDocument/2006/relationships/ctrlProp" Target="../ctrlProps/ctrlProp197.xml"/><Relationship Id="rId169" Type="http://schemas.openxmlformats.org/officeDocument/2006/relationships/ctrlProp" Target="../ctrlProps/ctrlProp202.xml"/><Relationship Id="rId185" Type="http://schemas.openxmlformats.org/officeDocument/2006/relationships/ctrlProp" Target="../ctrlProps/ctrlProp218.xml"/><Relationship Id="rId4" Type="http://schemas.openxmlformats.org/officeDocument/2006/relationships/ctrlProp" Target="../ctrlProps/ctrlProp37.xml"/><Relationship Id="rId9" Type="http://schemas.openxmlformats.org/officeDocument/2006/relationships/ctrlProp" Target="../ctrlProps/ctrlProp42.xml"/><Relationship Id="rId180" Type="http://schemas.openxmlformats.org/officeDocument/2006/relationships/ctrlProp" Target="../ctrlProps/ctrlProp213.xml"/><Relationship Id="rId26" Type="http://schemas.openxmlformats.org/officeDocument/2006/relationships/ctrlProp" Target="../ctrlProps/ctrlProp59.xml"/><Relationship Id="rId47" Type="http://schemas.openxmlformats.org/officeDocument/2006/relationships/ctrlProp" Target="../ctrlProps/ctrlProp80.xml"/><Relationship Id="rId68" Type="http://schemas.openxmlformats.org/officeDocument/2006/relationships/ctrlProp" Target="../ctrlProps/ctrlProp101.xml"/><Relationship Id="rId89" Type="http://schemas.openxmlformats.org/officeDocument/2006/relationships/ctrlProp" Target="../ctrlProps/ctrlProp122.xml"/><Relationship Id="rId112" Type="http://schemas.openxmlformats.org/officeDocument/2006/relationships/ctrlProp" Target="../ctrlProps/ctrlProp145.xml"/><Relationship Id="rId133" Type="http://schemas.openxmlformats.org/officeDocument/2006/relationships/ctrlProp" Target="../ctrlProps/ctrlProp166.xml"/><Relationship Id="rId154" Type="http://schemas.openxmlformats.org/officeDocument/2006/relationships/ctrlProp" Target="../ctrlProps/ctrlProp187.xml"/><Relationship Id="rId175" Type="http://schemas.openxmlformats.org/officeDocument/2006/relationships/ctrlProp" Target="../ctrlProps/ctrlProp208.xml"/><Relationship Id="rId16" Type="http://schemas.openxmlformats.org/officeDocument/2006/relationships/ctrlProp" Target="../ctrlProps/ctrlProp49.xml"/><Relationship Id="rId37" Type="http://schemas.openxmlformats.org/officeDocument/2006/relationships/ctrlProp" Target="../ctrlProps/ctrlProp70.xml"/><Relationship Id="rId58" Type="http://schemas.openxmlformats.org/officeDocument/2006/relationships/ctrlProp" Target="../ctrlProps/ctrlProp91.xml"/><Relationship Id="rId79" Type="http://schemas.openxmlformats.org/officeDocument/2006/relationships/ctrlProp" Target="../ctrlProps/ctrlProp112.xml"/><Relationship Id="rId102" Type="http://schemas.openxmlformats.org/officeDocument/2006/relationships/ctrlProp" Target="../ctrlProps/ctrlProp135.xml"/><Relationship Id="rId123" Type="http://schemas.openxmlformats.org/officeDocument/2006/relationships/ctrlProp" Target="../ctrlProps/ctrlProp156.xml"/><Relationship Id="rId144" Type="http://schemas.openxmlformats.org/officeDocument/2006/relationships/ctrlProp" Target="../ctrlProps/ctrlProp177.xml"/><Relationship Id="rId90" Type="http://schemas.openxmlformats.org/officeDocument/2006/relationships/ctrlProp" Target="../ctrlProps/ctrlProp123.xml"/><Relationship Id="rId165" Type="http://schemas.openxmlformats.org/officeDocument/2006/relationships/ctrlProp" Target="../ctrlProps/ctrlProp198.xml"/><Relationship Id="rId186" Type="http://schemas.openxmlformats.org/officeDocument/2006/relationships/ctrlProp" Target="../ctrlProps/ctrlProp219.xml"/><Relationship Id="rId27" Type="http://schemas.openxmlformats.org/officeDocument/2006/relationships/ctrlProp" Target="../ctrlProps/ctrlProp60.xml"/><Relationship Id="rId48" Type="http://schemas.openxmlformats.org/officeDocument/2006/relationships/ctrlProp" Target="../ctrlProps/ctrlProp81.xml"/><Relationship Id="rId69" Type="http://schemas.openxmlformats.org/officeDocument/2006/relationships/ctrlProp" Target="../ctrlProps/ctrlProp102.xml"/><Relationship Id="rId113" Type="http://schemas.openxmlformats.org/officeDocument/2006/relationships/ctrlProp" Target="../ctrlProps/ctrlProp146.xml"/><Relationship Id="rId134" Type="http://schemas.openxmlformats.org/officeDocument/2006/relationships/ctrlProp" Target="../ctrlProps/ctrlProp167.xml"/><Relationship Id="rId80" Type="http://schemas.openxmlformats.org/officeDocument/2006/relationships/ctrlProp" Target="../ctrlProps/ctrlProp113.xml"/><Relationship Id="rId155" Type="http://schemas.openxmlformats.org/officeDocument/2006/relationships/ctrlProp" Target="../ctrlProps/ctrlProp188.xml"/><Relationship Id="rId176" Type="http://schemas.openxmlformats.org/officeDocument/2006/relationships/ctrlProp" Target="../ctrlProps/ctrlProp209.xml"/><Relationship Id="rId17" Type="http://schemas.openxmlformats.org/officeDocument/2006/relationships/ctrlProp" Target="../ctrlProps/ctrlProp50.xml"/><Relationship Id="rId38" Type="http://schemas.openxmlformats.org/officeDocument/2006/relationships/ctrlProp" Target="../ctrlProps/ctrlProp71.xml"/><Relationship Id="rId59" Type="http://schemas.openxmlformats.org/officeDocument/2006/relationships/ctrlProp" Target="../ctrlProps/ctrlProp92.xml"/><Relationship Id="rId103" Type="http://schemas.openxmlformats.org/officeDocument/2006/relationships/ctrlProp" Target="../ctrlProps/ctrlProp136.xml"/><Relationship Id="rId124" Type="http://schemas.openxmlformats.org/officeDocument/2006/relationships/ctrlProp" Target="../ctrlProps/ctrlProp157.xml"/><Relationship Id="rId70" Type="http://schemas.openxmlformats.org/officeDocument/2006/relationships/ctrlProp" Target="../ctrlProps/ctrlProp103.xml"/><Relationship Id="rId91" Type="http://schemas.openxmlformats.org/officeDocument/2006/relationships/ctrlProp" Target="../ctrlProps/ctrlProp124.xml"/><Relationship Id="rId145" Type="http://schemas.openxmlformats.org/officeDocument/2006/relationships/ctrlProp" Target="../ctrlProps/ctrlProp178.xml"/><Relationship Id="rId166" Type="http://schemas.openxmlformats.org/officeDocument/2006/relationships/ctrlProp" Target="../ctrlProps/ctrlProp199.xml"/><Relationship Id="rId187" Type="http://schemas.openxmlformats.org/officeDocument/2006/relationships/ctrlProp" Target="../ctrlProps/ctrlProp220.xml"/><Relationship Id="rId1" Type="http://schemas.openxmlformats.org/officeDocument/2006/relationships/printerSettings" Target="../printerSettings/printerSettings43.bin"/><Relationship Id="rId28" Type="http://schemas.openxmlformats.org/officeDocument/2006/relationships/ctrlProp" Target="../ctrlProps/ctrlProp61.xml"/><Relationship Id="rId49" Type="http://schemas.openxmlformats.org/officeDocument/2006/relationships/ctrlProp" Target="../ctrlProps/ctrlProp82.xml"/><Relationship Id="rId114" Type="http://schemas.openxmlformats.org/officeDocument/2006/relationships/ctrlProp" Target="../ctrlProps/ctrlProp147.xml"/><Relationship Id="rId60" Type="http://schemas.openxmlformats.org/officeDocument/2006/relationships/ctrlProp" Target="../ctrlProps/ctrlProp93.xml"/><Relationship Id="rId81" Type="http://schemas.openxmlformats.org/officeDocument/2006/relationships/ctrlProp" Target="../ctrlProps/ctrlProp114.xml"/><Relationship Id="rId135" Type="http://schemas.openxmlformats.org/officeDocument/2006/relationships/ctrlProp" Target="../ctrlProps/ctrlProp168.xml"/><Relationship Id="rId156" Type="http://schemas.openxmlformats.org/officeDocument/2006/relationships/ctrlProp" Target="../ctrlProps/ctrlProp189.xml"/><Relationship Id="rId177" Type="http://schemas.openxmlformats.org/officeDocument/2006/relationships/ctrlProp" Target="../ctrlProps/ctrlProp210.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
  <sheetViews>
    <sheetView showGridLines="0" showRowColHeaders="0" zoomScale="125" zoomScaleNormal="125" workbookViewId="0"/>
  </sheetViews>
  <sheetFormatPr defaultRowHeight="12.75" x14ac:dyDescent="0.2"/>
  <sheetData>
    <row r="3" spans="2:2" ht="20.25" x14ac:dyDescent="0.3">
      <c r="B3" s="23" t="s">
        <v>0</v>
      </c>
    </row>
  </sheetData>
  <sheetProtection sheet="1" objects="1" scenarios="1"/>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
  <sheetViews>
    <sheetView showGridLines="0" showRowColHeaders="0" zoomScaleNormal="100" workbookViewId="0"/>
  </sheetViews>
  <sheetFormatPr defaultColWidth="9.140625" defaultRowHeight="12.75" x14ac:dyDescent="0.2"/>
  <cols>
    <col min="1" max="16384" width="9.140625" style="187"/>
  </cols>
  <sheetData>
    <row r="2" spans="2:2" ht="20.25" x14ac:dyDescent="0.3">
      <c r="B2" s="186" t="s">
        <v>32</v>
      </c>
    </row>
  </sheetData>
  <sheetProtection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FD76-33DA-49C1-98F6-9AD872537590}">
  <dimension ref="B2"/>
  <sheetViews>
    <sheetView showGridLines="0" showRowColHeaders="0" topLeftCell="A4" zoomScaleNormal="100" workbookViewId="0"/>
  </sheetViews>
  <sheetFormatPr defaultColWidth="9.140625" defaultRowHeight="12.75" x14ac:dyDescent="0.2"/>
  <cols>
    <col min="1" max="16384" width="9.140625" style="187"/>
  </cols>
  <sheetData>
    <row r="2" spans="2:2" ht="20.25" x14ac:dyDescent="0.3">
      <c r="B2" s="186" t="s">
        <v>33</v>
      </c>
    </row>
  </sheetData>
  <sheetProtection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L12"/>
  <sheetViews>
    <sheetView showGridLines="0" showRowColHeaders="0" zoomScaleNormal="100" workbookViewId="0"/>
  </sheetViews>
  <sheetFormatPr defaultColWidth="9.140625" defaultRowHeight="12.75" x14ac:dyDescent="0.2"/>
  <cols>
    <col min="1" max="16384" width="9.140625" style="187"/>
  </cols>
  <sheetData>
    <row r="3" spans="2:12" ht="20.25" x14ac:dyDescent="0.2">
      <c r="B3" s="312" t="s">
        <v>34</v>
      </c>
    </row>
    <row r="11" spans="2:12" x14ac:dyDescent="0.2">
      <c r="L11" s="175"/>
    </row>
    <row r="12" spans="2:12" x14ac:dyDescent="0.2">
      <c r="L12" s="175"/>
    </row>
  </sheetData>
  <sheetProtection sheet="1" objects="1" scenarios="1"/>
  <pageMargins left="0.7" right="0.7" top="0.75" bottom="0.75" header="0.3" footer="0.3"/>
  <pageSetup paperSize="9" orientation="portrait" horizontalDpi="4294967293"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L12"/>
  <sheetViews>
    <sheetView showGridLines="0" showRowColHeaders="0" topLeftCell="A7" zoomScale="125" zoomScaleNormal="125" workbookViewId="0"/>
  </sheetViews>
  <sheetFormatPr defaultColWidth="9.140625" defaultRowHeight="12.75" x14ac:dyDescent="0.2"/>
  <cols>
    <col min="1" max="16384" width="9.140625" style="187"/>
  </cols>
  <sheetData>
    <row r="3" spans="2:12" ht="20.25" x14ac:dyDescent="0.2">
      <c r="B3" s="312" t="s">
        <v>35</v>
      </c>
    </row>
    <row r="11" spans="2:12" x14ac:dyDescent="0.2">
      <c r="L11" s="175"/>
    </row>
    <row r="12" spans="2:12" x14ac:dyDescent="0.2">
      <c r="L12" s="175"/>
    </row>
  </sheetData>
  <sheetProtection sheet="1" objects="1" scenarios="1"/>
  <pageMargins left="0.7" right="0.7" top="0.75" bottom="0.75" header="0.3" footer="0.3"/>
  <pageSetup paperSize="9" orientation="portrait" horizontalDpi="4294967293"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L12"/>
  <sheetViews>
    <sheetView showGridLines="0" showRowColHeaders="0" zoomScale="125" zoomScaleNormal="125" workbookViewId="0"/>
  </sheetViews>
  <sheetFormatPr defaultColWidth="9.140625" defaultRowHeight="12.75" x14ac:dyDescent="0.2"/>
  <cols>
    <col min="1" max="16384" width="9.140625" style="187"/>
  </cols>
  <sheetData>
    <row r="3" spans="2:12" ht="20.25" x14ac:dyDescent="0.2">
      <c r="B3" s="312" t="s">
        <v>36</v>
      </c>
    </row>
    <row r="11" spans="2:12" x14ac:dyDescent="0.2">
      <c r="L11" s="175"/>
    </row>
    <row r="12" spans="2:12" x14ac:dyDescent="0.2">
      <c r="L12" s="175"/>
    </row>
  </sheetData>
  <sheetProtection sheet="1" objects="1" scenarios="1"/>
  <pageMargins left="0.7" right="0.7" top="0.75" bottom="0.75" header="0.3" footer="0.3"/>
  <pageSetup paperSize="9" orientation="portrait" horizontalDpi="4294967293"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44E9A-61C4-4FC6-B794-EF35D21A359A}">
  <dimension ref="B3:L12"/>
  <sheetViews>
    <sheetView showGridLines="0" showRowColHeaders="0" zoomScaleNormal="100" workbookViewId="0"/>
  </sheetViews>
  <sheetFormatPr defaultColWidth="9.140625" defaultRowHeight="12.75" x14ac:dyDescent="0.2"/>
  <cols>
    <col min="1" max="16384" width="9.140625" style="187"/>
  </cols>
  <sheetData>
    <row r="3" spans="2:12" ht="20.25" x14ac:dyDescent="0.2">
      <c r="B3" s="312" t="s">
        <v>485</v>
      </c>
    </row>
    <row r="11" spans="2:12" x14ac:dyDescent="0.2">
      <c r="L11" s="175"/>
    </row>
    <row r="12" spans="2:12" x14ac:dyDescent="0.2">
      <c r="L12" s="175"/>
    </row>
  </sheetData>
  <pageMargins left="0.7" right="0.7" top="0.75" bottom="0.75" header="0.3" footer="0.3"/>
  <pageSetup paperSize="9" orientation="portrait" horizontalDpi="4294967293"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BBB1-FB70-4F60-A344-2750E7F10610}">
  <sheetPr>
    <pageSetUpPr fitToPage="1"/>
  </sheetPr>
  <dimension ref="B3:B58"/>
  <sheetViews>
    <sheetView showGridLines="0" showRowColHeaders="0" zoomScale="80" zoomScaleNormal="80" workbookViewId="0">
      <selection activeCell="V25" sqref="V25"/>
    </sheetView>
  </sheetViews>
  <sheetFormatPr defaultColWidth="9.140625" defaultRowHeight="12.75" x14ac:dyDescent="0.2"/>
  <cols>
    <col min="1" max="7" width="9.140625" style="187"/>
    <col min="8" max="8" width="8.7109375" style="187" customWidth="1"/>
    <col min="9" max="16" width="9.140625" style="187"/>
    <col min="17" max="17" width="7.140625" style="187" customWidth="1"/>
    <col min="18" max="16384" width="9.140625" style="187"/>
  </cols>
  <sheetData>
    <row r="3" spans="2:2" x14ac:dyDescent="0.2">
      <c r="B3" s="934" t="s">
        <v>519</v>
      </c>
    </row>
    <row r="8" spans="2:2" x14ac:dyDescent="0.2">
      <c r="B8" s="935" t="s">
        <v>518</v>
      </c>
    </row>
    <row r="9" spans="2:2" x14ac:dyDescent="0.2">
      <c r="B9" s="187" t="s">
        <v>513</v>
      </c>
    </row>
    <row r="10" spans="2:2" x14ac:dyDescent="0.2">
      <c r="B10" s="187" t="s">
        <v>514</v>
      </c>
    </row>
    <row r="11" spans="2:2" x14ac:dyDescent="0.2">
      <c r="B11" s="187" t="s">
        <v>515</v>
      </c>
    </row>
    <row r="18" spans="2:2" x14ac:dyDescent="0.2">
      <c r="B18" s="935" t="s">
        <v>558</v>
      </c>
    </row>
    <row r="19" spans="2:2" x14ac:dyDescent="0.2">
      <c r="B19" s="187" t="s">
        <v>559</v>
      </c>
    </row>
    <row r="20" spans="2:2" x14ac:dyDescent="0.2">
      <c r="B20" s="187" t="s">
        <v>516</v>
      </c>
    </row>
    <row r="32" spans="2:2" x14ac:dyDescent="0.2">
      <c r="B32" s="935" t="s">
        <v>560</v>
      </c>
    </row>
    <row r="33" spans="2:2" x14ac:dyDescent="0.2">
      <c r="B33" s="187" t="s">
        <v>517</v>
      </c>
    </row>
    <row r="34" spans="2:2" x14ac:dyDescent="0.2">
      <c r="B34" s="187" t="s">
        <v>516</v>
      </c>
    </row>
    <row r="38" spans="2:2" x14ac:dyDescent="0.2">
      <c r="B38" s="935" t="s">
        <v>561</v>
      </c>
    </row>
    <row r="39" spans="2:2" x14ac:dyDescent="0.2">
      <c r="B39" s="187" t="s">
        <v>562</v>
      </c>
    </row>
    <row r="40" spans="2:2" x14ac:dyDescent="0.2">
      <c r="B40" s="187" t="s">
        <v>563</v>
      </c>
    </row>
    <row r="41" spans="2:2" x14ac:dyDescent="0.2">
      <c r="B41" s="187" t="s">
        <v>564</v>
      </c>
    </row>
    <row r="43" spans="2:2" x14ac:dyDescent="0.2">
      <c r="B43" s="936" t="s">
        <v>565</v>
      </c>
    </row>
    <row r="52" spans="2:2" x14ac:dyDescent="0.2">
      <c r="B52" s="935" t="s">
        <v>566</v>
      </c>
    </row>
    <row r="53" spans="2:2" x14ac:dyDescent="0.2">
      <c r="B53" s="187" t="s">
        <v>517</v>
      </c>
    </row>
    <row r="54" spans="2:2" x14ac:dyDescent="0.2">
      <c r="B54" s="187" t="s">
        <v>567</v>
      </c>
    </row>
    <row r="55" spans="2:2" x14ac:dyDescent="0.2">
      <c r="B55" s="187" t="s">
        <v>568</v>
      </c>
    </row>
    <row r="57" spans="2:2" x14ac:dyDescent="0.2">
      <c r="B57" s="937" t="s">
        <v>569</v>
      </c>
    </row>
    <row r="58" spans="2:2" x14ac:dyDescent="0.2">
      <c r="B58" s="935"/>
    </row>
  </sheetData>
  <sheetProtection algorithmName="SHA-512" hashValue="4spZwxbASUT49+Q0zlACbTCJNpJvsdG0DzwtnFRguC6fixtFxKD0v9b/xKMAdFnVpQJ6ibkegpWmtlcTmaTFFA==" saltValue="mqzFd6GbBeriQwRg1+IV+Q==" spinCount="100000" sheet="1" objects="1" scenarios="1"/>
  <pageMargins left="0.23622047244094491" right="0.23622047244094491" top="0.74803149606299213" bottom="0.74803149606299213" header="0.31496062992125984" footer="0.31496062992125984"/>
  <pageSetup paperSize="9" scale="75" orientation="landscape" horizontalDpi="4294967293" verticalDpi="0" r:id="rId1"/>
  <headerFooter>
    <oddHeader>&amp;C&amp;"Arial,Vet"Zo werk je met het groepsplan - gemakkelijk en eenvoudig!</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27">
    <tabColor rgb="FFCCFFFF"/>
    <pageSetUpPr fitToPage="1"/>
  </sheetPr>
  <dimension ref="A1:AD65"/>
  <sheetViews>
    <sheetView showGridLines="0" showRowColHeaders="0" zoomScale="80" zoomScaleNormal="80" workbookViewId="0"/>
  </sheetViews>
  <sheetFormatPr defaultColWidth="9.140625" defaultRowHeight="12.75" x14ac:dyDescent="0.2"/>
  <cols>
    <col min="1" max="1" width="9.140625" style="2"/>
    <col min="2" max="2" width="4" style="6" bestFit="1" customWidth="1"/>
    <col min="3" max="3" width="20.85546875" style="5" customWidth="1"/>
    <col min="4" max="8" width="5.85546875" style="3" customWidth="1"/>
    <col min="9" max="10" width="5.85546875" style="3" hidden="1" customWidth="1"/>
    <col min="11" max="13" width="5.85546875" style="3" customWidth="1"/>
    <col min="14" max="17" width="5.85546875" style="728" customWidth="1"/>
    <col min="18" max="18" width="9.140625" style="2" customWidth="1"/>
    <col min="19" max="19" width="4" style="6" bestFit="1" customWidth="1"/>
    <col min="20" max="20" width="20.85546875" style="5" customWidth="1"/>
    <col min="21" max="25" width="5.85546875" style="3" customWidth="1"/>
    <col min="26" max="27" width="5.85546875" style="3" hidden="1" customWidth="1"/>
    <col min="28" max="30" width="5.85546875" style="3" customWidth="1"/>
    <col min="31" max="16384" width="9.140625" style="2"/>
  </cols>
  <sheetData>
    <row r="1" spans="1:30" ht="15.75" thickBot="1" x14ac:dyDescent="0.25">
      <c r="A1" s="429"/>
      <c r="B1" s="697"/>
      <c r="C1" s="58"/>
      <c r="D1" s="698"/>
      <c r="E1" s="698"/>
      <c r="F1" s="698"/>
      <c r="G1" s="698"/>
      <c r="H1" s="698"/>
      <c r="I1" s="698"/>
      <c r="J1" s="698"/>
      <c r="K1" s="698"/>
      <c r="L1" s="698"/>
      <c r="M1" s="698"/>
      <c r="N1" s="726"/>
      <c r="O1" s="726"/>
      <c r="P1" s="726"/>
      <c r="Q1" s="726"/>
      <c r="R1" s="429"/>
      <c r="S1" s="697"/>
      <c r="T1" s="58"/>
      <c r="U1" s="698"/>
      <c r="V1" s="698"/>
      <c r="W1" s="698"/>
      <c r="X1" s="698"/>
      <c r="Y1" s="698"/>
      <c r="Z1" s="698"/>
      <c r="AA1" s="698"/>
      <c r="AB1" s="445" t="s">
        <v>37</v>
      </c>
      <c r="AC1" s="698"/>
      <c r="AD1" s="698"/>
    </row>
    <row r="2" spans="1:30" ht="30.75" thickBot="1" x14ac:dyDescent="0.25">
      <c r="A2" s="429"/>
      <c r="B2" s="697"/>
      <c r="C2" s="442" t="s">
        <v>38</v>
      </c>
      <c r="D2" s="938">
        <f>BEGINBLAD!$I$2</f>
        <v>0</v>
      </c>
      <c r="E2" s="939"/>
      <c r="F2" s="939"/>
      <c r="G2" s="939"/>
      <c r="H2" s="940"/>
      <c r="I2" s="698"/>
      <c r="J2" s="698"/>
      <c r="K2" s="698"/>
      <c r="L2" s="698"/>
      <c r="M2" s="698"/>
      <c r="N2" s="726"/>
      <c r="O2" s="941" t="s">
        <v>449</v>
      </c>
      <c r="P2" s="942"/>
      <c r="Q2" s="943"/>
      <c r="R2" s="429"/>
      <c r="S2" s="697"/>
      <c r="T2" s="441" t="s">
        <v>39</v>
      </c>
      <c r="U2" s="448">
        <v>50</v>
      </c>
      <c r="V2" s="448">
        <v>48</v>
      </c>
      <c r="W2" s="448">
        <v>49</v>
      </c>
      <c r="X2" s="448">
        <v>45</v>
      </c>
      <c r="Y2" s="448">
        <v>48</v>
      </c>
      <c r="Z2" s="698"/>
      <c r="AA2" s="698"/>
      <c r="AB2" s="443">
        <f>AVERAGE(U2:AA2)</f>
        <v>48</v>
      </c>
      <c r="AC2" s="698"/>
      <c r="AD2" s="698"/>
    </row>
    <row r="3" spans="1:30" ht="21.6" hidden="1" customHeight="1" x14ac:dyDescent="0.2">
      <c r="A3" s="429"/>
      <c r="B3" s="697"/>
      <c r="C3" s="8"/>
      <c r="D3" s="440"/>
      <c r="E3" s="440"/>
      <c r="F3" s="440"/>
      <c r="G3" s="440"/>
      <c r="H3" s="440"/>
      <c r="I3" s="698"/>
      <c r="J3" s="698"/>
      <c r="K3" s="698"/>
      <c r="L3" s="698"/>
      <c r="M3" s="698"/>
      <c r="N3" s="726"/>
      <c r="O3" s="944"/>
      <c r="P3" s="945"/>
      <c r="Q3" s="946"/>
      <c r="R3" s="429"/>
      <c r="S3" s="697"/>
      <c r="T3" s="436"/>
      <c r="U3" s="440">
        <f>U2+5</f>
        <v>55</v>
      </c>
      <c r="V3" s="440">
        <f t="shared" ref="V3:Y3" si="0">V2+5</f>
        <v>53</v>
      </c>
      <c r="W3" s="440">
        <f t="shared" si="0"/>
        <v>54</v>
      </c>
      <c r="X3" s="440">
        <f t="shared" si="0"/>
        <v>50</v>
      </c>
      <c r="Y3" s="440">
        <f t="shared" si="0"/>
        <v>53</v>
      </c>
      <c r="Z3" s="698"/>
      <c r="AA3" s="698"/>
      <c r="AB3" s="698"/>
      <c r="AC3" s="698"/>
      <c r="AD3" s="698"/>
    </row>
    <row r="4" spans="1:30" ht="21.6" hidden="1" customHeight="1" x14ac:dyDescent="0.2">
      <c r="A4" s="429"/>
      <c r="B4" s="697"/>
      <c r="C4" s="8"/>
      <c r="D4" s="440"/>
      <c r="E4" s="440"/>
      <c r="F4" s="440"/>
      <c r="G4" s="440"/>
      <c r="H4" s="440"/>
      <c r="I4" s="698"/>
      <c r="J4" s="698"/>
      <c r="K4" s="698"/>
      <c r="L4" s="698"/>
      <c r="M4" s="698"/>
      <c r="N4" s="726"/>
      <c r="O4" s="944"/>
      <c r="P4" s="945"/>
      <c r="Q4" s="946"/>
      <c r="R4" s="429"/>
      <c r="S4" s="697"/>
      <c r="T4" s="436"/>
      <c r="U4" s="440">
        <f>U2-5</f>
        <v>45</v>
      </c>
      <c r="V4" s="440">
        <f t="shared" ref="V4:Y4" si="1">V2-5</f>
        <v>43</v>
      </c>
      <c r="W4" s="440">
        <f t="shared" si="1"/>
        <v>44</v>
      </c>
      <c r="X4" s="440">
        <f t="shared" si="1"/>
        <v>40</v>
      </c>
      <c r="Y4" s="440">
        <f t="shared" si="1"/>
        <v>43</v>
      </c>
      <c r="Z4" s="698"/>
      <c r="AA4" s="698"/>
      <c r="AB4" s="698"/>
      <c r="AC4" s="698"/>
      <c r="AD4" s="698"/>
    </row>
    <row r="5" spans="1:30" x14ac:dyDescent="0.2">
      <c r="A5" s="429"/>
      <c r="B5" s="697"/>
      <c r="C5" s="58" t="s">
        <v>40</v>
      </c>
      <c r="D5" s="698"/>
      <c r="E5" s="698"/>
      <c r="F5" s="698"/>
      <c r="G5" s="698"/>
      <c r="H5" s="698"/>
      <c r="I5" s="698"/>
      <c r="J5" s="698"/>
      <c r="K5" s="698"/>
      <c r="L5" s="698"/>
      <c r="M5" s="698"/>
      <c r="N5" s="726"/>
      <c r="O5" s="944"/>
      <c r="P5" s="945"/>
      <c r="Q5" s="946"/>
      <c r="R5" s="429"/>
      <c r="S5" s="697"/>
      <c r="T5" s="58" t="s">
        <v>41</v>
      </c>
      <c r="U5" s="698"/>
      <c r="V5" s="698"/>
      <c r="W5" s="698"/>
      <c r="X5" s="698"/>
      <c r="Y5" s="698"/>
      <c r="Z5" s="698"/>
      <c r="AA5" s="698"/>
      <c r="AB5" s="698"/>
      <c r="AC5" s="698"/>
      <c r="AD5" s="698"/>
    </row>
    <row r="6" spans="1:30" ht="60" customHeight="1" thickBot="1" x14ac:dyDescent="0.25">
      <c r="A6" s="429"/>
      <c r="B6" s="697"/>
      <c r="C6" s="14" t="s">
        <v>42</v>
      </c>
      <c r="D6" s="188"/>
      <c r="E6" s="188"/>
      <c r="F6" s="188"/>
      <c r="G6" s="188"/>
      <c r="H6" s="188"/>
      <c r="I6" s="698"/>
      <c r="J6" s="698"/>
      <c r="K6" s="698"/>
      <c r="L6" s="698"/>
      <c r="M6" s="698"/>
      <c r="N6" s="726"/>
      <c r="O6" s="947"/>
      <c r="P6" s="948"/>
      <c r="Q6" s="949"/>
      <c r="R6" s="429"/>
      <c r="S6" s="697"/>
      <c r="T6" s="14" t="s">
        <v>42</v>
      </c>
      <c r="U6" s="188"/>
      <c r="V6" s="188"/>
      <c r="W6" s="188"/>
      <c r="X6" s="188"/>
      <c r="Y6" s="188"/>
      <c r="Z6" s="698"/>
      <c r="AA6" s="698"/>
      <c r="AB6" s="698"/>
      <c r="AC6" s="698"/>
      <c r="AD6" s="698"/>
    </row>
    <row r="7" spans="1:30" ht="5.0999999999999996" customHeight="1" x14ac:dyDescent="0.2">
      <c r="A7" s="429"/>
      <c r="B7" s="697"/>
      <c r="C7" s="7"/>
      <c r="D7" s="698"/>
      <c r="E7" s="698"/>
      <c r="F7" s="698"/>
      <c r="G7" s="698"/>
      <c r="H7" s="698"/>
      <c r="I7" s="698"/>
      <c r="J7" s="698"/>
      <c r="K7" s="698"/>
      <c r="L7" s="698"/>
      <c r="M7" s="698"/>
      <c r="N7" s="726"/>
      <c r="O7" s="726"/>
      <c r="P7" s="726"/>
      <c r="Q7" s="726"/>
      <c r="R7" s="429"/>
      <c r="S7" s="697"/>
      <c r="T7" s="7"/>
      <c r="U7" s="698"/>
      <c r="V7" s="698"/>
      <c r="W7" s="698"/>
      <c r="X7" s="698"/>
      <c r="Y7" s="698"/>
      <c r="Z7" s="698"/>
      <c r="AA7" s="698"/>
      <c r="AB7" s="698"/>
      <c r="AC7" s="698"/>
      <c r="AD7" s="698"/>
    </row>
    <row r="8" spans="1:30" ht="106.5" x14ac:dyDescent="0.2">
      <c r="A8" s="19" t="s">
        <v>43</v>
      </c>
      <c r="B8" s="699"/>
      <c r="C8" s="700" t="s">
        <v>44</v>
      </c>
      <c r="D8" s="189" t="s">
        <v>45</v>
      </c>
      <c r="E8" s="189" t="s">
        <v>46</v>
      </c>
      <c r="F8" s="189" t="s">
        <v>47</v>
      </c>
      <c r="G8" s="189" t="s">
        <v>48</v>
      </c>
      <c r="H8" s="189" t="s">
        <v>49</v>
      </c>
      <c r="I8" s="189" t="s">
        <v>50</v>
      </c>
      <c r="J8" s="189" t="s">
        <v>51</v>
      </c>
      <c r="K8" s="701"/>
      <c r="L8" s="41" t="s">
        <v>52</v>
      </c>
      <c r="M8" s="41" t="s">
        <v>53</v>
      </c>
      <c r="N8" s="15"/>
      <c r="O8" s="41" t="s">
        <v>451</v>
      </c>
      <c r="P8" s="41" t="s">
        <v>450</v>
      </c>
      <c r="Q8" s="41" t="s">
        <v>452</v>
      </c>
      <c r="R8" s="19" t="s">
        <v>43</v>
      </c>
      <c r="S8" s="699"/>
      <c r="T8" s="700" t="s">
        <v>44</v>
      </c>
      <c r="U8" s="189" t="s">
        <v>45</v>
      </c>
      <c r="V8" s="189" t="s">
        <v>46</v>
      </c>
      <c r="W8" s="189" t="s">
        <v>47</v>
      </c>
      <c r="X8" s="189" t="s">
        <v>48</v>
      </c>
      <c r="Y8" s="189" t="s">
        <v>49</v>
      </c>
      <c r="Z8" s="189" t="s">
        <v>50</v>
      </c>
      <c r="AA8" s="189" t="s">
        <v>51</v>
      </c>
      <c r="AB8" s="701"/>
      <c r="AC8" s="41" t="s">
        <v>52</v>
      </c>
      <c r="AD8" s="41" t="s">
        <v>54</v>
      </c>
    </row>
    <row r="9" spans="1:30" s="4" customFormat="1" ht="19.5" customHeight="1" x14ac:dyDescent="0.2">
      <c r="A9" s="17">
        <f>BEGINBLAD!D4</f>
        <v>0</v>
      </c>
      <c r="B9" s="40">
        <v>1</v>
      </c>
      <c r="C9" s="702" t="str">
        <f>BEGINBLAD!C4</f>
        <v>leelring 1</v>
      </c>
      <c r="D9" s="32">
        <v>2.2000000000000002</v>
      </c>
      <c r="E9" s="34">
        <v>2.2999999999999998</v>
      </c>
      <c r="F9" s="35">
        <v>3.5</v>
      </c>
      <c r="G9" s="32">
        <v>4.8</v>
      </c>
      <c r="H9" s="34">
        <v>2.1</v>
      </c>
      <c r="I9" s="599">
        <f>SUM(C9:H9)</f>
        <v>14.9</v>
      </c>
      <c r="J9" s="444">
        <f t="shared" ref="J9:J44" si="2">COUNTA(D9:H9)</f>
        <v>5</v>
      </c>
      <c r="K9" s="10"/>
      <c r="L9" s="42">
        <f t="shared" ref="L9:L44" si="3">IF(J9=0,"",IF(J9&gt;0,I9/J9))</f>
        <v>2.98</v>
      </c>
      <c r="M9" s="42" t="str">
        <f>IF(L9="","",IF(L9&gt;4.5,"A-1+",IF(L9&gt;4.2,"A-1",IF(L9&gt;=4,"A-2",IF(L9&gt;3.3,"B-2",IF(L9&gt;=3,"B-3",IF(L9&gt;2.4,"C-3",IF(L9&gt;=2,"C-4",IF(L9&gt;1.5,"D-4",IF(L9&gt;=1,"D-5",IF(L9&gt;0.5,"E-5",IF(L9&gt;=0,"E-5-"))))))))))))</f>
        <v>C-3</v>
      </c>
      <c r="N9" s="13"/>
      <c r="O9" s="729" t="s">
        <v>453</v>
      </c>
      <c r="P9" s="729" t="s">
        <v>526</v>
      </c>
      <c r="Q9" s="729" t="s">
        <v>453</v>
      </c>
      <c r="R9" s="17">
        <f>BEGINBLAD!D4</f>
        <v>0</v>
      </c>
      <c r="S9" s="40">
        <v>1</v>
      </c>
      <c r="T9" s="702" t="str">
        <f>BEGINBLAD!C4</f>
        <v>leelring 1</v>
      </c>
      <c r="U9" s="437">
        <v>50</v>
      </c>
      <c r="V9" s="437">
        <v>45</v>
      </c>
      <c r="W9" s="437">
        <v>50</v>
      </c>
      <c r="X9" s="437">
        <v>40</v>
      </c>
      <c r="Y9" s="437">
        <v>55</v>
      </c>
      <c r="Z9" s="444">
        <f t="shared" ref="Z9:Z42" si="4">SUM(U9:Y9)</f>
        <v>240</v>
      </c>
      <c r="AA9" s="444">
        <f t="shared" ref="AA9:AA42" si="5">COUNTA(U9:Y9)</f>
        <v>5</v>
      </c>
      <c r="AB9" s="10"/>
      <c r="AC9" s="447">
        <f t="shared" ref="AC9:AC44" si="6">IF(AA9=0,"",IF(AA9&gt;0,Z9/AA9))</f>
        <v>48</v>
      </c>
      <c r="AD9" s="446">
        <f>IF(AA9=0,"",IF(AA9&gt;0,AC9/AB$2))</f>
        <v>1</v>
      </c>
    </row>
    <row r="10" spans="1:30" ht="19.5" customHeight="1" x14ac:dyDescent="0.2">
      <c r="A10" s="18">
        <f>BEGINBLAD!D5</f>
        <v>0</v>
      </c>
      <c r="B10" s="40">
        <v>2</v>
      </c>
      <c r="C10" s="702" t="str">
        <f>BEGINBLAD!C5</f>
        <v>leerling 2</v>
      </c>
      <c r="D10" s="35">
        <v>1.4</v>
      </c>
      <c r="E10" s="34">
        <v>2.5</v>
      </c>
      <c r="F10" s="33">
        <v>1.9</v>
      </c>
      <c r="G10" s="32">
        <v>4.5999999999999996</v>
      </c>
      <c r="H10" s="34">
        <v>2.8</v>
      </c>
      <c r="I10" s="599">
        <f t="shared" ref="I10:I44" si="7">SUM(C10:H10)</f>
        <v>13.2</v>
      </c>
      <c r="J10" s="444">
        <f t="shared" si="2"/>
        <v>5</v>
      </c>
      <c r="K10" s="10"/>
      <c r="L10" s="42">
        <f t="shared" si="3"/>
        <v>2.6399999999999997</v>
      </c>
      <c r="M10" s="42" t="str">
        <f t="shared" ref="M10:M44" si="8">IF(L10="","",IF(L10&gt;4.5,"A-1+",IF(L10&gt;4.2,"A-1",IF(L10&gt;=4,"A-2",IF(L10&gt;3.3,"B-2",IF(L10&gt;=3,"B-3",IF(L10&gt;2.4,"C-3",IF(L10&gt;=2,"C-4",IF(L10&gt;1.5,"D-4",IF(L10&gt;=1,"D-5",IF(L10&gt;0.5,"E-5",IF(L10&gt;=0,"E-5-"))))))))))))</f>
        <v>C-3</v>
      </c>
      <c r="N10" s="13"/>
      <c r="O10" s="729" t="s">
        <v>526</v>
      </c>
      <c r="P10" s="729" t="s">
        <v>526</v>
      </c>
      <c r="Q10" s="729" t="s">
        <v>453</v>
      </c>
      <c r="R10" s="17">
        <f>BEGINBLAD!D5</f>
        <v>0</v>
      </c>
      <c r="S10" s="40">
        <v>2</v>
      </c>
      <c r="T10" s="702" t="str">
        <f>BEGINBLAD!C5</f>
        <v>leerling 2</v>
      </c>
      <c r="U10" s="437"/>
      <c r="V10" s="437"/>
      <c r="W10" s="437"/>
      <c r="X10" s="437"/>
      <c r="Y10" s="437"/>
      <c r="Z10" s="444">
        <f t="shared" si="4"/>
        <v>0</v>
      </c>
      <c r="AA10" s="444">
        <f t="shared" si="5"/>
        <v>0</v>
      </c>
      <c r="AB10" s="10"/>
      <c r="AC10" s="447" t="str">
        <f t="shared" si="6"/>
        <v/>
      </c>
      <c r="AD10" s="446" t="str">
        <f t="shared" ref="AD10:AD44" si="9">IF(AA10=0,"",IF(AA10&gt;0,AC10/AB$2))</f>
        <v/>
      </c>
    </row>
    <row r="11" spans="1:30" s="4" customFormat="1" ht="19.5" customHeight="1" x14ac:dyDescent="0.2">
      <c r="A11" s="17">
        <f>BEGINBLAD!D6</f>
        <v>0</v>
      </c>
      <c r="B11" s="40">
        <v>3</v>
      </c>
      <c r="C11" s="702" t="str">
        <f>BEGINBLAD!C6</f>
        <v>leerling 3</v>
      </c>
      <c r="D11" s="32">
        <v>1.7</v>
      </c>
      <c r="E11" s="35">
        <v>3.2</v>
      </c>
      <c r="F11" s="33">
        <v>1.7</v>
      </c>
      <c r="G11" s="34">
        <v>2.2000000000000002</v>
      </c>
      <c r="H11" s="36">
        <v>0.6</v>
      </c>
      <c r="I11" s="599">
        <f t="shared" si="7"/>
        <v>9.4</v>
      </c>
      <c r="J11" s="444">
        <f t="shared" si="2"/>
        <v>5</v>
      </c>
      <c r="K11" s="10"/>
      <c r="L11" s="42">
        <f t="shared" si="3"/>
        <v>1.8800000000000001</v>
      </c>
      <c r="M11" s="42" t="str">
        <f t="shared" si="8"/>
        <v>D-4</v>
      </c>
      <c r="N11" s="13"/>
      <c r="O11" s="729" t="s">
        <v>526</v>
      </c>
      <c r="P11" s="729" t="s">
        <v>453</v>
      </c>
      <c r="Q11" s="729" t="s">
        <v>526</v>
      </c>
      <c r="R11" s="17">
        <f>BEGINBLAD!D6</f>
        <v>0</v>
      </c>
      <c r="S11" s="40">
        <v>3</v>
      </c>
      <c r="T11" s="702" t="str">
        <f>BEGINBLAD!C6</f>
        <v>leerling 3</v>
      </c>
      <c r="U11" s="437"/>
      <c r="V11" s="437"/>
      <c r="W11" s="437"/>
      <c r="X11" s="437"/>
      <c r="Y11" s="437"/>
      <c r="Z11" s="444">
        <f t="shared" si="4"/>
        <v>0</v>
      </c>
      <c r="AA11" s="444">
        <f t="shared" si="5"/>
        <v>0</v>
      </c>
      <c r="AB11" s="10"/>
      <c r="AC11" s="447" t="str">
        <f t="shared" si="6"/>
        <v/>
      </c>
      <c r="AD11" s="446" t="str">
        <f t="shared" si="9"/>
        <v/>
      </c>
    </row>
    <row r="12" spans="1:30" ht="19.5" customHeight="1" x14ac:dyDescent="0.2">
      <c r="A12" s="18">
        <f>BEGINBLAD!D7</f>
        <v>0</v>
      </c>
      <c r="B12" s="40">
        <v>4</v>
      </c>
      <c r="C12" s="702" t="str">
        <f>BEGINBLAD!C7</f>
        <v>leerling 4</v>
      </c>
      <c r="D12" s="34">
        <v>1.8</v>
      </c>
      <c r="E12" s="35">
        <v>3.5</v>
      </c>
      <c r="F12" s="36">
        <v>0.5</v>
      </c>
      <c r="G12" s="34">
        <v>2.2000000000000002</v>
      </c>
      <c r="H12" s="34">
        <v>2.1</v>
      </c>
      <c r="I12" s="599">
        <f t="shared" si="7"/>
        <v>10.1</v>
      </c>
      <c r="J12" s="444">
        <f t="shared" si="2"/>
        <v>5</v>
      </c>
      <c r="K12" s="10"/>
      <c r="L12" s="42">
        <f t="shared" si="3"/>
        <v>2.02</v>
      </c>
      <c r="M12" s="42" t="str">
        <f t="shared" si="8"/>
        <v>C-4</v>
      </c>
      <c r="N12" s="13"/>
      <c r="O12" s="729" t="s">
        <v>526</v>
      </c>
      <c r="P12" s="729" t="s">
        <v>453</v>
      </c>
      <c r="Q12" s="729" t="s">
        <v>526</v>
      </c>
      <c r="R12" s="17">
        <f>BEGINBLAD!D7</f>
        <v>0</v>
      </c>
      <c r="S12" s="40">
        <v>4</v>
      </c>
      <c r="T12" s="702" t="str">
        <f>BEGINBLAD!C7</f>
        <v>leerling 4</v>
      </c>
      <c r="U12" s="437"/>
      <c r="V12" s="437"/>
      <c r="W12" s="437"/>
      <c r="X12" s="437"/>
      <c r="Y12" s="437"/>
      <c r="Z12" s="444">
        <f t="shared" si="4"/>
        <v>0</v>
      </c>
      <c r="AA12" s="444">
        <f t="shared" si="5"/>
        <v>0</v>
      </c>
      <c r="AB12" s="10"/>
      <c r="AC12" s="447" t="str">
        <f t="shared" si="6"/>
        <v/>
      </c>
      <c r="AD12" s="446" t="str">
        <f t="shared" si="9"/>
        <v/>
      </c>
    </row>
    <row r="13" spans="1:30" s="4" customFormat="1" ht="19.5" customHeight="1" x14ac:dyDescent="0.2">
      <c r="A13" s="17">
        <f>BEGINBLAD!D8</f>
        <v>0</v>
      </c>
      <c r="B13" s="40">
        <v>5</v>
      </c>
      <c r="C13" s="702" t="str">
        <f>BEGINBLAD!C8</f>
        <v>leerling 5</v>
      </c>
      <c r="D13" s="34">
        <v>2</v>
      </c>
      <c r="E13" s="35">
        <v>3.9</v>
      </c>
      <c r="F13" s="34">
        <v>2.9</v>
      </c>
      <c r="G13" s="34">
        <v>2.8</v>
      </c>
      <c r="H13" s="32">
        <v>4</v>
      </c>
      <c r="I13" s="599">
        <f t="shared" si="7"/>
        <v>15.600000000000001</v>
      </c>
      <c r="J13" s="444">
        <f t="shared" si="2"/>
        <v>5</v>
      </c>
      <c r="K13" s="10"/>
      <c r="L13" s="42">
        <f t="shared" si="3"/>
        <v>3.12</v>
      </c>
      <c r="M13" s="42" t="str">
        <f t="shared" si="8"/>
        <v>B-3</v>
      </c>
      <c r="N13" s="13"/>
      <c r="O13" s="729" t="s">
        <v>526</v>
      </c>
      <c r="P13" s="729" t="s">
        <v>453</v>
      </c>
      <c r="Q13" s="729" t="s">
        <v>526</v>
      </c>
      <c r="R13" s="17">
        <f>BEGINBLAD!D8</f>
        <v>0</v>
      </c>
      <c r="S13" s="40">
        <v>5</v>
      </c>
      <c r="T13" s="702" t="str">
        <f>BEGINBLAD!C8</f>
        <v>leerling 5</v>
      </c>
      <c r="U13" s="437"/>
      <c r="V13" s="437"/>
      <c r="W13" s="437"/>
      <c r="X13" s="437"/>
      <c r="Y13" s="437"/>
      <c r="Z13" s="444">
        <f t="shared" si="4"/>
        <v>0</v>
      </c>
      <c r="AA13" s="444">
        <f t="shared" si="5"/>
        <v>0</v>
      </c>
      <c r="AB13" s="10"/>
      <c r="AC13" s="447" t="str">
        <f t="shared" si="6"/>
        <v/>
      </c>
      <c r="AD13" s="446" t="str">
        <f t="shared" si="9"/>
        <v/>
      </c>
    </row>
    <row r="14" spans="1:30" ht="19.5" customHeight="1" x14ac:dyDescent="0.2">
      <c r="A14" s="18">
        <f>BEGINBLAD!D9</f>
        <v>0</v>
      </c>
      <c r="B14" s="40">
        <v>6</v>
      </c>
      <c r="C14" s="702" t="str">
        <f>BEGINBLAD!C9</f>
        <v>leerling 6</v>
      </c>
      <c r="D14" s="33">
        <v>1</v>
      </c>
      <c r="E14" s="34">
        <v>2.9</v>
      </c>
      <c r="F14" s="34">
        <v>2.6</v>
      </c>
      <c r="G14" s="34">
        <v>2.6</v>
      </c>
      <c r="H14" s="36">
        <v>0.3</v>
      </c>
      <c r="I14" s="599">
        <f t="shared" si="7"/>
        <v>9.4</v>
      </c>
      <c r="J14" s="444">
        <f t="shared" si="2"/>
        <v>5</v>
      </c>
      <c r="K14" s="10"/>
      <c r="L14" s="42">
        <f t="shared" si="3"/>
        <v>1.8800000000000001</v>
      </c>
      <c r="M14" s="42" t="str">
        <f t="shared" si="8"/>
        <v>D-4</v>
      </c>
      <c r="N14" s="13"/>
      <c r="O14" s="729" t="s">
        <v>526</v>
      </c>
      <c r="P14" s="729" t="s">
        <v>453</v>
      </c>
      <c r="Q14" s="729" t="s">
        <v>526</v>
      </c>
      <c r="R14" s="17">
        <f>BEGINBLAD!D9</f>
        <v>0</v>
      </c>
      <c r="S14" s="40">
        <v>6</v>
      </c>
      <c r="T14" s="702" t="str">
        <f>BEGINBLAD!C9</f>
        <v>leerling 6</v>
      </c>
      <c r="U14" s="437"/>
      <c r="V14" s="437"/>
      <c r="W14" s="437"/>
      <c r="X14" s="437"/>
      <c r="Y14" s="437"/>
      <c r="Z14" s="444">
        <f t="shared" si="4"/>
        <v>0</v>
      </c>
      <c r="AA14" s="444">
        <f t="shared" si="5"/>
        <v>0</v>
      </c>
      <c r="AB14" s="10"/>
      <c r="AC14" s="447" t="str">
        <f t="shared" si="6"/>
        <v/>
      </c>
      <c r="AD14" s="446" t="str">
        <f t="shared" si="9"/>
        <v/>
      </c>
    </row>
    <row r="15" spans="1:30" s="4" customFormat="1" ht="19.5" customHeight="1" x14ac:dyDescent="0.2">
      <c r="A15" s="17">
        <f>BEGINBLAD!D10</f>
        <v>0</v>
      </c>
      <c r="B15" s="40">
        <v>7</v>
      </c>
      <c r="C15" s="702" t="str">
        <f>BEGINBLAD!C10</f>
        <v>leerling 7</v>
      </c>
      <c r="D15" s="36">
        <v>1.8</v>
      </c>
      <c r="E15" s="35">
        <v>3.7</v>
      </c>
      <c r="F15" s="33">
        <v>1.4</v>
      </c>
      <c r="G15" s="33">
        <v>1.8</v>
      </c>
      <c r="H15" s="36">
        <v>0.8</v>
      </c>
      <c r="I15" s="599">
        <f t="shared" si="7"/>
        <v>9.5000000000000018</v>
      </c>
      <c r="J15" s="444">
        <f t="shared" si="2"/>
        <v>5</v>
      </c>
      <c r="K15" s="10"/>
      <c r="L15" s="42">
        <f t="shared" si="3"/>
        <v>1.9000000000000004</v>
      </c>
      <c r="M15" s="42" t="str">
        <f t="shared" si="8"/>
        <v>D-4</v>
      </c>
      <c r="N15" s="13"/>
      <c r="O15" s="729" t="s">
        <v>526</v>
      </c>
      <c r="P15" s="729" t="s">
        <v>453</v>
      </c>
      <c r="Q15" s="729" t="s">
        <v>526</v>
      </c>
      <c r="R15" s="17">
        <f>BEGINBLAD!D10</f>
        <v>0</v>
      </c>
      <c r="S15" s="40">
        <v>7</v>
      </c>
      <c r="T15" s="702" t="str">
        <f>BEGINBLAD!C10</f>
        <v>leerling 7</v>
      </c>
      <c r="U15" s="437"/>
      <c r="V15" s="437"/>
      <c r="W15" s="437"/>
      <c r="X15" s="437"/>
      <c r="Y15" s="437"/>
      <c r="Z15" s="444">
        <f t="shared" si="4"/>
        <v>0</v>
      </c>
      <c r="AA15" s="444">
        <f t="shared" si="5"/>
        <v>0</v>
      </c>
      <c r="AB15" s="10"/>
      <c r="AC15" s="447" t="str">
        <f t="shared" si="6"/>
        <v/>
      </c>
      <c r="AD15" s="446" t="str">
        <f t="shared" si="9"/>
        <v/>
      </c>
    </row>
    <row r="16" spans="1:30" ht="19.5" customHeight="1" x14ac:dyDescent="0.2">
      <c r="A16" s="18">
        <f>BEGINBLAD!D11</f>
        <v>0</v>
      </c>
      <c r="B16" s="40">
        <v>8</v>
      </c>
      <c r="C16" s="702" t="str">
        <f>BEGINBLAD!C11</f>
        <v>leerling 8</v>
      </c>
      <c r="D16" s="32">
        <v>3.7</v>
      </c>
      <c r="E16" s="32">
        <v>4.4000000000000004</v>
      </c>
      <c r="F16" s="34">
        <v>2.9</v>
      </c>
      <c r="G16" s="35">
        <v>3.7</v>
      </c>
      <c r="H16" s="32">
        <v>4.0999999999999996</v>
      </c>
      <c r="I16" s="599">
        <f t="shared" si="7"/>
        <v>18.800000000000004</v>
      </c>
      <c r="J16" s="444">
        <f t="shared" si="2"/>
        <v>5</v>
      </c>
      <c r="K16" s="10"/>
      <c r="L16" s="42">
        <f t="shared" si="3"/>
        <v>3.7600000000000007</v>
      </c>
      <c r="M16" s="42" t="str">
        <f t="shared" si="8"/>
        <v>B-2</v>
      </c>
      <c r="N16" s="13"/>
      <c r="O16" s="729" t="s">
        <v>526</v>
      </c>
      <c r="P16" s="729" t="s">
        <v>453</v>
      </c>
      <c r="Q16" s="729" t="s">
        <v>526</v>
      </c>
      <c r="R16" s="17">
        <f>BEGINBLAD!D11</f>
        <v>0</v>
      </c>
      <c r="S16" s="40">
        <v>8</v>
      </c>
      <c r="T16" s="702" t="str">
        <f>BEGINBLAD!C11</f>
        <v>leerling 8</v>
      </c>
      <c r="U16" s="437"/>
      <c r="V16" s="437"/>
      <c r="W16" s="437"/>
      <c r="X16" s="437"/>
      <c r="Y16" s="437"/>
      <c r="Z16" s="444">
        <f t="shared" si="4"/>
        <v>0</v>
      </c>
      <c r="AA16" s="444">
        <f t="shared" si="5"/>
        <v>0</v>
      </c>
      <c r="AB16" s="10"/>
      <c r="AC16" s="447" t="str">
        <f t="shared" si="6"/>
        <v/>
      </c>
      <c r="AD16" s="446" t="str">
        <f t="shared" si="9"/>
        <v/>
      </c>
    </row>
    <row r="17" spans="1:30" s="4" customFormat="1" ht="19.5" customHeight="1" x14ac:dyDescent="0.2">
      <c r="A17" s="17">
        <f>BEGINBLAD!D12</f>
        <v>0</v>
      </c>
      <c r="B17" s="40">
        <v>9</v>
      </c>
      <c r="C17" s="702" t="str">
        <f>BEGINBLAD!C12</f>
        <v>leerling 9</v>
      </c>
      <c r="D17" s="34">
        <v>0.9</v>
      </c>
      <c r="E17" s="33">
        <v>1.8</v>
      </c>
      <c r="F17" s="35">
        <v>3.9</v>
      </c>
      <c r="G17" s="33">
        <v>1.1000000000000001</v>
      </c>
      <c r="H17" s="33">
        <v>1.2</v>
      </c>
      <c r="I17" s="599">
        <f t="shared" si="7"/>
        <v>8.8999999999999986</v>
      </c>
      <c r="J17" s="444">
        <f t="shared" si="2"/>
        <v>5</v>
      </c>
      <c r="K17" s="10"/>
      <c r="L17" s="42">
        <f t="shared" si="3"/>
        <v>1.7799999999999998</v>
      </c>
      <c r="M17" s="42" t="str">
        <f t="shared" si="8"/>
        <v>D-4</v>
      </c>
      <c r="N17" s="13"/>
      <c r="O17" s="729" t="s">
        <v>453</v>
      </c>
      <c r="P17" s="729" t="s">
        <v>526</v>
      </c>
      <c r="Q17" s="729" t="s">
        <v>526</v>
      </c>
      <c r="R17" s="17">
        <f>BEGINBLAD!D12</f>
        <v>0</v>
      </c>
      <c r="S17" s="40">
        <v>9</v>
      </c>
      <c r="T17" s="702" t="str">
        <f>BEGINBLAD!C12</f>
        <v>leerling 9</v>
      </c>
      <c r="U17" s="437"/>
      <c r="V17" s="437"/>
      <c r="W17" s="437"/>
      <c r="X17" s="437"/>
      <c r="Y17" s="437"/>
      <c r="Z17" s="444">
        <f t="shared" si="4"/>
        <v>0</v>
      </c>
      <c r="AA17" s="444">
        <f t="shared" si="5"/>
        <v>0</v>
      </c>
      <c r="AB17" s="10"/>
      <c r="AC17" s="447" t="str">
        <f t="shared" si="6"/>
        <v/>
      </c>
      <c r="AD17" s="446" t="str">
        <f t="shared" si="9"/>
        <v/>
      </c>
    </row>
    <row r="18" spans="1:30" ht="19.5" customHeight="1" x14ac:dyDescent="0.2">
      <c r="A18" s="18">
        <f>BEGINBLAD!D13</f>
        <v>0</v>
      </c>
      <c r="B18" s="40">
        <v>10</v>
      </c>
      <c r="C18" s="702" t="str">
        <f>BEGINBLAD!C13</f>
        <v>leerling 10</v>
      </c>
      <c r="D18" s="34">
        <v>1.3</v>
      </c>
      <c r="E18" s="33">
        <v>1.1000000000000001</v>
      </c>
      <c r="F18" s="34">
        <v>2.4</v>
      </c>
      <c r="G18" s="33">
        <v>1.7</v>
      </c>
      <c r="H18" s="33">
        <v>1.1000000000000001</v>
      </c>
      <c r="I18" s="599">
        <f t="shared" si="7"/>
        <v>7.6000000000000014</v>
      </c>
      <c r="J18" s="444">
        <f t="shared" si="2"/>
        <v>5</v>
      </c>
      <c r="K18" s="10"/>
      <c r="L18" s="42">
        <f t="shared" si="3"/>
        <v>1.5200000000000002</v>
      </c>
      <c r="M18" s="42" t="str">
        <f t="shared" si="8"/>
        <v>D-4</v>
      </c>
      <c r="N18" s="13"/>
      <c r="O18" s="729" t="s">
        <v>526</v>
      </c>
      <c r="P18" s="729" t="s">
        <v>526</v>
      </c>
      <c r="Q18" s="729" t="s">
        <v>526</v>
      </c>
      <c r="R18" s="17">
        <f>BEGINBLAD!D13</f>
        <v>0</v>
      </c>
      <c r="S18" s="40">
        <v>10</v>
      </c>
      <c r="T18" s="702" t="str">
        <f>BEGINBLAD!C13</f>
        <v>leerling 10</v>
      </c>
      <c r="U18" s="437"/>
      <c r="V18" s="437"/>
      <c r="W18" s="437"/>
      <c r="X18" s="437"/>
      <c r="Y18" s="437"/>
      <c r="Z18" s="444">
        <f t="shared" si="4"/>
        <v>0</v>
      </c>
      <c r="AA18" s="444">
        <f t="shared" si="5"/>
        <v>0</v>
      </c>
      <c r="AB18" s="10"/>
      <c r="AC18" s="447" t="str">
        <f t="shared" si="6"/>
        <v/>
      </c>
      <c r="AD18" s="446" t="str">
        <f t="shared" si="9"/>
        <v/>
      </c>
    </row>
    <row r="19" spans="1:30" s="4" customFormat="1" ht="19.5" customHeight="1" x14ac:dyDescent="0.2">
      <c r="A19" s="17">
        <f>BEGINBLAD!D14</f>
        <v>0</v>
      </c>
      <c r="B19" s="40">
        <v>11</v>
      </c>
      <c r="C19" s="702" t="str">
        <f>BEGINBLAD!C14</f>
        <v>leerling 11</v>
      </c>
      <c r="D19" s="35">
        <v>2.6</v>
      </c>
      <c r="E19" s="32">
        <v>5</v>
      </c>
      <c r="F19" s="32">
        <v>4.2</v>
      </c>
      <c r="G19" s="35">
        <v>3.2</v>
      </c>
      <c r="H19" s="36">
        <v>0.8</v>
      </c>
      <c r="I19" s="599">
        <f t="shared" si="7"/>
        <v>15.8</v>
      </c>
      <c r="J19" s="444">
        <f t="shared" si="2"/>
        <v>5</v>
      </c>
      <c r="K19" s="10"/>
      <c r="L19" s="42">
        <f t="shared" si="3"/>
        <v>3.16</v>
      </c>
      <c r="M19" s="42" t="str">
        <f t="shared" si="8"/>
        <v>B-3</v>
      </c>
      <c r="N19" s="13"/>
      <c r="O19" s="729" t="s">
        <v>453</v>
      </c>
      <c r="P19" s="729" t="s">
        <v>455</v>
      </c>
      <c r="Q19" s="729" t="s">
        <v>526</v>
      </c>
      <c r="R19" s="17">
        <f>BEGINBLAD!D14</f>
        <v>0</v>
      </c>
      <c r="S19" s="40">
        <v>11</v>
      </c>
      <c r="T19" s="702" t="str">
        <f>BEGINBLAD!C14</f>
        <v>leerling 11</v>
      </c>
      <c r="U19" s="437"/>
      <c r="V19" s="437"/>
      <c r="W19" s="437"/>
      <c r="X19" s="437"/>
      <c r="Y19" s="437"/>
      <c r="Z19" s="444">
        <f t="shared" si="4"/>
        <v>0</v>
      </c>
      <c r="AA19" s="444">
        <f t="shared" si="5"/>
        <v>0</v>
      </c>
      <c r="AB19" s="10"/>
      <c r="AC19" s="447" t="str">
        <f t="shared" si="6"/>
        <v/>
      </c>
      <c r="AD19" s="446" t="str">
        <f t="shared" si="9"/>
        <v/>
      </c>
    </row>
    <row r="20" spans="1:30" ht="19.5" customHeight="1" x14ac:dyDescent="0.2">
      <c r="A20" s="18">
        <f>BEGINBLAD!D15</f>
        <v>0</v>
      </c>
      <c r="B20" s="40">
        <v>12</v>
      </c>
      <c r="C20" s="702" t="str">
        <f>BEGINBLAD!C15</f>
        <v>leerling 12</v>
      </c>
      <c r="D20" s="34">
        <v>1</v>
      </c>
      <c r="E20" s="33">
        <v>1.3</v>
      </c>
      <c r="F20" s="36">
        <v>0.1</v>
      </c>
      <c r="G20" s="33">
        <v>1.8</v>
      </c>
      <c r="H20" s="34">
        <v>2.7</v>
      </c>
      <c r="I20" s="599">
        <f t="shared" si="7"/>
        <v>6.9</v>
      </c>
      <c r="J20" s="444">
        <f t="shared" si="2"/>
        <v>5</v>
      </c>
      <c r="K20" s="10"/>
      <c r="L20" s="42">
        <f t="shared" si="3"/>
        <v>1.3800000000000001</v>
      </c>
      <c r="M20" s="42" t="str">
        <f t="shared" si="8"/>
        <v>D-5</v>
      </c>
      <c r="N20" s="13"/>
      <c r="O20" s="729" t="s">
        <v>526</v>
      </c>
      <c r="P20" s="729" t="s">
        <v>526</v>
      </c>
      <c r="Q20" s="729" t="s">
        <v>526</v>
      </c>
      <c r="R20" s="17">
        <f>BEGINBLAD!D15</f>
        <v>0</v>
      </c>
      <c r="S20" s="40">
        <v>12</v>
      </c>
      <c r="T20" s="702" t="str">
        <f>BEGINBLAD!C15</f>
        <v>leerling 12</v>
      </c>
      <c r="U20" s="437"/>
      <c r="V20" s="437"/>
      <c r="W20" s="437"/>
      <c r="X20" s="437"/>
      <c r="Y20" s="437"/>
      <c r="Z20" s="444">
        <f t="shared" si="4"/>
        <v>0</v>
      </c>
      <c r="AA20" s="444">
        <f t="shared" si="5"/>
        <v>0</v>
      </c>
      <c r="AB20" s="10"/>
      <c r="AC20" s="447" t="str">
        <f t="shared" si="6"/>
        <v/>
      </c>
      <c r="AD20" s="446" t="str">
        <f t="shared" si="9"/>
        <v/>
      </c>
    </row>
    <row r="21" spans="1:30" s="4" customFormat="1" ht="19.5" customHeight="1" x14ac:dyDescent="0.2">
      <c r="A21" s="17">
        <f>BEGINBLAD!D16</f>
        <v>0</v>
      </c>
      <c r="B21" s="40">
        <v>13</v>
      </c>
      <c r="C21" s="702" t="str">
        <f>BEGINBLAD!C16</f>
        <v>leerling 13</v>
      </c>
      <c r="D21" s="34">
        <v>3.1</v>
      </c>
      <c r="E21" s="32">
        <v>4.8</v>
      </c>
      <c r="F21" s="35">
        <v>3.2</v>
      </c>
      <c r="G21" s="34">
        <v>2.8</v>
      </c>
      <c r="H21" s="35">
        <v>3.1</v>
      </c>
      <c r="I21" s="599">
        <f t="shared" si="7"/>
        <v>17.000000000000004</v>
      </c>
      <c r="J21" s="444">
        <f t="shared" si="2"/>
        <v>5</v>
      </c>
      <c r="K21" s="10"/>
      <c r="L21" s="42">
        <f t="shared" si="3"/>
        <v>3.4000000000000008</v>
      </c>
      <c r="M21" s="42" t="str">
        <f t="shared" si="8"/>
        <v>B-2</v>
      </c>
      <c r="N21" s="13"/>
      <c r="O21" s="729" t="s">
        <v>453</v>
      </c>
      <c r="P21" s="729" t="s">
        <v>455</v>
      </c>
      <c r="Q21" s="729" t="s">
        <v>526</v>
      </c>
      <c r="R21" s="17">
        <f>BEGINBLAD!D16</f>
        <v>0</v>
      </c>
      <c r="S21" s="40">
        <v>13</v>
      </c>
      <c r="T21" s="702" t="str">
        <f>BEGINBLAD!C16</f>
        <v>leerling 13</v>
      </c>
      <c r="U21" s="437"/>
      <c r="V21" s="437"/>
      <c r="W21" s="437"/>
      <c r="X21" s="437"/>
      <c r="Y21" s="437"/>
      <c r="Z21" s="444">
        <f t="shared" si="4"/>
        <v>0</v>
      </c>
      <c r="AA21" s="444">
        <f t="shared" si="5"/>
        <v>0</v>
      </c>
      <c r="AB21" s="10"/>
      <c r="AC21" s="447" t="str">
        <f t="shared" si="6"/>
        <v/>
      </c>
      <c r="AD21" s="446" t="str">
        <f t="shared" si="9"/>
        <v/>
      </c>
    </row>
    <row r="22" spans="1:30" ht="19.5" customHeight="1" x14ac:dyDescent="0.2">
      <c r="A22" s="18">
        <f>BEGINBLAD!D17</f>
        <v>0</v>
      </c>
      <c r="B22" s="40">
        <v>14</v>
      </c>
      <c r="C22" s="702" t="str">
        <f>BEGINBLAD!C17</f>
        <v>leerling 14</v>
      </c>
      <c r="D22" s="34">
        <v>2.1</v>
      </c>
      <c r="E22" s="35">
        <v>3.7</v>
      </c>
      <c r="F22" s="33">
        <v>1.2</v>
      </c>
      <c r="G22" s="34">
        <v>2.2999999999999998</v>
      </c>
      <c r="H22" s="32">
        <v>4.5</v>
      </c>
      <c r="I22" s="599">
        <f t="shared" si="7"/>
        <v>13.8</v>
      </c>
      <c r="J22" s="444">
        <f t="shared" si="2"/>
        <v>5</v>
      </c>
      <c r="K22" s="10"/>
      <c r="L22" s="42">
        <f t="shared" si="3"/>
        <v>2.7600000000000002</v>
      </c>
      <c r="M22" s="42" t="str">
        <f t="shared" si="8"/>
        <v>C-3</v>
      </c>
      <c r="N22" s="13"/>
      <c r="O22" s="729" t="s">
        <v>526</v>
      </c>
      <c r="P22" s="729" t="s">
        <v>453</v>
      </c>
      <c r="Q22" s="729" t="s">
        <v>526</v>
      </c>
      <c r="R22" s="17">
        <f>BEGINBLAD!D17</f>
        <v>0</v>
      </c>
      <c r="S22" s="40">
        <v>14</v>
      </c>
      <c r="T22" s="702" t="str">
        <f>BEGINBLAD!C17</f>
        <v>leerling 14</v>
      </c>
      <c r="U22" s="437"/>
      <c r="V22" s="437"/>
      <c r="W22" s="437"/>
      <c r="X22" s="437"/>
      <c r="Y22" s="437"/>
      <c r="Z22" s="444">
        <f t="shared" si="4"/>
        <v>0</v>
      </c>
      <c r="AA22" s="444">
        <f t="shared" si="5"/>
        <v>0</v>
      </c>
      <c r="AB22" s="10"/>
      <c r="AC22" s="447" t="str">
        <f t="shared" si="6"/>
        <v/>
      </c>
      <c r="AD22" s="446" t="str">
        <f t="shared" si="9"/>
        <v/>
      </c>
    </row>
    <row r="23" spans="1:30" s="4" customFormat="1" ht="19.5" customHeight="1" x14ac:dyDescent="0.2">
      <c r="A23" s="17">
        <f>BEGINBLAD!D18</f>
        <v>0</v>
      </c>
      <c r="B23" s="40">
        <v>15</v>
      </c>
      <c r="C23" s="702" t="str">
        <f>BEGINBLAD!C18</f>
        <v>leerling 15</v>
      </c>
      <c r="D23" s="34">
        <v>1.4</v>
      </c>
      <c r="E23" s="34">
        <v>2.1</v>
      </c>
      <c r="F23" s="33">
        <v>1.7</v>
      </c>
      <c r="G23" s="34">
        <v>2.2000000000000002</v>
      </c>
      <c r="H23" s="33">
        <v>1.6</v>
      </c>
      <c r="I23" s="599">
        <f t="shared" si="7"/>
        <v>9</v>
      </c>
      <c r="J23" s="444">
        <f t="shared" si="2"/>
        <v>5</v>
      </c>
      <c r="K23" s="10"/>
      <c r="L23" s="42">
        <f t="shared" si="3"/>
        <v>1.8</v>
      </c>
      <c r="M23" s="42" t="str">
        <f t="shared" si="8"/>
        <v>D-4</v>
      </c>
      <c r="N23" s="13"/>
      <c r="O23" s="729" t="s">
        <v>526</v>
      </c>
      <c r="P23" s="729" t="s">
        <v>526</v>
      </c>
      <c r="Q23" s="729" t="s">
        <v>526</v>
      </c>
      <c r="R23" s="17">
        <f>BEGINBLAD!D18</f>
        <v>0</v>
      </c>
      <c r="S23" s="40">
        <v>15</v>
      </c>
      <c r="T23" s="702" t="str">
        <f>BEGINBLAD!C18</f>
        <v>leerling 15</v>
      </c>
      <c r="U23" s="437"/>
      <c r="V23" s="437"/>
      <c r="W23" s="437"/>
      <c r="X23" s="437"/>
      <c r="Y23" s="437"/>
      <c r="Z23" s="444">
        <f t="shared" si="4"/>
        <v>0</v>
      </c>
      <c r="AA23" s="444">
        <f t="shared" si="5"/>
        <v>0</v>
      </c>
      <c r="AB23" s="10"/>
      <c r="AC23" s="447" t="str">
        <f t="shared" si="6"/>
        <v/>
      </c>
      <c r="AD23" s="446" t="str">
        <f t="shared" si="9"/>
        <v/>
      </c>
    </row>
    <row r="24" spans="1:30" ht="19.5" customHeight="1" x14ac:dyDescent="0.2">
      <c r="A24" s="18">
        <f>BEGINBLAD!D19</f>
        <v>0</v>
      </c>
      <c r="B24" s="40">
        <v>16</v>
      </c>
      <c r="C24" s="702" t="str">
        <f>BEGINBLAD!C19</f>
        <v>leerling 16</v>
      </c>
      <c r="D24" s="32">
        <v>3</v>
      </c>
      <c r="E24" s="32">
        <v>3.2</v>
      </c>
      <c r="F24" s="36">
        <v>2.6</v>
      </c>
      <c r="G24" s="35">
        <v>2.2999999999999998</v>
      </c>
      <c r="H24" s="32"/>
      <c r="I24" s="599">
        <f t="shared" si="7"/>
        <v>11.100000000000001</v>
      </c>
      <c r="J24" s="444">
        <f t="shared" si="2"/>
        <v>4</v>
      </c>
      <c r="K24" s="10"/>
      <c r="L24" s="42">
        <f t="shared" si="3"/>
        <v>2.7750000000000004</v>
      </c>
      <c r="M24" s="42" t="str">
        <f t="shared" si="8"/>
        <v>C-3</v>
      </c>
      <c r="N24" s="13"/>
      <c r="O24" s="729" t="s">
        <v>526</v>
      </c>
      <c r="P24" s="729" t="s">
        <v>526</v>
      </c>
      <c r="Q24" s="729" t="s">
        <v>526</v>
      </c>
      <c r="R24" s="17">
        <f>BEGINBLAD!D19</f>
        <v>0</v>
      </c>
      <c r="S24" s="40">
        <v>16</v>
      </c>
      <c r="T24" s="702" t="str">
        <f>BEGINBLAD!C19</f>
        <v>leerling 16</v>
      </c>
      <c r="U24" s="437"/>
      <c r="V24" s="437"/>
      <c r="W24" s="437"/>
      <c r="X24" s="437"/>
      <c r="Y24" s="437"/>
      <c r="Z24" s="444">
        <f t="shared" si="4"/>
        <v>0</v>
      </c>
      <c r="AA24" s="444">
        <f t="shared" si="5"/>
        <v>0</v>
      </c>
      <c r="AB24" s="10"/>
      <c r="AC24" s="447" t="str">
        <f t="shared" si="6"/>
        <v/>
      </c>
      <c r="AD24" s="446" t="str">
        <f t="shared" si="9"/>
        <v/>
      </c>
    </row>
    <row r="25" spans="1:30" s="4" customFormat="1" ht="19.5" customHeight="1" x14ac:dyDescent="0.2">
      <c r="A25" s="17">
        <f>BEGINBLAD!D20</f>
        <v>0</v>
      </c>
      <c r="B25" s="40">
        <v>17</v>
      </c>
      <c r="C25" s="702" t="str">
        <f>BEGINBLAD!C20</f>
        <v>leerling 17</v>
      </c>
      <c r="D25" s="32">
        <v>2.1</v>
      </c>
      <c r="E25" s="32">
        <v>4.2</v>
      </c>
      <c r="F25" s="36">
        <v>0.5</v>
      </c>
      <c r="G25" s="35">
        <v>3.1</v>
      </c>
      <c r="H25" s="32">
        <v>4.5</v>
      </c>
      <c r="I25" s="599">
        <f t="shared" si="7"/>
        <v>14.4</v>
      </c>
      <c r="J25" s="444">
        <f t="shared" si="2"/>
        <v>5</v>
      </c>
      <c r="K25" s="10"/>
      <c r="L25" s="42">
        <f t="shared" si="3"/>
        <v>2.88</v>
      </c>
      <c r="M25" s="42" t="str">
        <f t="shared" si="8"/>
        <v>C-3</v>
      </c>
      <c r="N25" s="13"/>
      <c r="O25" s="729" t="s">
        <v>526</v>
      </c>
      <c r="P25" s="729" t="s">
        <v>453</v>
      </c>
      <c r="Q25" s="729" t="s">
        <v>526</v>
      </c>
      <c r="R25" s="17">
        <f>BEGINBLAD!D20</f>
        <v>0</v>
      </c>
      <c r="S25" s="40">
        <v>17</v>
      </c>
      <c r="T25" s="702" t="str">
        <f>BEGINBLAD!C20</f>
        <v>leerling 17</v>
      </c>
      <c r="U25" s="437"/>
      <c r="V25" s="437"/>
      <c r="W25" s="437"/>
      <c r="X25" s="437"/>
      <c r="Y25" s="437"/>
      <c r="Z25" s="444">
        <f t="shared" si="4"/>
        <v>0</v>
      </c>
      <c r="AA25" s="444">
        <f t="shared" si="5"/>
        <v>0</v>
      </c>
      <c r="AB25" s="10"/>
      <c r="AC25" s="447" t="str">
        <f t="shared" si="6"/>
        <v/>
      </c>
      <c r="AD25" s="446" t="str">
        <f t="shared" si="9"/>
        <v/>
      </c>
    </row>
    <row r="26" spans="1:30" ht="19.5" customHeight="1" x14ac:dyDescent="0.2">
      <c r="A26" s="18">
        <f>BEGINBLAD!D21</f>
        <v>0</v>
      </c>
      <c r="B26" s="40">
        <v>18</v>
      </c>
      <c r="C26" s="702" t="str">
        <f>BEGINBLAD!C21</f>
        <v>leerling 18</v>
      </c>
      <c r="D26" s="35">
        <v>1.5</v>
      </c>
      <c r="E26" s="34">
        <v>2.7</v>
      </c>
      <c r="F26" s="33">
        <v>1.2</v>
      </c>
      <c r="G26" s="34">
        <v>2.8</v>
      </c>
      <c r="H26" s="35">
        <v>3</v>
      </c>
      <c r="I26" s="599">
        <f t="shared" si="7"/>
        <v>11.2</v>
      </c>
      <c r="J26" s="444">
        <f t="shared" si="2"/>
        <v>5</v>
      </c>
      <c r="K26" s="10"/>
      <c r="L26" s="42">
        <f t="shared" si="3"/>
        <v>2.2399999999999998</v>
      </c>
      <c r="M26" s="42" t="str">
        <f t="shared" si="8"/>
        <v>C-4</v>
      </c>
      <c r="N26" s="13"/>
      <c r="O26" s="729" t="s">
        <v>526</v>
      </c>
      <c r="P26" s="729" t="s">
        <v>453</v>
      </c>
      <c r="Q26" s="729" t="s">
        <v>526</v>
      </c>
      <c r="R26" s="17">
        <f>BEGINBLAD!D21</f>
        <v>0</v>
      </c>
      <c r="S26" s="40">
        <v>18</v>
      </c>
      <c r="T26" s="702" t="str">
        <f>BEGINBLAD!C21</f>
        <v>leerling 18</v>
      </c>
      <c r="U26" s="437"/>
      <c r="V26" s="437"/>
      <c r="W26" s="437"/>
      <c r="X26" s="437"/>
      <c r="Y26" s="437"/>
      <c r="Z26" s="444">
        <f t="shared" si="4"/>
        <v>0</v>
      </c>
      <c r="AA26" s="444">
        <f t="shared" si="5"/>
        <v>0</v>
      </c>
      <c r="AB26" s="10"/>
      <c r="AC26" s="447" t="str">
        <f t="shared" si="6"/>
        <v/>
      </c>
      <c r="AD26" s="446" t="str">
        <f t="shared" si="9"/>
        <v/>
      </c>
    </row>
    <row r="27" spans="1:30" s="4" customFormat="1" ht="19.5" customHeight="1" x14ac:dyDescent="0.2">
      <c r="A27" s="17">
        <f>BEGINBLAD!D22</f>
        <v>0</v>
      </c>
      <c r="B27" s="40">
        <v>19</v>
      </c>
      <c r="C27" s="702" t="str">
        <f>BEGINBLAD!C22</f>
        <v>leerling 19</v>
      </c>
      <c r="D27" s="34">
        <v>0.8</v>
      </c>
      <c r="E27" s="36">
        <v>0.5</v>
      </c>
      <c r="F27" s="34">
        <v>2.2000000000000002</v>
      </c>
      <c r="G27" s="36">
        <v>0.5</v>
      </c>
      <c r="H27" s="33">
        <v>1</v>
      </c>
      <c r="I27" s="599">
        <f t="shared" si="7"/>
        <v>5</v>
      </c>
      <c r="J27" s="444">
        <f t="shared" si="2"/>
        <v>5</v>
      </c>
      <c r="K27" s="10"/>
      <c r="L27" s="42">
        <f t="shared" si="3"/>
        <v>1</v>
      </c>
      <c r="M27" s="42" t="str">
        <f t="shared" si="8"/>
        <v>D-5</v>
      </c>
      <c r="N27" s="13"/>
      <c r="O27" s="729" t="s">
        <v>526</v>
      </c>
      <c r="P27" s="729" t="s">
        <v>526</v>
      </c>
      <c r="Q27" s="729" t="s">
        <v>526</v>
      </c>
      <c r="R27" s="17">
        <f>BEGINBLAD!D22</f>
        <v>0</v>
      </c>
      <c r="S27" s="40">
        <v>19</v>
      </c>
      <c r="T27" s="702" t="str">
        <f>BEGINBLAD!C22</f>
        <v>leerling 19</v>
      </c>
      <c r="U27" s="437"/>
      <c r="V27" s="437"/>
      <c r="W27" s="437"/>
      <c r="X27" s="437"/>
      <c r="Y27" s="437"/>
      <c r="Z27" s="444">
        <f t="shared" si="4"/>
        <v>0</v>
      </c>
      <c r="AA27" s="444">
        <f t="shared" si="5"/>
        <v>0</v>
      </c>
      <c r="AB27" s="10"/>
      <c r="AC27" s="447" t="str">
        <f t="shared" si="6"/>
        <v/>
      </c>
      <c r="AD27" s="446" t="str">
        <f t="shared" si="9"/>
        <v/>
      </c>
    </row>
    <row r="28" spans="1:30" ht="19.5" customHeight="1" x14ac:dyDescent="0.2">
      <c r="A28" s="18">
        <f>BEGINBLAD!D23</f>
        <v>0</v>
      </c>
      <c r="B28" s="40">
        <v>20</v>
      </c>
      <c r="C28" s="702" t="str">
        <f>BEGINBLAD!C23</f>
        <v>leerling 20</v>
      </c>
      <c r="D28" s="33">
        <v>4</v>
      </c>
      <c r="E28" s="35">
        <v>3.5</v>
      </c>
      <c r="F28" s="35">
        <v>3.2</v>
      </c>
      <c r="G28" s="35">
        <v>3.8</v>
      </c>
      <c r="H28" s="32">
        <v>4.5</v>
      </c>
      <c r="I28" s="599">
        <f t="shared" si="7"/>
        <v>19</v>
      </c>
      <c r="J28" s="444">
        <f t="shared" si="2"/>
        <v>5</v>
      </c>
      <c r="K28" s="10"/>
      <c r="L28" s="42">
        <f t="shared" si="3"/>
        <v>3.8</v>
      </c>
      <c r="M28" s="42" t="str">
        <f t="shared" si="8"/>
        <v>B-2</v>
      </c>
      <c r="N28" s="13"/>
      <c r="O28" s="729" t="s">
        <v>453</v>
      </c>
      <c r="P28" s="729" t="s">
        <v>453</v>
      </c>
      <c r="Q28" s="729" t="s">
        <v>526</v>
      </c>
      <c r="R28" s="17">
        <f>BEGINBLAD!D23</f>
        <v>0</v>
      </c>
      <c r="S28" s="40">
        <v>20</v>
      </c>
      <c r="T28" s="702" t="str">
        <f>BEGINBLAD!C23</f>
        <v>leerling 20</v>
      </c>
      <c r="U28" s="437"/>
      <c r="V28" s="437"/>
      <c r="W28" s="437"/>
      <c r="X28" s="437"/>
      <c r="Y28" s="437"/>
      <c r="Z28" s="444">
        <f t="shared" si="4"/>
        <v>0</v>
      </c>
      <c r="AA28" s="444">
        <f t="shared" si="5"/>
        <v>0</v>
      </c>
      <c r="AB28" s="10"/>
      <c r="AC28" s="447" t="str">
        <f t="shared" si="6"/>
        <v/>
      </c>
      <c r="AD28" s="446" t="str">
        <f t="shared" si="9"/>
        <v/>
      </c>
    </row>
    <row r="29" spans="1:30" s="4" customFormat="1" ht="19.5" customHeight="1" x14ac:dyDescent="0.2">
      <c r="A29" s="17">
        <f>BEGINBLAD!D24</f>
        <v>0</v>
      </c>
      <c r="B29" s="40">
        <v>21</v>
      </c>
      <c r="C29" s="702" t="str">
        <f>BEGINBLAD!C24</f>
        <v>leerling 21</v>
      </c>
      <c r="D29" s="32">
        <v>1.4</v>
      </c>
      <c r="E29" s="35">
        <v>3.7</v>
      </c>
      <c r="F29" s="34">
        <v>2.6</v>
      </c>
      <c r="G29" s="33">
        <v>1.5</v>
      </c>
      <c r="H29" s="35">
        <v>3.6</v>
      </c>
      <c r="I29" s="599">
        <f t="shared" si="7"/>
        <v>12.799999999999999</v>
      </c>
      <c r="J29" s="444">
        <f t="shared" si="2"/>
        <v>5</v>
      </c>
      <c r="K29" s="10"/>
      <c r="L29" s="42">
        <f t="shared" si="3"/>
        <v>2.5599999999999996</v>
      </c>
      <c r="M29" s="42" t="str">
        <f t="shared" si="8"/>
        <v>C-3</v>
      </c>
      <c r="N29" s="13"/>
      <c r="O29" s="729" t="s">
        <v>526</v>
      </c>
      <c r="P29" s="729" t="s">
        <v>453</v>
      </c>
      <c r="Q29" s="729" t="s">
        <v>526</v>
      </c>
      <c r="R29" s="17">
        <f>BEGINBLAD!D24</f>
        <v>0</v>
      </c>
      <c r="S29" s="40">
        <v>21</v>
      </c>
      <c r="T29" s="702" t="str">
        <f>BEGINBLAD!C24</f>
        <v>leerling 21</v>
      </c>
      <c r="U29" s="438"/>
      <c r="V29" s="437"/>
      <c r="W29" s="437"/>
      <c r="X29" s="437"/>
      <c r="Y29" s="437"/>
      <c r="Z29" s="444">
        <f t="shared" si="4"/>
        <v>0</v>
      </c>
      <c r="AA29" s="444">
        <f t="shared" si="5"/>
        <v>0</v>
      </c>
      <c r="AB29" s="10"/>
      <c r="AC29" s="447" t="str">
        <f t="shared" si="6"/>
        <v/>
      </c>
      <c r="AD29" s="446" t="str">
        <f t="shared" si="9"/>
        <v/>
      </c>
    </row>
    <row r="30" spans="1:30" ht="19.5" customHeight="1" x14ac:dyDescent="0.2">
      <c r="A30" s="18">
        <f>BEGINBLAD!D25</f>
        <v>0</v>
      </c>
      <c r="B30" s="40">
        <v>22</v>
      </c>
      <c r="C30" s="702" t="str">
        <f>BEGINBLAD!C25</f>
        <v>leerling 22</v>
      </c>
      <c r="D30" s="34">
        <v>0.8</v>
      </c>
      <c r="E30" s="36">
        <v>0.7</v>
      </c>
      <c r="F30" s="34">
        <v>2.6</v>
      </c>
      <c r="G30" s="34">
        <v>2.6</v>
      </c>
      <c r="H30" s="33">
        <v>1.7</v>
      </c>
      <c r="I30" s="599">
        <f t="shared" si="7"/>
        <v>8.3999999999999986</v>
      </c>
      <c r="J30" s="444">
        <f t="shared" si="2"/>
        <v>5</v>
      </c>
      <c r="K30" s="10"/>
      <c r="L30" s="42">
        <f t="shared" si="3"/>
        <v>1.6799999999999997</v>
      </c>
      <c r="M30" s="42" t="str">
        <f t="shared" si="8"/>
        <v>D-4</v>
      </c>
      <c r="N30" s="13"/>
      <c r="O30" s="729" t="s">
        <v>526</v>
      </c>
      <c r="P30" s="729" t="s">
        <v>526</v>
      </c>
      <c r="Q30" s="729" t="s">
        <v>526</v>
      </c>
      <c r="R30" s="17">
        <f>BEGINBLAD!D25</f>
        <v>0</v>
      </c>
      <c r="S30" s="40">
        <v>22</v>
      </c>
      <c r="T30" s="702" t="str">
        <f>BEGINBLAD!C25</f>
        <v>leerling 22</v>
      </c>
      <c r="U30" s="437"/>
      <c r="V30" s="437"/>
      <c r="W30" s="437"/>
      <c r="X30" s="437"/>
      <c r="Y30" s="437"/>
      <c r="Z30" s="444">
        <f t="shared" si="4"/>
        <v>0</v>
      </c>
      <c r="AA30" s="444">
        <f t="shared" si="5"/>
        <v>0</v>
      </c>
      <c r="AB30" s="10"/>
      <c r="AC30" s="447" t="str">
        <f t="shared" si="6"/>
        <v/>
      </c>
      <c r="AD30" s="446" t="str">
        <f t="shared" si="9"/>
        <v/>
      </c>
    </row>
    <row r="31" spans="1:30" s="4" customFormat="1" ht="19.5" customHeight="1" x14ac:dyDescent="0.2">
      <c r="A31" s="17">
        <f>BEGINBLAD!D26</f>
        <v>0</v>
      </c>
      <c r="B31" s="40">
        <v>23</v>
      </c>
      <c r="C31" s="702" t="str">
        <f>BEGINBLAD!C26</f>
        <v>leerling 23</v>
      </c>
      <c r="D31" s="32">
        <v>4.2</v>
      </c>
      <c r="E31" s="32">
        <v>4.5999999999999996</v>
      </c>
      <c r="F31" s="35">
        <v>3.5</v>
      </c>
      <c r="G31" s="35">
        <v>3.2</v>
      </c>
      <c r="H31" s="35">
        <v>3.8</v>
      </c>
      <c r="I31" s="599">
        <f t="shared" si="7"/>
        <v>19.3</v>
      </c>
      <c r="J31" s="444">
        <f t="shared" si="2"/>
        <v>5</v>
      </c>
      <c r="K31" s="10"/>
      <c r="L31" s="42">
        <f t="shared" si="3"/>
        <v>3.8600000000000003</v>
      </c>
      <c r="M31" s="42" t="str">
        <f t="shared" si="8"/>
        <v>B-2</v>
      </c>
      <c r="N31" s="13"/>
      <c r="O31" s="729" t="s">
        <v>453</v>
      </c>
      <c r="P31" s="729" t="s">
        <v>453</v>
      </c>
      <c r="Q31" s="729" t="s">
        <v>526</v>
      </c>
      <c r="R31" s="17">
        <f>BEGINBLAD!D26</f>
        <v>0</v>
      </c>
      <c r="S31" s="40">
        <v>23</v>
      </c>
      <c r="T31" s="702" t="str">
        <f>BEGINBLAD!C26</f>
        <v>leerling 23</v>
      </c>
      <c r="U31" s="437"/>
      <c r="V31" s="437"/>
      <c r="W31" s="437"/>
      <c r="X31" s="437"/>
      <c r="Y31" s="437"/>
      <c r="Z31" s="444">
        <f t="shared" si="4"/>
        <v>0</v>
      </c>
      <c r="AA31" s="444">
        <f t="shared" si="5"/>
        <v>0</v>
      </c>
      <c r="AB31" s="10"/>
      <c r="AC31" s="447" t="str">
        <f t="shared" si="6"/>
        <v/>
      </c>
      <c r="AD31" s="446" t="str">
        <f t="shared" si="9"/>
        <v/>
      </c>
    </row>
    <row r="32" spans="1:30" ht="19.5" customHeight="1" x14ac:dyDescent="0.2">
      <c r="A32" s="18">
        <f>BEGINBLAD!D27</f>
        <v>0</v>
      </c>
      <c r="B32" s="40">
        <v>24</v>
      </c>
      <c r="C32" s="702" t="str">
        <f>BEGINBLAD!C27</f>
        <v>leerling 24</v>
      </c>
      <c r="D32" s="32">
        <v>2.7</v>
      </c>
      <c r="E32" s="32">
        <v>4.5999999999999996</v>
      </c>
      <c r="F32" s="34">
        <v>2.6</v>
      </c>
      <c r="G32" s="32">
        <v>4.4000000000000004</v>
      </c>
      <c r="H32" s="32">
        <v>4.7</v>
      </c>
      <c r="I32" s="599">
        <f t="shared" si="7"/>
        <v>19</v>
      </c>
      <c r="J32" s="444">
        <f t="shared" si="2"/>
        <v>5</v>
      </c>
      <c r="K32" s="10"/>
      <c r="L32" s="42">
        <f t="shared" si="3"/>
        <v>3.8</v>
      </c>
      <c r="M32" s="42" t="str">
        <f t="shared" si="8"/>
        <v>B-2</v>
      </c>
      <c r="N32" s="13"/>
      <c r="O32" s="729" t="s">
        <v>526</v>
      </c>
      <c r="P32" s="729" t="s">
        <v>453</v>
      </c>
      <c r="Q32" s="729" t="s">
        <v>453</v>
      </c>
      <c r="R32" s="17">
        <f>BEGINBLAD!D27</f>
        <v>0</v>
      </c>
      <c r="S32" s="40">
        <v>24</v>
      </c>
      <c r="T32" s="702" t="str">
        <f>BEGINBLAD!C27</f>
        <v>leerling 24</v>
      </c>
      <c r="U32" s="437"/>
      <c r="V32" s="437"/>
      <c r="W32" s="437"/>
      <c r="X32" s="437"/>
      <c r="Y32" s="437"/>
      <c r="Z32" s="444">
        <f t="shared" si="4"/>
        <v>0</v>
      </c>
      <c r="AA32" s="444">
        <f t="shared" si="5"/>
        <v>0</v>
      </c>
      <c r="AB32" s="10"/>
      <c r="AC32" s="447" t="str">
        <f t="shared" si="6"/>
        <v/>
      </c>
      <c r="AD32" s="446" t="str">
        <f t="shared" si="9"/>
        <v/>
      </c>
    </row>
    <row r="33" spans="1:30" s="4" customFormat="1" ht="19.5" customHeight="1" x14ac:dyDescent="0.2">
      <c r="A33" s="17">
        <f>BEGINBLAD!D28</f>
        <v>0</v>
      </c>
      <c r="B33" s="40">
        <v>25</v>
      </c>
      <c r="C33" s="702" t="str">
        <f>BEGINBLAD!C28</f>
        <v>leerling 25</v>
      </c>
      <c r="D33" s="34">
        <v>2</v>
      </c>
      <c r="E33" s="34">
        <v>2.7</v>
      </c>
      <c r="F33" s="33">
        <v>1.9</v>
      </c>
      <c r="G33" s="35">
        <v>3.3</v>
      </c>
      <c r="H33" s="34">
        <v>2.2000000000000002</v>
      </c>
      <c r="I33" s="599">
        <f t="shared" si="7"/>
        <v>12.099999999999998</v>
      </c>
      <c r="J33" s="444">
        <f t="shared" si="2"/>
        <v>5</v>
      </c>
      <c r="K33" s="10"/>
      <c r="L33" s="42">
        <f t="shared" si="3"/>
        <v>2.4199999999999995</v>
      </c>
      <c r="M33" s="42" t="str">
        <f t="shared" si="8"/>
        <v>C-3</v>
      </c>
      <c r="N33" s="13"/>
      <c r="O33" s="729" t="s">
        <v>526</v>
      </c>
      <c r="P33" s="729" t="s">
        <v>453</v>
      </c>
      <c r="Q33" s="729" t="s">
        <v>526</v>
      </c>
      <c r="R33" s="17">
        <f>BEGINBLAD!D28</f>
        <v>0</v>
      </c>
      <c r="S33" s="40">
        <v>25</v>
      </c>
      <c r="T33" s="702" t="str">
        <f>BEGINBLAD!C28</f>
        <v>leerling 25</v>
      </c>
      <c r="U33" s="437"/>
      <c r="V33" s="437"/>
      <c r="W33" s="437"/>
      <c r="X33" s="437"/>
      <c r="Y33" s="437"/>
      <c r="Z33" s="444">
        <f t="shared" si="4"/>
        <v>0</v>
      </c>
      <c r="AA33" s="444">
        <f t="shared" si="5"/>
        <v>0</v>
      </c>
      <c r="AB33" s="10"/>
      <c r="AC33" s="447" t="str">
        <f t="shared" si="6"/>
        <v/>
      </c>
      <c r="AD33" s="446" t="str">
        <f t="shared" si="9"/>
        <v/>
      </c>
    </row>
    <row r="34" spans="1:30" ht="19.5" customHeight="1" x14ac:dyDescent="0.2">
      <c r="A34" s="18">
        <f>BEGINBLAD!D29</f>
        <v>0</v>
      </c>
      <c r="B34" s="40">
        <v>26</v>
      </c>
      <c r="C34" s="702" t="str">
        <f>BEGINBLAD!C29</f>
        <v>leerling 26</v>
      </c>
      <c r="D34" s="35">
        <v>1.6</v>
      </c>
      <c r="E34" s="35">
        <v>3.7</v>
      </c>
      <c r="F34" s="32">
        <v>4.2</v>
      </c>
      <c r="G34" s="34">
        <v>2.6</v>
      </c>
      <c r="H34" s="36">
        <v>0.8</v>
      </c>
      <c r="I34" s="599">
        <f t="shared" si="7"/>
        <v>12.9</v>
      </c>
      <c r="J34" s="444">
        <f t="shared" si="2"/>
        <v>5</v>
      </c>
      <c r="K34" s="10"/>
      <c r="L34" s="42">
        <f t="shared" si="3"/>
        <v>2.58</v>
      </c>
      <c r="M34" s="42" t="str">
        <f t="shared" si="8"/>
        <v>C-3</v>
      </c>
      <c r="N34" s="13"/>
      <c r="O34" s="729" t="s">
        <v>453</v>
      </c>
      <c r="P34" s="729" t="s">
        <v>453</v>
      </c>
      <c r="Q34" s="729" t="s">
        <v>526</v>
      </c>
      <c r="R34" s="17">
        <f>BEGINBLAD!D29</f>
        <v>0</v>
      </c>
      <c r="S34" s="40">
        <v>26</v>
      </c>
      <c r="T34" s="702" t="str">
        <f>BEGINBLAD!C29</f>
        <v>leerling 26</v>
      </c>
      <c r="U34" s="437"/>
      <c r="V34" s="437"/>
      <c r="W34" s="437"/>
      <c r="X34" s="437"/>
      <c r="Y34" s="437"/>
      <c r="Z34" s="444">
        <f t="shared" si="4"/>
        <v>0</v>
      </c>
      <c r="AA34" s="444">
        <f t="shared" si="5"/>
        <v>0</v>
      </c>
      <c r="AB34" s="10"/>
      <c r="AC34" s="447" t="str">
        <f t="shared" si="6"/>
        <v/>
      </c>
      <c r="AD34" s="446" t="str">
        <f t="shared" si="9"/>
        <v/>
      </c>
    </row>
    <row r="35" spans="1:30" s="4" customFormat="1" ht="19.5" customHeight="1" x14ac:dyDescent="0.2">
      <c r="A35" s="17">
        <f>BEGINBLAD!D30</f>
        <v>0</v>
      </c>
      <c r="B35" s="40">
        <v>27</v>
      </c>
      <c r="C35" s="702">
        <f>BEGINBLAD!C30</f>
        <v>0</v>
      </c>
      <c r="D35" s="34"/>
      <c r="E35" s="33"/>
      <c r="F35" s="34"/>
      <c r="G35" s="34"/>
      <c r="H35" s="34"/>
      <c r="I35" s="599">
        <f t="shared" si="7"/>
        <v>0</v>
      </c>
      <c r="J35" s="444">
        <f t="shared" si="2"/>
        <v>0</v>
      </c>
      <c r="K35" s="10"/>
      <c r="L35" s="42" t="str">
        <f t="shared" si="3"/>
        <v/>
      </c>
      <c r="M35" s="42" t="str">
        <f t="shared" si="8"/>
        <v/>
      </c>
      <c r="N35" s="13"/>
      <c r="O35" s="729"/>
      <c r="P35" s="729"/>
      <c r="Q35" s="729"/>
      <c r="R35" s="17">
        <f>BEGINBLAD!D30</f>
        <v>0</v>
      </c>
      <c r="S35" s="40">
        <v>27</v>
      </c>
      <c r="T35" s="702">
        <f>BEGINBLAD!C30</f>
        <v>0</v>
      </c>
      <c r="U35" s="437"/>
      <c r="V35" s="437"/>
      <c r="W35" s="437"/>
      <c r="X35" s="437"/>
      <c r="Y35" s="437"/>
      <c r="Z35" s="444">
        <f t="shared" si="4"/>
        <v>0</v>
      </c>
      <c r="AA35" s="444">
        <f t="shared" si="5"/>
        <v>0</v>
      </c>
      <c r="AB35" s="10"/>
      <c r="AC35" s="447" t="str">
        <f t="shared" si="6"/>
        <v/>
      </c>
      <c r="AD35" s="446" t="str">
        <f t="shared" si="9"/>
        <v/>
      </c>
    </row>
    <row r="36" spans="1:30" ht="19.5" customHeight="1" x14ac:dyDescent="0.2">
      <c r="A36" s="18">
        <f>BEGINBLAD!D31</f>
        <v>0</v>
      </c>
      <c r="B36" s="40">
        <v>28</v>
      </c>
      <c r="C36" s="702">
        <f>BEGINBLAD!C31</f>
        <v>0</v>
      </c>
      <c r="D36" s="430"/>
      <c r="E36" s="32"/>
      <c r="F36" s="34"/>
      <c r="G36" s="36"/>
      <c r="H36" s="430"/>
      <c r="I36" s="599">
        <f t="shared" si="7"/>
        <v>0</v>
      </c>
      <c r="J36" s="444">
        <f t="shared" si="2"/>
        <v>0</v>
      </c>
      <c r="K36" s="10"/>
      <c r="L36" s="42" t="str">
        <f t="shared" si="3"/>
        <v/>
      </c>
      <c r="M36" s="42" t="str">
        <f t="shared" si="8"/>
        <v/>
      </c>
      <c r="N36" s="13"/>
      <c r="O36" s="729"/>
      <c r="P36" s="729"/>
      <c r="Q36" s="729"/>
      <c r="R36" s="17">
        <f>BEGINBLAD!D31</f>
        <v>0</v>
      </c>
      <c r="S36" s="40">
        <v>28</v>
      </c>
      <c r="T36" s="702">
        <f>BEGINBLAD!C31</f>
        <v>0</v>
      </c>
      <c r="U36" s="437"/>
      <c r="V36" s="437"/>
      <c r="W36" s="437"/>
      <c r="X36" s="437"/>
      <c r="Y36" s="437"/>
      <c r="Z36" s="444">
        <f t="shared" si="4"/>
        <v>0</v>
      </c>
      <c r="AA36" s="444">
        <f t="shared" si="5"/>
        <v>0</v>
      </c>
      <c r="AB36" s="10"/>
      <c r="AC36" s="447" t="str">
        <f t="shared" si="6"/>
        <v/>
      </c>
      <c r="AD36" s="446" t="str">
        <f t="shared" si="9"/>
        <v/>
      </c>
    </row>
    <row r="37" spans="1:30" s="4" customFormat="1" ht="19.5" customHeight="1" x14ac:dyDescent="0.2">
      <c r="A37" s="17">
        <f>BEGINBLAD!D32</f>
        <v>0</v>
      </c>
      <c r="B37" s="40">
        <v>29</v>
      </c>
      <c r="C37" s="702">
        <f>BEGINBLAD!C32</f>
        <v>0</v>
      </c>
      <c r="D37" s="430"/>
      <c r="E37" s="33"/>
      <c r="F37" s="35"/>
      <c r="G37" s="34"/>
      <c r="H37" s="430"/>
      <c r="I37" s="599">
        <f t="shared" si="7"/>
        <v>0</v>
      </c>
      <c r="J37" s="444">
        <f t="shared" si="2"/>
        <v>0</v>
      </c>
      <c r="K37" s="10"/>
      <c r="L37" s="42" t="str">
        <f t="shared" si="3"/>
        <v/>
      </c>
      <c r="M37" s="42" t="str">
        <f t="shared" si="8"/>
        <v/>
      </c>
      <c r="N37" s="13"/>
      <c r="O37" s="729"/>
      <c r="P37" s="729"/>
      <c r="Q37" s="729"/>
      <c r="R37" s="17">
        <f>BEGINBLAD!D32</f>
        <v>0</v>
      </c>
      <c r="S37" s="40">
        <v>29</v>
      </c>
      <c r="T37" s="702">
        <f>BEGINBLAD!C32</f>
        <v>0</v>
      </c>
      <c r="U37" s="437"/>
      <c r="V37" s="437"/>
      <c r="W37" s="437"/>
      <c r="X37" s="437"/>
      <c r="Y37" s="437"/>
      <c r="Z37" s="444">
        <f t="shared" si="4"/>
        <v>0</v>
      </c>
      <c r="AA37" s="444">
        <f t="shared" si="5"/>
        <v>0</v>
      </c>
      <c r="AB37" s="10"/>
      <c r="AC37" s="447" t="str">
        <f t="shared" si="6"/>
        <v/>
      </c>
      <c r="AD37" s="446" t="str">
        <f t="shared" si="9"/>
        <v/>
      </c>
    </row>
    <row r="38" spans="1:30" ht="19.5" customHeight="1" x14ac:dyDescent="0.2">
      <c r="A38" s="18">
        <f>BEGINBLAD!D33</f>
        <v>0</v>
      </c>
      <c r="B38" s="40">
        <v>30</v>
      </c>
      <c r="C38" s="702">
        <f>BEGINBLAD!C33</f>
        <v>0</v>
      </c>
      <c r="D38" s="21"/>
      <c r="E38" s="21"/>
      <c r="F38" s="21"/>
      <c r="G38" s="20"/>
      <c r="H38" s="20"/>
      <c r="I38" s="599">
        <f t="shared" si="7"/>
        <v>0</v>
      </c>
      <c r="J38" s="444">
        <f t="shared" si="2"/>
        <v>0</v>
      </c>
      <c r="K38" s="10"/>
      <c r="L38" s="42" t="str">
        <f t="shared" si="3"/>
        <v/>
      </c>
      <c r="M38" s="42" t="str">
        <f t="shared" si="8"/>
        <v/>
      </c>
      <c r="N38" s="13"/>
      <c r="O38" s="729"/>
      <c r="P38" s="729"/>
      <c r="Q38" s="729"/>
      <c r="R38" s="17">
        <f>BEGINBLAD!D33</f>
        <v>0</v>
      </c>
      <c r="S38" s="40">
        <v>30</v>
      </c>
      <c r="T38" s="702">
        <f>BEGINBLAD!C33</f>
        <v>0</v>
      </c>
      <c r="U38" s="439"/>
      <c r="V38" s="437"/>
      <c r="W38" s="437"/>
      <c r="X38" s="437"/>
      <c r="Y38" s="437"/>
      <c r="Z38" s="444">
        <f t="shared" si="4"/>
        <v>0</v>
      </c>
      <c r="AA38" s="444">
        <f t="shared" si="5"/>
        <v>0</v>
      </c>
      <c r="AB38" s="10"/>
      <c r="AC38" s="447" t="str">
        <f t="shared" si="6"/>
        <v/>
      </c>
      <c r="AD38" s="446" t="str">
        <f t="shared" si="9"/>
        <v/>
      </c>
    </row>
    <row r="39" spans="1:30" s="4" customFormat="1" ht="19.5" customHeight="1" x14ac:dyDescent="0.2">
      <c r="A39" s="17">
        <f>BEGINBLAD!D34</f>
        <v>0</v>
      </c>
      <c r="B39" s="40">
        <v>31</v>
      </c>
      <c r="C39" s="702">
        <f>BEGINBLAD!C34</f>
        <v>0</v>
      </c>
      <c r="D39" s="21"/>
      <c r="E39" s="21"/>
      <c r="F39" s="21"/>
      <c r="G39" s="21"/>
      <c r="H39" s="21"/>
      <c r="I39" s="599">
        <f t="shared" si="7"/>
        <v>0</v>
      </c>
      <c r="J39" s="444">
        <f t="shared" si="2"/>
        <v>0</v>
      </c>
      <c r="K39" s="10"/>
      <c r="L39" s="42" t="str">
        <f t="shared" si="3"/>
        <v/>
      </c>
      <c r="M39" s="42" t="str">
        <f t="shared" si="8"/>
        <v/>
      </c>
      <c r="N39" s="13"/>
      <c r="O39" s="729"/>
      <c r="P39" s="729"/>
      <c r="Q39" s="729"/>
      <c r="R39" s="17">
        <f>BEGINBLAD!D34</f>
        <v>0</v>
      </c>
      <c r="S39" s="40">
        <v>31</v>
      </c>
      <c r="T39" s="702">
        <f>BEGINBLAD!C34</f>
        <v>0</v>
      </c>
      <c r="U39" s="439"/>
      <c r="V39" s="437"/>
      <c r="W39" s="437"/>
      <c r="X39" s="437"/>
      <c r="Y39" s="437"/>
      <c r="Z39" s="444">
        <f t="shared" si="4"/>
        <v>0</v>
      </c>
      <c r="AA39" s="444">
        <f t="shared" si="5"/>
        <v>0</v>
      </c>
      <c r="AB39" s="10"/>
      <c r="AC39" s="447" t="str">
        <f t="shared" si="6"/>
        <v/>
      </c>
      <c r="AD39" s="446" t="str">
        <f t="shared" si="9"/>
        <v/>
      </c>
    </row>
    <row r="40" spans="1:30" ht="19.5" customHeight="1" x14ac:dyDescent="0.2">
      <c r="A40" s="18">
        <f>BEGINBLAD!D35</f>
        <v>0</v>
      </c>
      <c r="B40" s="40">
        <v>32</v>
      </c>
      <c r="C40" s="702">
        <f>BEGINBLAD!C35</f>
        <v>0</v>
      </c>
      <c r="D40" s="21"/>
      <c r="E40" s="21"/>
      <c r="F40" s="21"/>
      <c r="G40" s="21"/>
      <c r="H40" s="21"/>
      <c r="I40" s="599">
        <f t="shared" si="7"/>
        <v>0</v>
      </c>
      <c r="J40" s="444">
        <f t="shared" si="2"/>
        <v>0</v>
      </c>
      <c r="K40" s="10"/>
      <c r="L40" s="42" t="str">
        <f t="shared" si="3"/>
        <v/>
      </c>
      <c r="M40" s="42" t="str">
        <f t="shared" si="8"/>
        <v/>
      </c>
      <c r="N40" s="13"/>
      <c r="O40" s="729"/>
      <c r="P40" s="729"/>
      <c r="Q40" s="729"/>
      <c r="R40" s="17">
        <f>BEGINBLAD!D35</f>
        <v>0</v>
      </c>
      <c r="S40" s="40">
        <v>32</v>
      </c>
      <c r="T40" s="702">
        <f>BEGINBLAD!C35</f>
        <v>0</v>
      </c>
      <c r="U40" s="439"/>
      <c r="V40" s="437"/>
      <c r="W40" s="437"/>
      <c r="X40" s="437"/>
      <c r="Y40" s="437"/>
      <c r="Z40" s="444">
        <f t="shared" si="4"/>
        <v>0</v>
      </c>
      <c r="AA40" s="444">
        <f t="shared" si="5"/>
        <v>0</v>
      </c>
      <c r="AB40" s="10"/>
      <c r="AC40" s="447" t="str">
        <f t="shared" si="6"/>
        <v/>
      </c>
      <c r="AD40" s="446" t="str">
        <f t="shared" si="9"/>
        <v/>
      </c>
    </row>
    <row r="41" spans="1:30" s="4" customFormat="1" ht="19.5" customHeight="1" x14ac:dyDescent="0.2">
      <c r="A41" s="17">
        <f>BEGINBLAD!D36</f>
        <v>0</v>
      </c>
      <c r="B41" s="40">
        <v>33</v>
      </c>
      <c r="C41" s="702">
        <f>BEGINBLAD!C36</f>
        <v>0</v>
      </c>
      <c r="D41" s="21"/>
      <c r="E41" s="21"/>
      <c r="F41" s="21"/>
      <c r="G41" s="21"/>
      <c r="H41" s="21"/>
      <c r="I41" s="599">
        <f t="shared" si="7"/>
        <v>0</v>
      </c>
      <c r="J41" s="444">
        <f t="shared" si="2"/>
        <v>0</v>
      </c>
      <c r="K41" s="10"/>
      <c r="L41" s="42" t="str">
        <f t="shared" si="3"/>
        <v/>
      </c>
      <c r="M41" s="42" t="str">
        <f t="shared" si="8"/>
        <v/>
      </c>
      <c r="N41" s="13"/>
      <c r="O41" s="729"/>
      <c r="P41" s="729"/>
      <c r="Q41" s="729"/>
      <c r="R41" s="17">
        <f>BEGINBLAD!D36</f>
        <v>0</v>
      </c>
      <c r="S41" s="40">
        <v>33</v>
      </c>
      <c r="T41" s="702">
        <f>BEGINBLAD!C36</f>
        <v>0</v>
      </c>
      <c r="U41" s="439"/>
      <c r="V41" s="437"/>
      <c r="W41" s="437"/>
      <c r="X41" s="437"/>
      <c r="Y41" s="437"/>
      <c r="Z41" s="444">
        <f t="shared" si="4"/>
        <v>0</v>
      </c>
      <c r="AA41" s="444">
        <f t="shared" si="5"/>
        <v>0</v>
      </c>
      <c r="AB41" s="10"/>
      <c r="AC41" s="447" t="str">
        <f t="shared" si="6"/>
        <v/>
      </c>
      <c r="AD41" s="446" t="str">
        <f t="shared" si="9"/>
        <v/>
      </c>
    </row>
    <row r="42" spans="1:30" s="4" customFormat="1" ht="19.5" customHeight="1" x14ac:dyDescent="0.2">
      <c r="A42" s="17"/>
      <c r="B42" s="40">
        <v>34</v>
      </c>
      <c r="C42" s="702">
        <f>BEGINBLAD!C37</f>
        <v>0</v>
      </c>
      <c r="D42" s="21"/>
      <c r="E42" s="21"/>
      <c r="F42" s="21"/>
      <c r="G42" s="21"/>
      <c r="H42" s="21"/>
      <c r="I42" s="599">
        <f t="shared" si="7"/>
        <v>0</v>
      </c>
      <c r="J42" s="444">
        <f t="shared" si="2"/>
        <v>0</v>
      </c>
      <c r="K42" s="10"/>
      <c r="L42" s="42"/>
      <c r="M42" s="42"/>
      <c r="N42" s="13"/>
      <c r="O42" s="729"/>
      <c r="P42" s="729"/>
      <c r="Q42" s="729"/>
      <c r="R42" s="17">
        <f>BEGINBLAD!D37</f>
        <v>0</v>
      </c>
      <c r="S42" s="40">
        <v>34</v>
      </c>
      <c r="T42" s="702">
        <f>BEGINBLAD!C37</f>
        <v>0</v>
      </c>
      <c r="U42" s="439"/>
      <c r="V42" s="437"/>
      <c r="W42" s="437"/>
      <c r="X42" s="437"/>
      <c r="Y42" s="437"/>
      <c r="Z42" s="444">
        <f t="shared" si="4"/>
        <v>0</v>
      </c>
      <c r="AA42" s="444">
        <f t="shared" si="5"/>
        <v>0</v>
      </c>
      <c r="AB42" s="10"/>
      <c r="AC42" s="447" t="str">
        <f t="shared" si="6"/>
        <v/>
      </c>
      <c r="AD42" s="446" t="str">
        <f t="shared" si="9"/>
        <v/>
      </c>
    </row>
    <row r="43" spans="1:30" ht="19.5" customHeight="1" x14ac:dyDescent="0.2">
      <c r="A43" s="18">
        <f>BEGINBLAD!D37</f>
        <v>0</v>
      </c>
      <c r="B43" s="40">
        <v>35</v>
      </c>
      <c r="C43" s="702">
        <f>BEGINBLAD!C38</f>
        <v>0</v>
      </c>
      <c r="D43" s="21"/>
      <c r="E43" s="21"/>
      <c r="F43" s="21"/>
      <c r="G43" s="21"/>
      <c r="H43" s="21"/>
      <c r="I43" s="599">
        <f t="shared" si="7"/>
        <v>0</v>
      </c>
      <c r="J43" s="444">
        <f t="shared" si="2"/>
        <v>0</v>
      </c>
      <c r="K43" s="10"/>
      <c r="L43" s="42" t="str">
        <f t="shared" si="3"/>
        <v/>
      </c>
      <c r="M43" s="42" t="str">
        <f t="shared" si="8"/>
        <v/>
      </c>
      <c r="N43" s="13"/>
      <c r="O43" s="729"/>
      <c r="P43" s="729"/>
      <c r="Q43" s="729"/>
      <c r="R43" s="17">
        <f>BEGINBLAD!D38</f>
        <v>0</v>
      </c>
      <c r="S43" s="40">
        <v>35</v>
      </c>
      <c r="T43" s="702">
        <f>BEGINBLAD!C38</f>
        <v>0</v>
      </c>
      <c r="U43" s="439"/>
      <c r="V43" s="437"/>
      <c r="W43" s="437"/>
      <c r="X43" s="437"/>
      <c r="Y43" s="437"/>
      <c r="Z43" s="444">
        <f t="shared" ref="Z43:Z44" si="10">SUM(U43:Y43)</f>
        <v>0</v>
      </c>
      <c r="AA43" s="444">
        <f t="shared" ref="AA43:AA44" si="11">COUNTA(U43:Y43)</f>
        <v>0</v>
      </c>
      <c r="AB43" s="10"/>
      <c r="AC43" s="447" t="str">
        <f t="shared" si="6"/>
        <v/>
      </c>
      <c r="AD43" s="446" t="str">
        <f t="shared" si="9"/>
        <v/>
      </c>
    </row>
    <row r="44" spans="1:30" s="4" customFormat="1" ht="19.5" customHeight="1" x14ac:dyDescent="0.2">
      <c r="A44" s="17">
        <f>BEGINBLAD!D38</f>
        <v>0</v>
      </c>
      <c r="B44" s="40">
        <v>36</v>
      </c>
      <c r="C44" s="702">
        <f>BEGINBLAD!C39</f>
        <v>0</v>
      </c>
      <c r="D44" s="21"/>
      <c r="E44" s="21"/>
      <c r="F44" s="21"/>
      <c r="G44" s="21"/>
      <c r="H44" s="21"/>
      <c r="I44" s="599">
        <f t="shared" si="7"/>
        <v>0</v>
      </c>
      <c r="J44" s="444">
        <f t="shared" si="2"/>
        <v>0</v>
      </c>
      <c r="K44" s="10"/>
      <c r="L44" s="42" t="str">
        <f t="shared" si="3"/>
        <v/>
      </c>
      <c r="M44" s="42" t="str">
        <f t="shared" si="8"/>
        <v/>
      </c>
      <c r="N44" s="13"/>
      <c r="O44" s="729"/>
      <c r="P44" s="729"/>
      <c r="Q44" s="729"/>
      <c r="R44" s="17">
        <f>BEGINBLAD!D39</f>
        <v>0</v>
      </c>
      <c r="S44" s="40">
        <v>36</v>
      </c>
      <c r="T44" s="702">
        <f>BEGINBLAD!C39</f>
        <v>0</v>
      </c>
      <c r="U44" s="439"/>
      <c r="V44" s="437"/>
      <c r="W44" s="437"/>
      <c r="X44" s="437"/>
      <c r="Y44" s="437"/>
      <c r="Z44" s="444">
        <f t="shared" si="10"/>
        <v>0</v>
      </c>
      <c r="AA44" s="444">
        <f t="shared" si="11"/>
        <v>0</v>
      </c>
      <c r="AB44" s="10"/>
      <c r="AC44" s="447" t="str">
        <f t="shared" si="6"/>
        <v/>
      </c>
      <c r="AD44" s="446" t="str">
        <f t="shared" si="9"/>
        <v/>
      </c>
    </row>
    <row r="45" spans="1:30" ht="19.5" customHeight="1" x14ac:dyDescent="0.2">
      <c r="A45" s="429"/>
      <c r="B45" s="697"/>
      <c r="C45" s="11" t="s">
        <v>52</v>
      </c>
      <c r="D45" s="703">
        <f t="shared" ref="D45:J45" si="12">AVERAGE(D9:D44)</f>
        <v>2.0038461538461538</v>
      </c>
      <c r="E45" s="703">
        <f t="shared" si="12"/>
        <v>3.0884615384615381</v>
      </c>
      <c r="F45" s="703">
        <f t="shared" si="12"/>
        <v>2.3538461538461544</v>
      </c>
      <c r="G45" s="703"/>
      <c r="H45" s="703">
        <f t="shared" si="12"/>
        <v>2.4640000000000004</v>
      </c>
      <c r="I45" s="703">
        <f t="shared" si="12"/>
        <v>9.0305555555555568</v>
      </c>
      <c r="J45" s="703">
        <f t="shared" si="12"/>
        <v>3.5833333333333335</v>
      </c>
      <c r="K45" s="704"/>
      <c r="L45" s="703">
        <f>AVERAGE(L9:L44)</f>
        <v>2.5221153846153848</v>
      </c>
      <c r="M45" s="698"/>
      <c r="N45" s="730" t="s">
        <v>526</v>
      </c>
      <c r="O45" s="848">
        <f>O49/O53</f>
        <v>0.73076923076923073</v>
      </c>
      <c r="P45" s="848">
        <f t="shared" ref="P45:Q45" si="13">P49/P53</f>
        <v>0.34615384615384615</v>
      </c>
      <c r="Q45" s="848">
        <f t="shared" si="13"/>
        <v>0.88461538461538458</v>
      </c>
      <c r="R45" s="429"/>
      <c r="S45" s="697"/>
      <c r="T45" s="850"/>
      <c r="U45" s="704"/>
      <c r="V45" s="704"/>
      <c r="W45" s="704"/>
      <c r="X45" s="704"/>
      <c r="Y45" s="704"/>
      <c r="Z45" s="704"/>
      <c r="AA45" s="704"/>
      <c r="AB45" s="704"/>
      <c r="AC45" s="704"/>
      <c r="AD45" s="726"/>
    </row>
    <row r="46" spans="1:30" ht="19.5" customHeight="1" x14ac:dyDescent="0.2">
      <c r="A46" s="429"/>
      <c r="B46" s="697"/>
      <c r="C46" s="11" t="s">
        <v>53</v>
      </c>
      <c r="D46" s="12" t="str">
        <f>IF(D45="","",IF(D45&gt;4.5,"A-1+",IF(D45&gt;4,"A-1",IF(D45&gt;=4,"A-2",IF(D45&gt;3.4,"B-2",IF(D45&gt;=3,"B-3",IF(D45&gt;2.5,"C-3",IF(D45&gt;=2,"C-4",IF(D45&gt;1.6,"D-4",IF(D45&gt;=1,"D-5",IF(D45&gt;0.5,"E-5",IF(D45&gt;=0,"E-5-"))))))))))))</f>
        <v>C-4</v>
      </c>
      <c r="E46" s="12" t="str">
        <f t="shared" ref="E46:H46" si="14">IF(E45="","",IF(E45&gt;4.5,"A-1+",IF(E45&gt;4.2,"A-1",IF(E45&gt;=4,"A-2",IF(E45&gt;3.3,"B-2",IF(E45&gt;=3,"B-3",IF(E45&gt;2.4,"C-3",IF(E45&gt;=2,"C-4",IF(E45&gt;1.5,"D-4",IF(E45&gt;=1,"D-5",IF(E45&gt;0.5,"E-5",IF(E45&gt;=0,"E-5-"))))))))))))</f>
        <v>B-3</v>
      </c>
      <c r="F46" s="12" t="str">
        <f t="shared" si="14"/>
        <v>C-4</v>
      </c>
      <c r="G46" s="12"/>
      <c r="H46" s="12" t="str">
        <f t="shared" si="14"/>
        <v>C-3</v>
      </c>
      <c r="I46" s="12" t="str">
        <f t="shared" ref="I46:K46" si="15">IF(I45="","",IF(I45&gt;=4.5,"A+",IF(I45&gt;=4,"A",IF(I45&gt;=3,"B",IF(I45&gt;2.3,"C",IF(I45&gt;=2,"C-",IF(I45&gt;=1,"D",IF(I45&gt;0,"E"))))))))</f>
        <v>A+</v>
      </c>
      <c r="J46" s="12" t="str">
        <f t="shared" si="15"/>
        <v>B</v>
      </c>
      <c r="K46" s="13" t="str">
        <f t="shared" si="15"/>
        <v/>
      </c>
      <c r="L46" s="12" t="str">
        <f>IF(L45="","",IF(L45&gt;4.5,"A-1+",IF(L45&gt;4.2,"A-1",IF(L45&gt;=4,"A-2",IF(L45&gt;3.3,"B-2",IF(L45&gt;=3,"B-3",IF(L45&gt;2.4,"C-3",IF(L45&gt;=2,"C-4",IF(L45&gt;1.5,"D-4",IF(L45&gt;=1,"D-5",IF(L45&gt;0.5,"E-5",IF(L45&gt;=0,"E-5-"))))))))))))</f>
        <v>C-3</v>
      </c>
      <c r="M46" s="698"/>
      <c r="N46" s="730" t="s">
        <v>453</v>
      </c>
      <c r="O46" s="848">
        <f>O50/O53</f>
        <v>0.26923076923076922</v>
      </c>
      <c r="P46" s="848">
        <f t="shared" ref="P46:Q46" si="16">P50/P53</f>
        <v>0.57692307692307687</v>
      </c>
      <c r="Q46" s="848">
        <f t="shared" si="16"/>
        <v>0.11538461538461539</v>
      </c>
      <c r="R46" s="429"/>
      <c r="S46" s="697"/>
      <c r="T46" s="850"/>
      <c r="U46" s="13"/>
      <c r="V46" s="13"/>
      <c r="W46" s="13"/>
      <c r="X46" s="13"/>
      <c r="Y46" s="13"/>
      <c r="Z46" s="13"/>
      <c r="AA46" s="13"/>
      <c r="AB46" s="13"/>
      <c r="AC46" s="13"/>
      <c r="AD46" s="726"/>
    </row>
    <row r="47" spans="1:30" ht="19.5" customHeight="1" x14ac:dyDescent="0.2">
      <c r="A47" s="429"/>
      <c r="B47" s="697"/>
      <c r="C47" s="58">
        <f>BEGINBLAD!$D$40</f>
        <v>26</v>
      </c>
      <c r="D47" s="698"/>
      <c r="E47" s="698"/>
      <c r="F47" s="698"/>
      <c r="G47" s="698"/>
      <c r="H47" s="698"/>
      <c r="I47" s="698"/>
      <c r="J47" s="698"/>
      <c r="K47" s="698"/>
      <c r="L47" s="698"/>
      <c r="M47" s="698"/>
      <c r="N47" s="730" t="s">
        <v>455</v>
      </c>
      <c r="O47" s="848">
        <f>O51/O53</f>
        <v>0</v>
      </c>
      <c r="P47" s="848">
        <f t="shared" ref="P47:Q47" si="17">P51/P53</f>
        <v>7.6923076923076927E-2</v>
      </c>
      <c r="Q47" s="848">
        <f t="shared" si="17"/>
        <v>0</v>
      </c>
      <c r="R47" s="429"/>
      <c r="S47" s="697"/>
      <c r="T47" s="851"/>
      <c r="U47" s="726"/>
      <c r="V47" s="726"/>
      <c r="W47" s="726"/>
      <c r="X47" s="726"/>
      <c r="Y47" s="726"/>
      <c r="Z47" s="726"/>
      <c r="AA47" s="726"/>
      <c r="AB47" s="726"/>
      <c r="AC47" s="726"/>
      <c r="AD47" s="726"/>
    </row>
    <row r="48" spans="1:30" ht="19.5" customHeight="1" x14ac:dyDescent="0.2">
      <c r="A48" s="429"/>
      <c r="B48" s="697"/>
      <c r="C48" s="58"/>
      <c r="D48" s="698"/>
      <c r="E48" s="698"/>
      <c r="F48" s="698"/>
      <c r="G48" s="698"/>
      <c r="H48" s="698"/>
      <c r="I48" s="698"/>
      <c r="J48" s="698"/>
      <c r="K48" s="698"/>
      <c r="L48" s="698"/>
      <c r="M48" s="698"/>
      <c r="N48" s="730" t="s">
        <v>527</v>
      </c>
      <c r="O48" s="848">
        <f>O52/O53</f>
        <v>0.26923076923076922</v>
      </c>
      <c r="P48" s="848">
        <f t="shared" ref="P48:Q48" si="18">P52/P53</f>
        <v>0.65384615384615385</v>
      </c>
      <c r="Q48" s="848">
        <f t="shared" si="18"/>
        <v>0.11538461538461539</v>
      </c>
      <c r="R48" s="429"/>
      <c r="S48" s="697"/>
      <c r="T48" s="851"/>
      <c r="U48" s="726"/>
      <c r="V48" s="726"/>
      <c r="W48" s="726"/>
      <c r="X48" s="726"/>
      <c r="Y48" s="726"/>
      <c r="Z48" s="726"/>
      <c r="AA48" s="726"/>
      <c r="AB48" s="726"/>
      <c r="AC48" s="726"/>
      <c r="AD48" s="726"/>
    </row>
    <row r="49" spans="1:30" s="16" customFormat="1" ht="19.5" customHeight="1" x14ac:dyDescent="0.2">
      <c r="A49" s="708"/>
      <c r="B49" s="401"/>
      <c r="C49" s="765" t="s">
        <v>480</v>
      </c>
      <c r="D49" s="766">
        <f>LARGE(D9:D44,D51+1)</f>
        <v>2.2000000000000002</v>
      </c>
      <c r="E49" s="766">
        <f t="shared" ref="E49:H49" si="19">LARGE(E9:E44,E51+1)</f>
        <v>3.7</v>
      </c>
      <c r="F49" s="766">
        <f t="shared" si="19"/>
        <v>2.9</v>
      </c>
      <c r="G49" s="766">
        <f t="shared" si="19"/>
        <v>3.2</v>
      </c>
      <c r="H49" s="766">
        <f t="shared" si="19"/>
        <v>3.6</v>
      </c>
      <c r="I49" s="770"/>
      <c r="J49" s="770"/>
      <c r="K49" s="770"/>
      <c r="L49" s="768"/>
      <c r="M49" s="768"/>
      <c r="N49" s="849" t="s">
        <v>526</v>
      </c>
      <c r="O49" s="849">
        <f>COUNTIF(O9:O44,"&lt;1F")</f>
        <v>19</v>
      </c>
      <c r="P49" s="849">
        <f t="shared" ref="P49:Q49" si="20">COUNTIF(P9:P44,"&lt;1F")</f>
        <v>9</v>
      </c>
      <c r="Q49" s="849">
        <f t="shared" si="20"/>
        <v>23</v>
      </c>
      <c r="R49" s="429"/>
      <c r="S49" s="697"/>
      <c r="T49" s="851"/>
      <c r="U49" s="726"/>
      <c r="V49" s="726"/>
      <c r="W49" s="726"/>
      <c r="X49" s="726"/>
      <c r="Y49" s="726"/>
      <c r="Z49" s="726"/>
      <c r="AA49" s="726"/>
      <c r="AB49" s="726"/>
      <c r="AC49" s="726"/>
      <c r="AD49" s="726"/>
    </row>
    <row r="50" spans="1:30" s="16" customFormat="1" ht="19.5" customHeight="1" x14ac:dyDescent="0.2">
      <c r="B50" s="401"/>
      <c r="C50" s="765" t="s">
        <v>481</v>
      </c>
      <c r="D50" s="766">
        <f>SMALL(D9:D44,(D51+1))</f>
        <v>1.4</v>
      </c>
      <c r="E50" s="766">
        <f t="shared" ref="E50:H50" si="21">SMALL(E9:E44,(E51+1))</f>
        <v>2.2999999999999998</v>
      </c>
      <c r="F50" s="766">
        <f t="shared" si="21"/>
        <v>1.7</v>
      </c>
      <c r="G50" s="766">
        <f t="shared" si="21"/>
        <v>2.2000000000000002</v>
      </c>
      <c r="H50" s="766">
        <f t="shared" si="21"/>
        <v>1.1000000000000001</v>
      </c>
      <c r="I50" s="770"/>
      <c r="J50" s="770"/>
      <c r="K50" s="770"/>
      <c r="L50" s="768"/>
      <c r="M50" s="768"/>
      <c r="N50" s="849" t="s">
        <v>453</v>
      </c>
      <c r="O50" s="849">
        <f>COUNTIF(O9:O44,"1F")</f>
        <v>7</v>
      </c>
      <c r="P50" s="849">
        <f>COUNTIF(P9:P44,"1F")</f>
        <v>15</v>
      </c>
      <c r="Q50" s="849">
        <f>COUNTIF(Q9:Q44,"1F")</f>
        <v>3</v>
      </c>
      <c r="R50" s="2"/>
      <c r="S50" s="697"/>
      <c r="T50" s="58"/>
      <c r="U50" s="698"/>
      <c r="V50" s="698"/>
      <c r="W50" s="698"/>
      <c r="X50" s="698"/>
      <c r="Y50" s="698"/>
      <c r="Z50" s="698"/>
      <c r="AA50" s="698"/>
      <c r="AB50" s="698"/>
      <c r="AC50" s="698"/>
      <c r="AD50" s="698"/>
    </row>
    <row r="51" spans="1:30" s="16" customFormat="1" ht="19.5" customHeight="1" x14ac:dyDescent="0.2">
      <c r="B51" s="401"/>
      <c r="C51" s="767">
        <v>0.25</v>
      </c>
      <c r="D51" s="766">
        <f>D52*0.25</f>
        <v>6.5</v>
      </c>
      <c r="E51" s="766">
        <f t="shared" ref="E51:H51" si="22">E52*0.25</f>
        <v>6.5</v>
      </c>
      <c r="F51" s="766">
        <f t="shared" si="22"/>
        <v>6.5</v>
      </c>
      <c r="G51" s="766">
        <f t="shared" si="22"/>
        <v>6.5</v>
      </c>
      <c r="H51" s="766">
        <f t="shared" si="22"/>
        <v>6.25</v>
      </c>
      <c r="I51" s="709"/>
      <c r="J51" s="709"/>
      <c r="K51" s="709"/>
      <c r="L51" s="769"/>
      <c r="M51" s="769"/>
      <c r="N51" s="849" t="s">
        <v>455</v>
      </c>
      <c r="O51" s="849">
        <f>COUNTIF(O9:O44,"2F/1S")</f>
        <v>0</v>
      </c>
      <c r="P51" s="849">
        <f>COUNTIF(P9:P44,"2F/1S")</f>
        <v>2</v>
      </c>
      <c r="Q51" s="849">
        <f>COUNTIF(Q9:Q44,"2F/1S")</f>
        <v>0</v>
      </c>
      <c r="R51" s="2"/>
      <c r="S51" s="697"/>
      <c r="T51" s="58"/>
      <c r="U51" s="698"/>
      <c r="V51" s="698"/>
      <c r="W51" s="698"/>
      <c r="X51" s="698"/>
      <c r="Y51" s="698"/>
      <c r="Z51" s="698"/>
      <c r="AA51" s="698"/>
      <c r="AB51" s="698"/>
      <c r="AC51" s="698"/>
      <c r="AD51" s="698"/>
    </row>
    <row r="52" spans="1:30" s="16" customFormat="1" ht="19.5" customHeight="1" x14ac:dyDescent="0.2">
      <c r="B52" s="401"/>
      <c r="C52" s="767" t="s">
        <v>482</v>
      </c>
      <c r="D52" s="766">
        <f>COUNT(D9:D44)</f>
        <v>26</v>
      </c>
      <c r="E52" s="766">
        <f t="shared" ref="E52:H52" si="23">COUNT(E9:E44)</f>
        <v>26</v>
      </c>
      <c r="F52" s="766">
        <f t="shared" si="23"/>
        <v>26</v>
      </c>
      <c r="G52" s="766">
        <f t="shared" si="23"/>
        <v>26</v>
      </c>
      <c r="H52" s="766">
        <f t="shared" si="23"/>
        <v>25</v>
      </c>
      <c r="I52" s="709"/>
      <c r="J52" s="709"/>
      <c r="K52" s="709"/>
      <c r="L52" s="769"/>
      <c r="M52" s="769"/>
      <c r="N52" s="917" t="s">
        <v>527</v>
      </c>
      <c r="O52" s="917">
        <f>SUM(O50:O51)</f>
        <v>7</v>
      </c>
      <c r="P52" s="917">
        <f t="shared" ref="P52:Q52" si="24">SUM(P50:P51)</f>
        <v>17</v>
      </c>
      <c r="Q52" s="917">
        <f t="shared" si="24"/>
        <v>3</v>
      </c>
      <c r="R52" s="2"/>
      <c r="S52" s="697"/>
      <c r="T52" s="58"/>
      <c r="U52" s="698"/>
      <c r="V52" s="698"/>
      <c r="W52" s="698"/>
      <c r="X52" s="698"/>
      <c r="Y52" s="698"/>
      <c r="Z52" s="698"/>
      <c r="AA52" s="698"/>
      <c r="AB52" s="698"/>
      <c r="AC52" s="698"/>
      <c r="AD52" s="698"/>
    </row>
    <row r="53" spans="1:30" ht="19.5" customHeight="1" x14ac:dyDescent="0.2">
      <c r="B53" s="772"/>
      <c r="C53" s="834"/>
      <c r="D53" s="835"/>
      <c r="E53" s="835"/>
      <c r="F53" s="835"/>
      <c r="G53" s="835"/>
      <c r="H53" s="835"/>
      <c r="I53" s="174"/>
      <c r="J53" s="174"/>
      <c r="K53" s="174"/>
      <c r="L53" s="771"/>
      <c r="M53" s="174"/>
      <c r="N53" s="917" t="s">
        <v>107</v>
      </c>
      <c r="O53" s="917">
        <f>SUM(O49:O51)</f>
        <v>26</v>
      </c>
      <c r="P53" s="917">
        <f t="shared" ref="P53:Q53" si="25">SUM(P49:P51)</f>
        <v>26</v>
      </c>
      <c r="Q53" s="917">
        <f t="shared" si="25"/>
        <v>26</v>
      </c>
    </row>
    <row r="54" spans="1:30" x14ac:dyDescent="0.2">
      <c r="C54" s="742"/>
      <c r="D54" s="174"/>
      <c r="E54" s="174"/>
      <c r="F54" s="174"/>
      <c r="G54" s="174"/>
      <c r="H54" s="174"/>
      <c r="I54" s="174"/>
      <c r="J54" s="174"/>
      <c r="K54" s="174"/>
      <c r="L54" s="771"/>
      <c r="M54" s="174"/>
      <c r="N54" s="727"/>
      <c r="O54" s="727"/>
      <c r="P54" s="727"/>
      <c r="Q54" s="727"/>
    </row>
    <row r="55" spans="1:30" x14ac:dyDescent="0.2">
      <c r="C55" s="742"/>
      <c r="D55" s="174"/>
      <c r="E55" s="174"/>
      <c r="F55" s="174"/>
      <c r="G55" s="174"/>
      <c r="H55" s="174"/>
      <c r="I55" s="174"/>
      <c r="J55" s="174"/>
      <c r="K55" s="174"/>
      <c r="L55" s="771"/>
      <c r="M55" s="174"/>
      <c r="N55" s="727"/>
      <c r="O55" s="727"/>
      <c r="P55" s="727"/>
      <c r="Q55" s="727"/>
    </row>
    <row r="56" spans="1:30" x14ac:dyDescent="0.2">
      <c r="C56" s="742"/>
      <c r="D56" s="174"/>
      <c r="E56" s="174"/>
      <c r="F56" s="174"/>
      <c r="G56" s="174"/>
      <c r="H56" s="174"/>
      <c r="I56" s="174"/>
      <c r="J56" s="174"/>
      <c r="K56" s="174"/>
      <c r="L56" s="771"/>
      <c r="M56" s="174"/>
      <c r="N56" s="727"/>
      <c r="O56" s="727"/>
      <c r="P56" s="727"/>
      <c r="Q56" s="727"/>
    </row>
    <row r="57" spans="1:30" x14ac:dyDescent="0.2">
      <c r="C57" s="742"/>
      <c r="D57" s="174"/>
      <c r="E57" s="174"/>
      <c r="F57" s="174"/>
      <c r="G57" s="174"/>
      <c r="H57" s="174"/>
      <c r="I57" s="174"/>
      <c r="J57" s="174"/>
      <c r="K57" s="174"/>
      <c r="L57" s="174"/>
      <c r="M57" s="174"/>
      <c r="N57" s="727"/>
      <c r="O57" s="727"/>
      <c r="P57" s="727"/>
      <c r="Q57" s="727"/>
    </row>
    <row r="58" spans="1:30" x14ac:dyDescent="0.2">
      <c r="C58" s="742"/>
      <c r="D58" s="174"/>
      <c r="E58" s="174"/>
      <c r="F58" s="174"/>
      <c r="G58" s="174"/>
      <c r="H58" s="174"/>
      <c r="I58" s="174"/>
      <c r="J58" s="174"/>
      <c r="K58" s="174"/>
      <c r="L58" s="174"/>
      <c r="M58" s="174"/>
      <c r="N58" s="727"/>
      <c r="O58" s="727"/>
      <c r="P58" s="727"/>
      <c r="Q58" s="727"/>
    </row>
    <row r="59" spans="1:30" x14ac:dyDescent="0.2">
      <c r="C59" s="742"/>
      <c r="D59" s="174"/>
      <c r="E59" s="174"/>
      <c r="F59" s="174"/>
      <c r="G59" s="174"/>
      <c r="H59" s="174"/>
      <c r="I59" s="174"/>
      <c r="J59" s="174"/>
      <c r="K59" s="174"/>
      <c r="L59" s="174"/>
      <c r="M59" s="174"/>
      <c r="N59" s="727"/>
      <c r="O59" s="727"/>
      <c r="P59" s="727"/>
      <c r="Q59" s="727"/>
    </row>
    <row r="60" spans="1:30" x14ac:dyDescent="0.2">
      <c r="C60" s="742"/>
      <c r="D60" s="174"/>
      <c r="E60" s="174"/>
      <c r="F60" s="174"/>
      <c r="G60" s="174"/>
      <c r="H60" s="174"/>
      <c r="I60" s="174"/>
      <c r="J60" s="174"/>
      <c r="K60" s="174"/>
    </row>
    <row r="61" spans="1:30" x14ac:dyDescent="0.2">
      <c r="C61" s="742"/>
      <c r="D61" s="174"/>
      <c r="E61" s="174"/>
      <c r="F61" s="174"/>
      <c r="G61" s="174"/>
      <c r="H61" s="174"/>
    </row>
    <row r="62" spans="1:30" x14ac:dyDescent="0.2">
      <c r="C62" s="742"/>
      <c r="D62" s="174"/>
      <c r="E62" s="174"/>
      <c r="F62" s="174"/>
      <c r="G62" s="174"/>
      <c r="H62" s="174"/>
    </row>
    <row r="63" spans="1:30" x14ac:dyDescent="0.2">
      <c r="C63" s="742"/>
      <c r="D63" s="174"/>
      <c r="E63" s="174"/>
      <c r="F63" s="174"/>
      <c r="G63" s="174"/>
      <c r="H63" s="174"/>
    </row>
    <row r="64" spans="1:30" x14ac:dyDescent="0.2">
      <c r="C64" s="742"/>
      <c r="D64" s="174"/>
      <c r="E64" s="174"/>
      <c r="F64" s="174"/>
      <c r="G64" s="174"/>
      <c r="H64" s="174"/>
    </row>
    <row r="65" spans="3:8" x14ac:dyDescent="0.2">
      <c r="C65" s="742"/>
      <c r="D65" s="174"/>
      <c r="E65" s="174"/>
      <c r="F65" s="174"/>
      <c r="G65" s="174"/>
      <c r="H65" s="174"/>
    </row>
  </sheetData>
  <sheetProtection sheet="1" objects="1" scenarios="1"/>
  <mergeCells count="2">
    <mergeCell ref="D2:H2"/>
    <mergeCell ref="O2:Q6"/>
  </mergeCells>
  <phoneticPr fontId="20" type="noConversion"/>
  <conditionalFormatting sqref="C9:C44">
    <cfRule type="expression" dxfId="3229" priority="3634" stopIfTrue="1">
      <formula>$M9=""</formula>
    </cfRule>
    <cfRule type="expression" dxfId="3228" priority="3635" stopIfTrue="1">
      <formula>$M9="A+"</formula>
    </cfRule>
  </conditionalFormatting>
  <conditionalFormatting sqref="D39:H44 D38:F38">
    <cfRule type="cellIs" dxfId="3227" priority="3639" stopIfTrue="1" operator="between">
      <formula>0.1</formula>
      <formula>1.9</formula>
    </cfRule>
    <cfRule type="cellIs" dxfId="3226" priority="3640" stopIfTrue="1" operator="between">
      <formula>3</formula>
      <formula>3.9</formula>
    </cfRule>
    <cfRule type="cellIs" dxfId="3225" priority="3641" stopIfTrue="1" operator="between">
      <formula>4</formula>
      <formula>5</formula>
    </cfRule>
  </conditionalFormatting>
  <conditionalFormatting sqref="A8:A44">
    <cfRule type="cellIs" dxfId="3224" priority="3594" operator="greaterThan">
      <formula>0</formula>
    </cfRule>
  </conditionalFormatting>
  <conditionalFormatting sqref="D39:H44 D38:F38">
    <cfRule type="cellIs" dxfId="3223" priority="3503" operator="between">
      <formula>2</formula>
      <formula>2.9</formula>
    </cfRule>
  </conditionalFormatting>
  <conditionalFormatting sqref="L9:L44">
    <cfRule type="cellIs" dxfId="3222" priority="3034" stopIfTrue="1" operator="between">
      <formula>0.001</formula>
      <formula>1.999</formula>
    </cfRule>
    <cfRule type="cellIs" dxfId="3221" priority="3035" stopIfTrue="1" operator="between">
      <formula>3</formula>
      <formula>3.999</formula>
    </cfRule>
    <cfRule type="cellIs" dxfId="3220" priority="3036" stopIfTrue="1" operator="between">
      <formula>4</formula>
      <formula>5</formula>
    </cfRule>
  </conditionalFormatting>
  <conditionalFormatting sqref="D39:H44 D38:F38">
    <cfRule type="cellIs" dxfId="3219" priority="2869" operator="equal">
      <formula>""</formula>
    </cfRule>
  </conditionalFormatting>
  <conditionalFormatting sqref="G38:H38">
    <cfRule type="cellIs" dxfId="3218" priority="2341" stopIfTrue="1" operator="between">
      <formula>0.1</formula>
      <formula>1.9</formula>
    </cfRule>
    <cfRule type="cellIs" dxfId="3217" priority="2342" stopIfTrue="1" operator="between">
      <formula>3</formula>
      <formula>3.9</formula>
    </cfRule>
    <cfRule type="cellIs" dxfId="3216" priority="2343" stopIfTrue="1" operator="between">
      <formula>4</formula>
      <formula>5</formula>
    </cfRule>
  </conditionalFormatting>
  <conditionalFormatting sqref="G38:H38">
    <cfRule type="cellIs" dxfId="3215" priority="2340" operator="between">
      <formula>2</formula>
      <formula>2.9</formula>
    </cfRule>
  </conditionalFormatting>
  <conditionalFormatting sqref="G38:H38">
    <cfRule type="cellIs" dxfId="3214" priority="2339" operator="equal">
      <formula>""</formula>
    </cfRule>
  </conditionalFormatting>
  <conditionalFormatting sqref="T9:T44">
    <cfRule type="expression" dxfId="3213" priority="2160" stopIfTrue="1">
      <formula>$M9=""</formula>
    </cfRule>
    <cfRule type="expression" dxfId="3212" priority="2161" stopIfTrue="1">
      <formula>$M9="A+"</formula>
    </cfRule>
  </conditionalFormatting>
  <conditionalFormatting sqref="R8:R44">
    <cfRule type="cellIs" dxfId="3211" priority="2159" operator="greaterThan">
      <formula>0</formula>
    </cfRule>
  </conditionalFormatting>
  <conditionalFormatting sqref="AC9:AC44">
    <cfRule type="cellIs" dxfId="3210" priority="2155" stopIfTrue="1" operator="between">
      <formula>0.001</formula>
      <formula>1.999</formula>
    </cfRule>
    <cfRule type="cellIs" dxfId="3209" priority="2156" stopIfTrue="1" operator="between">
      <formula>3</formula>
      <formula>3.999</formula>
    </cfRule>
    <cfRule type="cellIs" dxfId="3208" priority="2157" stopIfTrue="1" operator="between">
      <formula>4</formula>
      <formula>5</formula>
    </cfRule>
  </conditionalFormatting>
  <conditionalFormatting sqref="U9:U44">
    <cfRule type="expression" dxfId="3207" priority="1733">
      <formula>$U9=""</formula>
    </cfRule>
    <cfRule type="expression" dxfId="3206" priority="1734">
      <formula>$U9&lt;=$U$4</formula>
    </cfRule>
    <cfRule type="expression" dxfId="3205" priority="1735">
      <formula>$U9&gt;=$U$3</formula>
    </cfRule>
  </conditionalFormatting>
  <conditionalFormatting sqref="V9:V44">
    <cfRule type="expression" dxfId="3204" priority="1730">
      <formula>$V9=""</formula>
    </cfRule>
    <cfRule type="expression" dxfId="3203" priority="1731">
      <formula>$V9&lt;=$V$4</formula>
    </cfRule>
    <cfRule type="expression" dxfId="3202" priority="1732">
      <formula>$V9&gt;=$V$3</formula>
    </cfRule>
  </conditionalFormatting>
  <conditionalFormatting sqref="W9:W44">
    <cfRule type="expression" dxfId="3201" priority="1727">
      <formula>$W9=""</formula>
    </cfRule>
    <cfRule type="expression" dxfId="3200" priority="1728">
      <formula>$W9&lt;=$W$4</formula>
    </cfRule>
    <cfRule type="expression" dxfId="3199" priority="1729">
      <formula>$W9&gt;=$W$3</formula>
    </cfRule>
  </conditionalFormatting>
  <conditionalFormatting sqref="X9:X44">
    <cfRule type="expression" dxfId="3198" priority="1724">
      <formula>$X9=""</formula>
    </cfRule>
    <cfRule type="expression" dxfId="3197" priority="1725">
      <formula>$X9&lt;=$X$4</formula>
    </cfRule>
    <cfRule type="expression" dxfId="3196" priority="1726">
      <formula>$X9&gt;=$X$3</formula>
    </cfRule>
  </conditionalFormatting>
  <conditionalFormatting sqref="Y9:Y44">
    <cfRule type="expression" dxfId="3195" priority="1721">
      <formula>$Y9=""</formula>
    </cfRule>
    <cfRule type="expression" dxfId="3194" priority="1722">
      <formula>$Y9&lt;=$Y$4</formula>
    </cfRule>
    <cfRule type="expression" dxfId="3193" priority="1723">
      <formula>$Y9&gt;=$Y$3</formula>
    </cfRule>
  </conditionalFormatting>
  <conditionalFormatting sqref="AD9:AD44">
    <cfRule type="cellIs" dxfId="3192" priority="1717" operator="equal">
      <formula>""</formula>
    </cfRule>
    <cfRule type="cellIs" dxfId="3191" priority="1719" operator="lessThan">
      <formula>0.9</formula>
    </cfRule>
    <cfRule type="cellIs" dxfId="3190" priority="1720" operator="greaterThanOrEqual">
      <formula>1.1</formula>
    </cfRule>
  </conditionalFormatting>
  <conditionalFormatting sqref="D23:D32">
    <cfRule type="cellIs" dxfId="3189" priority="469" stopIfTrue="1" operator="between">
      <formula>0.1</formula>
      <formula>1.9</formula>
    </cfRule>
    <cfRule type="cellIs" dxfId="3188" priority="470" stopIfTrue="1" operator="between">
      <formula>3</formula>
      <formula>3.9</formula>
    </cfRule>
    <cfRule type="cellIs" dxfId="3187" priority="471" stopIfTrue="1" operator="between">
      <formula>4</formula>
      <formula>5</formula>
    </cfRule>
  </conditionalFormatting>
  <conditionalFormatting sqref="D25">
    <cfRule type="cellIs" dxfId="3186" priority="466" stopIfTrue="1" operator="between">
      <formula>0.1</formula>
      <formula>1.9</formula>
    </cfRule>
    <cfRule type="cellIs" dxfId="3185" priority="467" stopIfTrue="1" operator="between">
      <formula>3</formula>
      <formula>3.9</formula>
    </cfRule>
    <cfRule type="cellIs" dxfId="3184" priority="468" stopIfTrue="1" operator="between">
      <formula>4</formula>
      <formula>5</formula>
    </cfRule>
  </conditionalFormatting>
  <conditionalFormatting sqref="D24">
    <cfRule type="cellIs" dxfId="3183" priority="441" stopIfTrue="1" operator="between">
      <formula>0.1</formula>
      <formula>1.9</formula>
    </cfRule>
    <cfRule type="cellIs" dxfId="3182" priority="442" stopIfTrue="1" operator="between">
      <formula>3</formula>
      <formula>3.9</formula>
    </cfRule>
    <cfRule type="cellIs" dxfId="3181" priority="443" stopIfTrue="1" operator="between">
      <formula>4</formula>
      <formula>5</formula>
    </cfRule>
  </conditionalFormatting>
  <conditionalFormatting sqref="E25">
    <cfRule type="cellIs" dxfId="3180" priority="435" stopIfTrue="1" operator="between">
      <formula>0.1</formula>
      <formula>1.9</formula>
    </cfRule>
    <cfRule type="cellIs" dxfId="3179" priority="436" stopIfTrue="1" operator="between">
      <formula>3</formula>
      <formula>3.9</formula>
    </cfRule>
    <cfRule type="cellIs" dxfId="3178" priority="437" stopIfTrue="1" operator="between">
      <formula>4</formula>
      <formula>5</formula>
    </cfRule>
  </conditionalFormatting>
  <conditionalFormatting sqref="D25">
    <cfRule type="cellIs" dxfId="3177" priority="432" stopIfTrue="1" operator="between">
      <formula>0.1</formula>
      <formula>1.9</formula>
    </cfRule>
    <cfRule type="cellIs" dxfId="3176" priority="433" stopIfTrue="1" operator="between">
      <formula>3</formula>
      <formula>3.9</formula>
    </cfRule>
    <cfRule type="cellIs" dxfId="3175" priority="434" stopIfTrue="1" operator="between">
      <formula>4</formula>
      <formula>5</formula>
    </cfRule>
  </conditionalFormatting>
  <conditionalFormatting sqref="E9:E23">
    <cfRule type="cellIs" dxfId="3174" priority="422" stopIfTrue="1" operator="between">
      <formula>0.1</formula>
      <formula>1.9</formula>
    </cfRule>
    <cfRule type="cellIs" dxfId="3173" priority="423" stopIfTrue="1" operator="between">
      <formula>3</formula>
      <formula>3.9</formula>
    </cfRule>
    <cfRule type="cellIs" dxfId="3172" priority="424" stopIfTrue="1" operator="between">
      <formula>4</formula>
      <formula>5</formula>
    </cfRule>
  </conditionalFormatting>
  <conditionalFormatting sqref="E20:E23">
    <cfRule type="cellIs" dxfId="3171" priority="419" stopIfTrue="1" operator="between">
      <formula>0.1</formula>
      <formula>1.9</formula>
    </cfRule>
    <cfRule type="cellIs" dxfId="3170" priority="420" stopIfTrue="1" operator="between">
      <formula>3</formula>
      <formula>3.9</formula>
    </cfRule>
    <cfRule type="cellIs" dxfId="3169" priority="421" stopIfTrue="1" operator="between">
      <formula>4</formula>
      <formula>5</formula>
    </cfRule>
  </conditionalFormatting>
  <conditionalFormatting sqref="E9:E23">
    <cfRule type="cellIs" dxfId="3168" priority="418" operator="between">
      <formula>2</formula>
      <formula>2.9</formula>
    </cfRule>
  </conditionalFormatting>
  <conditionalFormatting sqref="D19">
    <cfRule type="cellIs" dxfId="3167" priority="415" stopIfTrue="1" operator="between">
      <formula>0.1</formula>
      <formula>1.9</formula>
    </cfRule>
    <cfRule type="cellIs" dxfId="3166" priority="416" stopIfTrue="1" operator="between">
      <formula>3</formula>
      <formula>3.9</formula>
    </cfRule>
    <cfRule type="cellIs" dxfId="3165" priority="417" stopIfTrue="1" operator="between">
      <formula>4</formula>
      <formula>5</formula>
    </cfRule>
  </conditionalFormatting>
  <conditionalFormatting sqref="D9:D23">
    <cfRule type="cellIs" dxfId="3164" priority="412" stopIfTrue="1" operator="between">
      <formula>0.1</formula>
      <formula>1.9</formula>
    </cfRule>
    <cfRule type="cellIs" dxfId="3163" priority="413" stopIfTrue="1" operator="between">
      <formula>3</formula>
      <formula>3.9</formula>
    </cfRule>
    <cfRule type="cellIs" dxfId="3162" priority="414" stopIfTrue="1" operator="between">
      <formula>4</formula>
      <formula>5</formula>
    </cfRule>
  </conditionalFormatting>
  <conditionalFormatting sqref="D20:D23">
    <cfRule type="cellIs" dxfId="3161" priority="409" stopIfTrue="1" operator="between">
      <formula>0.1</formula>
      <formula>1.9</formula>
    </cfRule>
    <cfRule type="cellIs" dxfId="3160" priority="410" stopIfTrue="1" operator="between">
      <formula>3</formula>
      <formula>3.9</formula>
    </cfRule>
    <cfRule type="cellIs" dxfId="3159" priority="411" stopIfTrue="1" operator="between">
      <formula>4</formula>
      <formula>5</formula>
    </cfRule>
  </conditionalFormatting>
  <conditionalFormatting sqref="F25">
    <cfRule type="cellIs" dxfId="3158" priority="388" stopIfTrue="1" operator="between">
      <formula>0.1</formula>
      <formula>1.9</formula>
    </cfRule>
    <cfRule type="cellIs" dxfId="3157" priority="389" stopIfTrue="1" operator="between">
      <formula>3</formula>
      <formula>3.9</formula>
    </cfRule>
    <cfRule type="cellIs" dxfId="3156" priority="390" stopIfTrue="1" operator="between">
      <formula>4</formula>
      <formula>5</formula>
    </cfRule>
  </conditionalFormatting>
  <conditionalFormatting sqref="E31">
    <cfRule type="cellIs" dxfId="3155" priority="354" stopIfTrue="1" operator="between">
      <formula>0.1</formula>
      <formula>1.9</formula>
    </cfRule>
    <cfRule type="cellIs" dxfId="3154" priority="355" stopIfTrue="1" operator="between">
      <formula>3</formula>
      <formula>3.9</formula>
    </cfRule>
    <cfRule type="cellIs" dxfId="3153" priority="356" stopIfTrue="1" operator="between">
      <formula>4</formula>
      <formula>5</formula>
    </cfRule>
  </conditionalFormatting>
  <conditionalFormatting sqref="E26">
    <cfRule type="cellIs" dxfId="3152" priority="351" stopIfTrue="1" operator="between">
      <formula>0.1</formula>
      <formula>1.9</formula>
    </cfRule>
    <cfRule type="cellIs" dxfId="3151" priority="352" stopIfTrue="1" operator="between">
      <formula>3</formula>
      <formula>3.9</formula>
    </cfRule>
    <cfRule type="cellIs" dxfId="3150" priority="353" stopIfTrue="1" operator="between">
      <formula>4</formula>
      <formula>5</formula>
    </cfRule>
  </conditionalFormatting>
  <conditionalFormatting sqref="D26">
    <cfRule type="cellIs" dxfId="3149" priority="348" stopIfTrue="1" operator="between">
      <formula>0.1</formula>
      <formula>1.9</formula>
    </cfRule>
    <cfRule type="cellIs" dxfId="3148" priority="349" stopIfTrue="1" operator="between">
      <formula>3</formula>
      <formula>3.9</formula>
    </cfRule>
    <cfRule type="cellIs" dxfId="3147" priority="350" stopIfTrue="1" operator="between">
      <formula>4</formula>
      <formula>5</formula>
    </cfRule>
  </conditionalFormatting>
  <conditionalFormatting sqref="E27">
    <cfRule type="cellIs" dxfId="3146" priority="345" stopIfTrue="1" operator="between">
      <formula>0.1</formula>
      <formula>1.9</formula>
    </cfRule>
    <cfRule type="cellIs" dxfId="3145" priority="346" stopIfTrue="1" operator="between">
      <formula>3</formula>
      <formula>3.9</formula>
    </cfRule>
    <cfRule type="cellIs" dxfId="3144" priority="347" stopIfTrue="1" operator="between">
      <formula>4</formula>
      <formula>5</formula>
    </cfRule>
  </conditionalFormatting>
  <conditionalFormatting sqref="E27">
    <cfRule type="cellIs" dxfId="3143" priority="342" stopIfTrue="1" operator="between">
      <formula>0.1</formula>
      <formula>1.9</formula>
    </cfRule>
    <cfRule type="cellIs" dxfId="3142" priority="343" stopIfTrue="1" operator="between">
      <formula>3</formula>
      <formula>3.9</formula>
    </cfRule>
    <cfRule type="cellIs" dxfId="3141" priority="344" stopIfTrue="1" operator="between">
      <formula>4</formula>
      <formula>5</formula>
    </cfRule>
  </conditionalFormatting>
  <conditionalFormatting sqref="D27">
    <cfRule type="cellIs" dxfId="3140" priority="339" stopIfTrue="1" operator="between">
      <formula>0.1</formula>
      <formula>1.9</formula>
    </cfRule>
    <cfRule type="cellIs" dxfId="3139" priority="340" stopIfTrue="1" operator="between">
      <formula>3</formula>
      <formula>3.9</formula>
    </cfRule>
    <cfRule type="cellIs" dxfId="3138" priority="341" stopIfTrue="1" operator="between">
      <formula>4</formula>
      <formula>5</formula>
    </cfRule>
  </conditionalFormatting>
  <conditionalFormatting sqref="D25">
    <cfRule type="cellIs" dxfId="3137" priority="330" stopIfTrue="1" operator="between">
      <formula>0.1</formula>
      <formula>1.9</formula>
    </cfRule>
    <cfRule type="cellIs" dxfId="3136" priority="331" stopIfTrue="1" operator="between">
      <formula>3</formula>
      <formula>3.9</formula>
    </cfRule>
    <cfRule type="cellIs" dxfId="3135" priority="332" stopIfTrue="1" operator="between">
      <formula>4</formula>
      <formula>5</formula>
    </cfRule>
  </conditionalFormatting>
  <conditionalFormatting sqref="E26">
    <cfRule type="cellIs" dxfId="3134" priority="327" stopIfTrue="1" operator="between">
      <formula>0.1</formula>
      <formula>1.9</formula>
    </cfRule>
    <cfRule type="cellIs" dxfId="3133" priority="328" stopIfTrue="1" operator="between">
      <formula>3</formula>
      <formula>3.9</formula>
    </cfRule>
    <cfRule type="cellIs" dxfId="3132" priority="329" stopIfTrue="1" operator="between">
      <formula>4</formula>
      <formula>5</formula>
    </cfRule>
  </conditionalFormatting>
  <conditionalFormatting sqref="E26">
    <cfRule type="cellIs" dxfId="3131" priority="324" stopIfTrue="1" operator="between">
      <formula>0.1</formula>
      <formula>1.9</formula>
    </cfRule>
    <cfRule type="cellIs" dxfId="3130" priority="325" stopIfTrue="1" operator="between">
      <formula>3</formula>
      <formula>3.9</formula>
    </cfRule>
    <cfRule type="cellIs" dxfId="3129" priority="326" stopIfTrue="1" operator="between">
      <formula>4</formula>
      <formula>5</formula>
    </cfRule>
  </conditionalFormatting>
  <conditionalFormatting sqref="D26">
    <cfRule type="cellIs" dxfId="3128" priority="321" stopIfTrue="1" operator="between">
      <formula>0.1</formula>
      <formula>1.9</formula>
    </cfRule>
    <cfRule type="cellIs" dxfId="3127" priority="322" stopIfTrue="1" operator="between">
      <formula>3</formula>
      <formula>3.9</formula>
    </cfRule>
    <cfRule type="cellIs" dxfId="3126" priority="323" stopIfTrue="1" operator="between">
      <formula>4</formula>
      <formula>5</formula>
    </cfRule>
  </conditionalFormatting>
  <conditionalFormatting sqref="E32">
    <cfRule type="cellIs" dxfId="3125" priority="282" stopIfTrue="1" operator="between">
      <formula>0.1</formula>
      <formula>1.9</formula>
    </cfRule>
    <cfRule type="cellIs" dxfId="3124" priority="283" stopIfTrue="1" operator="between">
      <formula>3</formula>
      <formula>3.9</formula>
    </cfRule>
    <cfRule type="cellIs" dxfId="3123" priority="284" stopIfTrue="1" operator="between">
      <formula>4</formula>
      <formula>5</formula>
    </cfRule>
  </conditionalFormatting>
  <conditionalFormatting sqref="H30:H34 G33:G34">
    <cfRule type="cellIs" dxfId="3122" priority="279" stopIfTrue="1" operator="between">
      <formula>0.1</formula>
      <formula>1.9</formula>
    </cfRule>
    <cfRule type="cellIs" dxfId="3121" priority="280" stopIfTrue="1" operator="between">
      <formula>3</formula>
      <formula>3.9</formula>
    </cfRule>
    <cfRule type="cellIs" dxfId="3120" priority="281" stopIfTrue="1" operator="between">
      <formula>4</formula>
      <formula>5</formula>
    </cfRule>
  </conditionalFormatting>
  <conditionalFormatting sqref="H26">
    <cfRule type="cellIs" dxfId="3119" priority="253" stopIfTrue="1" operator="between">
      <formula>0.1</formula>
      <formula>1.9</formula>
    </cfRule>
    <cfRule type="cellIs" dxfId="3118" priority="254" stopIfTrue="1" operator="between">
      <formula>3</formula>
      <formula>3.9</formula>
    </cfRule>
    <cfRule type="cellIs" dxfId="3117" priority="255" stopIfTrue="1" operator="between">
      <formula>4</formula>
      <formula>5</formula>
    </cfRule>
  </conditionalFormatting>
  <conditionalFormatting sqref="G26:H26">
    <cfRule type="cellIs" dxfId="3116" priority="250" stopIfTrue="1" operator="between">
      <formula>0.1</formula>
      <formula>1.9</formula>
    </cfRule>
    <cfRule type="cellIs" dxfId="3115" priority="251" stopIfTrue="1" operator="between">
      <formula>3</formula>
      <formula>3.9</formula>
    </cfRule>
    <cfRule type="cellIs" dxfId="3114" priority="252" stopIfTrue="1" operator="between">
      <formula>4</formula>
      <formula>5</formula>
    </cfRule>
  </conditionalFormatting>
  <conditionalFormatting sqref="H27">
    <cfRule type="cellIs" dxfId="3113" priority="247" stopIfTrue="1" operator="between">
      <formula>0.1</formula>
      <formula>1.9</formula>
    </cfRule>
    <cfRule type="cellIs" dxfId="3112" priority="248" stopIfTrue="1" operator="between">
      <formula>3</formula>
      <formula>3.9</formula>
    </cfRule>
    <cfRule type="cellIs" dxfId="3111" priority="249" stopIfTrue="1" operator="between">
      <formula>4</formula>
      <formula>5</formula>
    </cfRule>
  </conditionalFormatting>
  <conditionalFormatting sqref="G24:H24">
    <cfRule type="cellIs" dxfId="3110" priority="244" stopIfTrue="1" operator="between">
      <formula>0.1</formula>
      <formula>1.9</formula>
    </cfRule>
    <cfRule type="cellIs" dxfId="3109" priority="245" stopIfTrue="1" operator="between">
      <formula>3</formula>
      <formula>3.9</formula>
    </cfRule>
    <cfRule type="cellIs" dxfId="3108" priority="246" stopIfTrue="1" operator="between">
      <formula>4</formula>
      <formula>5</formula>
    </cfRule>
  </conditionalFormatting>
  <conditionalFormatting sqref="H9:H23">
    <cfRule type="cellIs" dxfId="3107" priority="231" stopIfTrue="1" operator="between">
      <formula>0.1</formula>
      <formula>1.9</formula>
    </cfRule>
    <cfRule type="cellIs" dxfId="3106" priority="232" stopIfTrue="1" operator="between">
      <formula>3</formula>
      <formula>3.9</formula>
    </cfRule>
    <cfRule type="cellIs" dxfId="3105" priority="233" stopIfTrue="1" operator="between">
      <formula>4</formula>
      <formula>5</formula>
    </cfRule>
  </conditionalFormatting>
  <conditionalFormatting sqref="G19:H19">
    <cfRule type="cellIs" dxfId="3104" priority="228" stopIfTrue="1" operator="between">
      <formula>0.1</formula>
      <formula>1.9</formula>
    </cfRule>
    <cfRule type="cellIs" dxfId="3103" priority="229" stopIfTrue="1" operator="between">
      <formula>3</formula>
      <formula>3.9</formula>
    </cfRule>
    <cfRule type="cellIs" dxfId="3102" priority="230" stopIfTrue="1" operator="between">
      <formula>4</formula>
      <formula>5</formula>
    </cfRule>
  </conditionalFormatting>
  <conditionalFormatting sqref="G20:H20">
    <cfRule type="cellIs" dxfId="3101" priority="218" stopIfTrue="1" operator="between">
      <formula>0.1</formula>
      <formula>1.9</formula>
    </cfRule>
    <cfRule type="cellIs" dxfId="3100" priority="219" stopIfTrue="1" operator="between">
      <formula>3</formula>
      <formula>3.9</formula>
    </cfRule>
    <cfRule type="cellIs" dxfId="3099" priority="220" stopIfTrue="1" operator="between">
      <formula>4</formula>
      <formula>5</formula>
    </cfRule>
  </conditionalFormatting>
  <conditionalFormatting sqref="H28">
    <cfRule type="cellIs" dxfId="3098" priority="202" stopIfTrue="1" operator="between">
      <formula>0.1</formula>
      <formula>1.9</formula>
    </cfRule>
    <cfRule type="cellIs" dxfId="3097" priority="203" stopIfTrue="1" operator="between">
      <formula>3</formula>
      <formula>3.9</formula>
    </cfRule>
    <cfRule type="cellIs" dxfId="3096" priority="204" stopIfTrue="1" operator="between">
      <formula>4</formula>
      <formula>5</formula>
    </cfRule>
  </conditionalFormatting>
  <conditionalFormatting sqref="H26">
    <cfRule type="cellIs" dxfId="3095" priority="196" stopIfTrue="1" operator="between">
      <formula>0.1</formula>
      <formula>1.9</formula>
    </cfRule>
    <cfRule type="cellIs" dxfId="3094" priority="197" stopIfTrue="1" operator="between">
      <formula>3</formula>
      <formula>3.9</formula>
    </cfRule>
    <cfRule type="cellIs" dxfId="3093" priority="198" stopIfTrue="1" operator="between">
      <formula>4</formula>
      <formula>5</formula>
    </cfRule>
  </conditionalFormatting>
  <conditionalFormatting sqref="E28">
    <cfRule type="cellIs" dxfId="3092" priority="79" stopIfTrue="1" operator="between">
      <formula>0.1</formula>
      <formula>1.9</formula>
    </cfRule>
    <cfRule type="cellIs" dxfId="3091" priority="80" stopIfTrue="1" operator="between">
      <formula>3</formula>
      <formula>3.9</formula>
    </cfRule>
    <cfRule type="cellIs" dxfId="3090" priority="81" stopIfTrue="1" operator="between">
      <formula>4</formula>
      <formula>5</formula>
    </cfRule>
  </conditionalFormatting>
  <conditionalFormatting sqref="F27">
    <cfRule type="cellIs" dxfId="3089" priority="76" stopIfTrue="1" operator="between">
      <formula>0.1</formula>
      <formula>1.9</formula>
    </cfRule>
    <cfRule type="cellIs" dxfId="3088" priority="77" stopIfTrue="1" operator="between">
      <formula>3</formula>
      <formula>3.9</formula>
    </cfRule>
    <cfRule type="cellIs" dxfId="3087" priority="78" stopIfTrue="1" operator="between">
      <formula>4</formula>
      <formula>5</formula>
    </cfRule>
  </conditionalFormatting>
  <conditionalFormatting sqref="F28">
    <cfRule type="cellIs" dxfId="3086" priority="73" stopIfTrue="1" operator="between">
      <formula>0.1</formula>
      <formula>1.9</formula>
    </cfRule>
    <cfRule type="cellIs" dxfId="3085" priority="74" stopIfTrue="1" operator="between">
      <formula>3</formula>
      <formula>3.9</formula>
    </cfRule>
    <cfRule type="cellIs" dxfId="3084" priority="75" stopIfTrue="1" operator="between">
      <formula>4</formula>
      <formula>5</formula>
    </cfRule>
  </conditionalFormatting>
  <conditionalFormatting sqref="E27">
    <cfRule type="cellIs" dxfId="3083" priority="88" stopIfTrue="1" operator="between">
      <formula>0.1</formula>
      <formula>1.9</formula>
    </cfRule>
    <cfRule type="cellIs" dxfId="3082" priority="89" stopIfTrue="1" operator="between">
      <formula>3</formula>
      <formula>3.9</formula>
    </cfRule>
    <cfRule type="cellIs" dxfId="3081" priority="90" stopIfTrue="1" operator="between">
      <formula>4</formula>
      <formula>5</formula>
    </cfRule>
  </conditionalFormatting>
  <conditionalFormatting sqref="E27">
    <cfRule type="cellIs" dxfId="3080" priority="85" stopIfTrue="1" operator="between">
      <formula>0.1</formula>
      <formula>1.9</formula>
    </cfRule>
    <cfRule type="cellIs" dxfId="3079" priority="86" stopIfTrue="1" operator="between">
      <formula>3</formula>
      <formula>3.9</formula>
    </cfRule>
    <cfRule type="cellIs" dxfId="3078" priority="87" stopIfTrue="1" operator="between">
      <formula>4</formula>
      <formula>5</formula>
    </cfRule>
  </conditionalFormatting>
  <conditionalFormatting sqref="D27">
    <cfRule type="cellIs" dxfId="3077" priority="82" stopIfTrue="1" operator="between">
      <formula>0.1</formula>
      <formula>1.9</formula>
    </cfRule>
    <cfRule type="cellIs" dxfId="3076" priority="83" stopIfTrue="1" operator="between">
      <formula>3</formula>
      <formula>3.9</formula>
    </cfRule>
    <cfRule type="cellIs" dxfId="3075" priority="84" stopIfTrue="1" operator="between">
      <formula>4</formula>
      <formula>5</formula>
    </cfRule>
  </conditionalFormatting>
  <conditionalFormatting sqref="G25:H25">
    <cfRule type="cellIs" dxfId="3074" priority="43" stopIfTrue="1" operator="between">
      <formula>0.1</formula>
      <formula>1.9</formula>
    </cfRule>
    <cfRule type="cellIs" dxfId="3073" priority="44" stopIfTrue="1" operator="between">
      <formula>3</formula>
      <formula>3.9</formula>
    </cfRule>
    <cfRule type="cellIs" dxfId="3072" priority="45" stopIfTrue="1" operator="between">
      <formula>4</formula>
      <formula>5</formula>
    </cfRule>
  </conditionalFormatting>
  <conditionalFormatting sqref="H27">
    <cfRule type="cellIs" dxfId="3071" priority="52" stopIfTrue="1" operator="between">
      <formula>0.1</formula>
      <formula>1.9</formula>
    </cfRule>
    <cfRule type="cellIs" dxfId="3070" priority="53" stopIfTrue="1" operator="between">
      <formula>3</formula>
      <formula>3.9</formula>
    </cfRule>
    <cfRule type="cellIs" dxfId="3069" priority="54" stopIfTrue="1" operator="between">
      <formula>4</formula>
      <formula>5</formula>
    </cfRule>
  </conditionalFormatting>
  <conditionalFormatting sqref="G27:H27">
    <cfRule type="cellIs" dxfId="3068" priority="49" stopIfTrue="1" operator="between">
      <formula>0.1</formula>
      <formula>1.9</formula>
    </cfRule>
    <cfRule type="cellIs" dxfId="3067" priority="50" stopIfTrue="1" operator="between">
      <formula>3</formula>
      <formula>3.9</formula>
    </cfRule>
    <cfRule type="cellIs" dxfId="3066" priority="51" stopIfTrue="1" operator="between">
      <formula>4</formula>
      <formula>5</formula>
    </cfRule>
  </conditionalFormatting>
  <conditionalFormatting sqref="H28">
    <cfRule type="cellIs" dxfId="3065" priority="46" stopIfTrue="1" operator="between">
      <formula>0.1</formula>
      <formula>1.9</formula>
    </cfRule>
    <cfRule type="cellIs" dxfId="3064" priority="47" stopIfTrue="1" operator="between">
      <formula>3</formula>
      <formula>3.9</formula>
    </cfRule>
    <cfRule type="cellIs" dxfId="3063" priority="48" stopIfTrue="1" operator="between">
      <formula>4</formula>
      <formula>5</formula>
    </cfRule>
  </conditionalFormatting>
  <conditionalFormatting sqref="H28">
    <cfRule type="cellIs" dxfId="3062" priority="25" stopIfTrue="1" operator="between">
      <formula>0.1</formula>
      <formula>1.9</formula>
    </cfRule>
    <cfRule type="cellIs" dxfId="3061" priority="26" stopIfTrue="1" operator="between">
      <formula>3</formula>
      <formula>3.9</formula>
    </cfRule>
    <cfRule type="cellIs" dxfId="3060" priority="27" stopIfTrue="1" operator="between">
      <formula>4</formula>
      <formula>5</formula>
    </cfRule>
  </conditionalFormatting>
  <conditionalFormatting sqref="O9:Q44">
    <cfRule type="cellIs" dxfId="3059" priority="608" operator="equal">
      <formula>"2F/1S"</formula>
    </cfRule>
    <cfRule type="cellIs" dxfId="3058" priority="609" operator="equal">
      <formula>"1F"</formula>
    </cfRule>
    <cfRule type="cellIs" dxfId="3057" priority="610" operator="equal">
      <formula>"&lt;1F"</formula>
    </cfRule>
  </conditionalFormatting>
  <conditionalFormatting sqref="D46:L46">
    <cfRule type="cellIs" dxfId="3056" priority="601" stopIfTrue="1" operator="between">
      <formula>"D-3"</formula>
      <formula>"E-5"</formula>
    </cfRule>
    <cfRule type="cellIs" dxfId="3055" priority="602" stopIfTrue="1" operator="between">
      <formula>"B-2"</formula>
      <formula>"B-3"</formula>
    </cfRule>
    <cfRule type="cellIs" dxfId="3054" priority="603" stopIfTrue="1" operator="between">
      <formula>"A-1"</formula>
      <formula>"A-2"</formula>
    </cfRule>
  </conditionalFormatting>
  <conditionalFormatting sqref="D45:L45">
    <cfRule type="cellIs" dxfId="3053" priority="604" stopIfTrue="1" operator="between">
      <formula>0.001</formula>
      <formula>1.999</formula>
    </cfRule>
    <cfRule type="cellIs" dxfId="3052" priority="605" stopIfTrue="1" operator="between">
      <formula>3</formula>
      <formula>3.999</formula>
    </cfRule>
    <cfRule type="cellIs" dxfId="3051" priority="606" stopIfTrue="1" operator="between">
      <formula>4</formula>
      <formula>5</formula>
    </cfRule>
  </conditionalFormatting>
  <conditionalFormatting sqref="D46:H46">
    <cfRule type="cellIs" dxfId="3050" priority="599" operator="equal">
      <formula>"E-5-"</formula>
    </cfRule>
    <cfRule type="cellIs" dxfId="3049" priority="600" operator="equal">
      <formula>"A-1+"</formula>
    </cfRule>
  </conditionalFormatting>
  <conditionalFormatting sqref="L46">
    <cfRule type="cellIs" dxfId="3048" priority="597" operator="equal">
      <formula>"E-5-"</formula>
    </cfRule>
    <cfRule type="cellIs" dxfId="3047" priority="598" operator="equal">
      <formula>"A-1+"</formula>
    </cfRule>
  </conditionalFormatting>
  <conditionalFormatting sqref="D37">
    <cfRule type="cellIs" dxfId="3046" priority="594" stopIfTrue="1" operator="between">
      <formula>0.1</formula>
      <formula>1.9</formula>
    </cfRule>
    <cfRule type="cellIs" dxfId="3045" priority="595" stopIfTrue="1" operator="between">
      <formula>3</formula>
      <formula>3.9</formula>
    </cfRule>
    <cfRule type="cellIs" dxfId="3044" priority="596" stopIfTrue="1" operator="between">
      <formula>4</formula>
      <formula>5</formula>
    </cfRule>
  </conditionalFormatting>
  <conditionalFormatting sqref="D37">
    <cfRule type="cellIs" dxfId="3043" priority="593" operator="between">
      <formula>2</formula>
      <formula>2.9</formula>
    </cfRule>
  </conditionalFormatting>
  <conditionalFormatting sqref="D36">
    <cfRule type="cellIs" dxfId="3042" priority="590" stopIfTrue="1" operator="between">
      <formula>0.1</formula>
      <formula>1.9</formula>
    </cfRule>
    <cfRule type="cellIs" dxfId="3041" priority="591" stopIfTrue="1" operator="between">
      <formula>3</formula>
      <formula>3.9</formula>
    </cfRule>
    <cfRule type="cellIs" dxfId="3040" priority="592" stopIfTrue="1" operator="between">
      <formula>4</formula>
      <formula>5</formula>
    </cfRule>
  </conditionalFormatting>
  <conditionalFormatting sqref="D36">
    <cfRule type="cellIs" dxfId="3039" priority="589" operator="between">
      <formula>2</formula>
      <formula>2.9</formula>
    </cfRule>
  </conditionalFormatting>
  <conditionalFormatting sqref="D36:D37">
    <cfRule type="cellIs" dxfId="3038" priority="588" operator="equal">
      <formula>""</formula>
    </cfRule>
  </conditionalFormatting>
  <conditionalFormatting sqref="D36:D37">
    <cfRule type="cellIs" dxfId="3037" priority="585" stopIfTrue="1" operator="between">
      <formula>0.1</formula>
      <formula>1.9</formula>
    </cfRule>
    <cfRule type="cellIs" dxfId="3036" priority="586" stopIfTrue="1" operator="between">
      <formula>3</formula>
      <formula>3.9</formula>
    </cfRule>
    <cfRule type="cellIs" dxfId="3035" priority="587" stopIfTrue="1" operator="between">
      <formula>4</formula>
      <formula>5</formula>
    </cfRule>
  </conditionalFormatting>
  <conditionalFormatting sqref="D36:D37">
    <cfRule type="cellIs" dxfId="3034" priority="584" operator="between">
      <formula>2</formula>
      <formula>2.9</formula>
    </cfRule>
  </conditionalFormatting>
  <conditionalFormatting sqref="D37">
    <cfRule type="cellIs" dxfId="3033" priority="581" stopIfTrue="1" operator="between">
      <formula>0.1</formula>
      <formula>1.9</formula>
    </cfRule>
    <cfRule type="cellIs" dxfId="3032" priority="582" stopIfTrue="1" operator="between">
      <formula>3</formula>
      <formula>3.9</formula>
    </cfRule>
    <cfRule type="cellIs" dxfId="3031" priority="583" stopIfTrue="1" operator="between">
      <formula>4</formula>
      <formula>5</formula>
    </cfRule>
  </conditionalFormatting>
  <conditionalFormatting sqref="D37">
    <cfRule type="cellIs" dxfId="3030" priority="580" operator="between">
      <formula>2</formula>
      <formula>2.9</formula>
    </cfRule>
  </conditionalFormatting>
  <conditionalFormatting sqref="E37:F37">
    <cfRule type="cellIs" dxfId="3029" priority="577" stopIfTrue="1" operator="between">
      <formula>0.1</formula>
      <formula>1.9</formula>
    </cfRule>
    <cfRule type="cellIs" dxfId="3028" priority="578" stopIfTrue="1" operator="between">
      <formula>3</formula>
      <formula>3.9</formula>
    </cfRule>
    <cfRule type="cellIs" dxfId="3027" priority="579" stopIfTrue="1" operator="between">
      <formula>4</formula>
      <formula>5</formula>
    </cfRule>
  </conditionalFormatting>
  <conditionalFormatting sqref="E37:F37">
    <cfRule type="cellIs" dxfId="3026" priority="576" operator="between">
      <formula>2</formula>
      <formula>2.9</formula>
    </cfRule>
  </conditionalFormatting>
  <conditionalFormatting sqref="E35:E37">
    <cfRule type="cellIs" dxfId="3025" priority="573" stopIfTrue="1" operator="between">
      <formula>0.1</formula>
      <formula>1.9</formula>
    </cfRule>
    <cfRule type="cellIs" dxfId="3024" priority="574" stopIfTrue="1" operator="between">
      <formula>3</formula>
      <formula>3.9</formula>
    </cfRule>
    <cfRule type="cellIs" dxfId="3023" priority="575" stopIfTrue="1" operator="between">
      <formula>4</formula>
      <formula>5</formula>
    </cfRule>
  </conditionalFormatting>
  <conditionalFormatting sqref="E35:E37">
    <cfRule type="cellIs" dxfId="3022" priority="572" operator="between">
      <formula>2</formula>
      <formula>2.9</formula>
    </cfRule>
  </conditionalFormatting>
  <conditionalFormatting sqref="E37:F37 E35:E36">
    <cfRule type="cellIs" dxfId="3021" priority="571" operator="equal">
      <formula>""</formula>
    </cfRule>
  </conditionalFormatting>
  <conditionalFormatting sqref="F35:F37">
    <cfRule type="cellIs" dxfId="3020" priority="568" stopIfTrue="1" operator="between">
      <formula>0.1</formula>
      <formula>1.9</formula>
    </cfRule>
    <cfRule type="cellIs" dxfId="3019" priority="569" stopIfTrue="1" operator="between">
      <formula>3</formula>
      <formula>3.9</formula>
    </cfRule>
    <cfRule type="cellIs" dxfId="3018" priority="570" stopIfTrue="1" operator="between">
      <formula>4</formula>
      <formula>5</formula>
    </cfRule>
  </conditionalFormatting>
  <conditionalFormatting sqref="F35:F37">
    <cfRule type="cellIs" dxfId="3017" priority="567" operator="between">
      <formula>2</formula>
      <formula>2.9</formula>
    </cfRule>
  </conditionalFormatting>
  <conditionalFormatting sqref="F35:F37">
    <cfRule type="cellIs" dxfId="3016" priority="566" operator="equal">
      <formula>""</formula>
    </cfRule>
  </conditionalFormatting>
  <conditionalFormatting sqref="H37">
    <cfRule type="cellIs" dxfId="3015" priority="563" stopIfTrue="1" operator="between">
      <formula>0.1</formula>
      <formula>1.9</formula>
    </cfRule>
    <cfRule type="cellIs" dxfId="3014" priority="564" stopIfTrue="1" operator="between">
      <formula>3</formula>
      <formula>3.9</formula>
    </cfRule>
    <cfRule type="cellIs" dxfId="3013" priority="565" stopIfTrue="1" operator="between">
      <formula>4</formula>
      <formula>5</formula>
    </cfRule>
  </conditionalFormatting>
  <conditionalFormatting sqref="H37">
    <cfRule type="cellIs" dxfId="3012" priority="562" operator="between">
      <formula>2</formula>
      <formula>2.9</formula>
    </cfRule>
  </conditionalFormatting>
  <conditionalFormatting sqref="H36">
    <cfRule type="cellIs" dxfId="3011" priority="559" stopIfTrue="1" operator="between">
      <formula>0.1</formula>
      <formula>1.9</formula>
    </cfRule>
    <cfRule type="cellIs" dxfId="3010" priority="560" stopIfTrue="1" operator="between">
      <formula>3</formula>
      <formula>3.9</formula>
    </cfRule>
    <cfRule type="cellIs" dxfId="3009" priority="561" stopIfTrue="1" operator="between">
      <formula>4</formula>
      <formula>5</formula>
    </cfRule>
  </conditionalFormatting>
  <conditionalFormatting sqref="H36">
    <cfRule type="cellIs" dxfId="3008" priority="558" operator="between">
      <formula>2</formula>
      <formula>2.9</formula>
    </cfRule>
  </conditionalFormatting>
  <conditionalFormatting sqref="H36:H37">
    <cfRule type="cellIs" dxfId="3007" priority="557" operator="equal">
      <formula>""</formula>
    </cfRule>
  </conditionalFormatting>
  <conditionalFormatting sqref="H36:H37">
    <cfRule type="cellIs" dxfId="3006" priority="554" stopIfTrue="1" operator="between">
      <formula>0.1</formula>
      <formula>1.9</formula>
    </cfRule>
    <cfRule type="cellIs" dxfId="3005" priority="555" stopIfTrue="1" operator="between">
      <formula>3</formula>
      <formula>3.9</formula>
    </cfRule>
    <cfRule type="cellIs" dxfId="3004" priority="556" stopIfTrue="1" operator="between">
      <formula>4</formula>
      <formula>5</formula>
    </cfRule>
  </conditionalFormatting>
  <conditionalFormatting sqref="H36:H37">
    <cfRule type="cellIs" dxfId="3003" priority="553" operator="between">
      <formula>2</formula>
      <formula>2.9</formula>
    </cfRule>
  </conditionalFormatting>
  <conditionalFormatting sqref="H37">
    <cfRule type="cellIs" dxfId="3002" priority="550" stopIfTrue="1" operator="between">
      <formula>0.1</formula>
      <formula>1.9</formula>
    </cfRule>
    <cfRule type="cellIs" dxfId="3001" priority="551" stopIfTrue="1" operator="between">
      <formula>3</formula>
      <formula>3.9</formula>
    </cfRule>
    <cfRule type="cellIs" dxfId="3000" priority="552" stopIfTrue="1" operator="between">
      <formula>4</formula>
      <formula>5</formula>
    </cfRule>
  </conditionalFormatting>
  <conditionalFormatting sqref="H37">
    <cfRule type="cellIs" dxfId="2999" priority="549" operator="between">
      <formula>2</formula>
      <formula>2.9</formula>
    </cfRule>
  </conditionalFormatting>
  <conditionalFormatting sqref="G37">
    <cfRule type="cellIs" dxfId="2998" priority="546" stopIfTrue="1" operator="between">
      <formula>0.1</formula>
      <formula>1.9</formula>
    </cfRule>
    <cfRule type="cellIs" dxfId="2997" priority="547" stopIfTrue="1" operator="between">
      <formula>3</formula>
      <formula>3.9</formula>
    </cfRule>
    <cfRule type="cellIs" dxfId="2996" priority="548" stopIfTrue="1" operator="between">
      <formula>4</formula>
      <formula>5</formula>
    </cfRule>
  </conditionalFormatting>
  <conditionalFormatting sqref="G37">
    <cfRule type="cellIs" dxfId="2995" priority="545" operator="between">
      <formula>2</formula>
      <formula>2.9</formula>
    </cfRule>
  </conditionalFormatting>
  <conditionalFormatting sqref="G35:G37">
    <cfRule type="cellIs" dxfId="2994" priority="542" stopIfTrue="1" operator="between">
      <formula>0.1</formula>
      <formula>1.9</formula>
    </cfRule>
    <cfRule type="cellIs" dxfId="2993" priority="543" stopIfTrue="1" operator="between">
      <formula>3</formula>
      <formula>3.9</formula>
    </cfRule>
    <cfRule type="cellIs" dxfId="2992" priority="544" stopIfTrue="1" operator="between">
      <formula>4</formula>
      <formula>5</formula>
    </cfRule>
  </conditionalFormatting>
  <conditionalFormatting sqref="G35:G37">
    <cfRule type="cellIs" dxfId="2991" priority="541" operator="between">
      <formula>2</formula>
      <formula>2.9</formula>
    </cfRule>
  </conditionalFormatting>
  <conditionalFormatting sqref="G35:G37">
    <cfRule type="cellIs" dxfId="2990" priority="540" operator="equal">
      <formula>""</formula>
    </cfRule>
  </conditionalFormatting>
  <conditionalFormatting sqref="H35">
    <cfRule type="cellIs" dxfId="2989" priority="537" stopIfTrue="1" operator="between">
      <formula>0.1</formula>
      <formula>1.9</formula>
    </cfRule>
    <cfRule type="cellIs" dxfId="2988" priority="538" stopIfTrue="1" operator="between">
      <formula>3</formula>
      <formula>3.9</formula>
    </cfRule>
    <cfRule type="cellIs" dxfId="2987" priority="539" stopIfTrue="1" operator="between">
      <formula>4</formula>
      <formula>5</formula>
    </cfRule>
  </conditionalFormatting>
  <conditionalFormatting sqref="H35">
    <cfRule type="cellIs" dxfId="2986" priority="536" operator="between">
      <formula>2</formula>
      <formula>2.9</formula>
    </cfRule>
  </conditionalFormatting>
  <conditionalFormatting sqref="H35">
    <cfRule type="cellIs" dxfId="2985" priority="535" operator="equal">
      <formula>""</formula>
    </cfRule>
  </conditionalFormatting>
  <conditionalFormatting sqref="D35">
    <cfRule type="cellIs" dxfId="2984" priority="532" stopIfTrue="1" operator="between">
      <formula>0.1</formula>
      <formula>1.9</formula>
    </cfRule>
    <cfRule type="cellIs" dxfId="2983" priority="533" stopIfTrue="1" operator="between">
      <formula>3</formula>
      <formula>3.9</formula>
    </cfRule>
    <cfRule type="cellIs" dxfId="2982" priority="534" stopIfTrue="1" operator="between">
      <formula>4</formula>
      <formula>5</formula>
    </cfRule>
  </conditionalFormatting>
  <conditionalFormatting sqref="D35">
    <cfRule type="cellIs" dxfId="2981" priority="531" operator="between">
      <formula>2</formula>
      <formula>2.9</formula>
    </cfRule>
  </conditionalFormatting>
  <conditionalFormatting sqref="D35">
    <cfRule type="cellIs" dxfId="2980" priority="530" operator="equal">
      <formula>""</formula>
    </cfRule>
  </conditionalFormatting>
  <conditionalFormatting sqref="H34">
    <cfRule type="cellIs" dxfId="2979" priority="527" stopIfTrue="1" operator="between">
      <formula>0.1</formula>
      <formula>1.9</formula>
    </cfRule>
    <cfRule type="cellIs" dxfId="2978" priority="528" stopIfTrue="1" operator="between">
      <formula>3</formula>
      <formula>3.9</formula>
    </cfRule>
    <cfRule type="cellIs" dxfId="2977" priority="529" stopIfTrue="1" operator="between">
      <formula>4</formula>
      <formula>5</formula>
    </cfRule>
  </conditionalFormatting>
  <conditionalFormatting sqref="H34">
    <cfRule type="cellIs" dxfId="2976" priority="524" stopIfTrue="1" operator="between">
      <formula>0.1</formula>
      <formula>1.9</formula>
    </cfRule>
    <cfRule type="cellIs" dxfId="2975" priority="525" stopIfTrue="1" operator="between">
      <formula>3</formula>
      <formula>3.9</formula>
    </cfRule>
    <cfRule type="cellIs" dxfId="2974" priority="526" stopIfTrue="1" operator="between">
      <formula>4</formula>
      <formula>5</formula>
    </cfRule>
  </conditionalFormatting>
  <conditionalFormatting sqref="H34">
    <cfRule type="cellIs" dxfId="2973" priority="523" operator="between">
      <formula>2</formula>
      <formula>2.9</formula>
    </cfRule>
  </conditionalFormatting>
  <conditionalFormatting sqref="H34">
    <cfRule type="cellIs" dxfId="2972" priority="522" operator="equal">
      <formula>""</formula>
    </cfRule>
  </conditionalFormatting>
  <conditionalFormatting sqref="G34">
    <cfRule type="cellIs" dxfId="2971" priority="519" stopIfTrue="1" operator="between">
      <formula>0.1</formula>
      <formula>1.9</formula>
    </cfRule>
    <cfRule type="cellIs" dxfId="2970" priority="520" stopIfTrue="1" operator="between">
      <formula>3</formula>
      <formula>3.9</formula>
    </cfRule>
    <cfRule type="cellIs" dxfId="2969" priority="521" stopIfTrue="1" operator="between">
      <formula>4</formula>
      <formula>5</formula>
    </cfRule>
  </conditionalFormatting>
  <conditionalFormatting sqref="G34">
    <cfRule type="cellIs" dxfId="2968" priority="516" stopIfTrue="1" operator="between">
      <formula>0.1</formula>
      <formula>1.9</formula>
    </cfRule>
    <cfRule type="cellIs" dxfId="2967" priority="517" stopIfTrue="1" operator="between">
      <formula>3</formula>
      <formula>3.9</formula>
    </cfRule>
    <cfRule type="cellIs" dxfId="2966" priority="518" stopIfTrue="1" operator="between">
      <formula>4</formula>
      <formula>5</formula>
    </cfRule>
  </conditionalFormatting>
  <conditionalFormatting sqref="G34">
    <cfRule type="cellIs" dxfId="2965" priority="515" operator="between">
      <formula>2</formula>
      <formula>2.9</formula>
    </cfRule>
  </conditionalFormatting>
  <conditionalFormatting sqref="G34">
    <cfRule type="cellIs" dxfId="2964" priority="514" operator="equal">
      <formula>""</formula>
    </cfRule>
  </conditionalFormatting>
  <conditionalFormatting sqref="E34:F34">
    <cfRule type="cellIs" dxfId="2963" priority="511" stopIfTrue="1" operator="between">
      <formula>0.1</formula>
      <formula>1.9</formula>
    </cfRule>
    <cfRule type="cellIs" dxfId="2962" priority="512" stopIfTrue="1" operator="between">
      <formula>3</formula>
      <formula>3.9</formula>
    </cfRule>
    <cfRule type="cellIs" dxfId="2961" priority="513" stopIfTrue="1" operator="between">
      <formula>4</formula>
      <formula>5</formula>
    </cfRule>
  </conditionalFormatting>
  <conditionalFormatting sqref="E34:F34">
    <cfRule type="cellIs" dxfId="2960" priority="510" operator="between">
      <formula>2</formula>
      <formula>2.9</formula>
    </cfRule>
  </conditionalFormatting>
  <conditionalFormatting sqref="D34">
    <cfRule type="cellIs" dxfId="2959" priority="507" stopIfTrue="1" operator="between">
      <formula>0.1</formula>
      <formula>1.9</formula>
    </cfRule>
    <cfRule type="cellIs" dxfId="2958" priority="508" stopIfTrue="1" operator="between">
      <formula>3</formula>
      <formula>3.9</formula>
    </cfRule>
    <cfRule type="cellIs" dxfId="2957" priority="509" stopIfTrue="1" operator="between">
      <formula>4</formula>
      <formula>5</formula>
    </cfRule>
  </conditionalFormatting>
  <conditionalFormatting sqref="D34">
    <cfRule type="cellIs" dxfId="2956" priority="506" operator="between">
      <formula>2</formula>
      <formula>2.9</formula>
    </cfRule>
  </conditionalFormatting>
  <conditionalFormatting sqref="D34:F34">
    <cfRule type="cellIs" dxfId="2955" priority="505" operator="equal">
      <formula>""</formula>
    </cfRule>
  </conditionalFormatting>
  <conditionalFormatting sqref="E33">
    <cfRule type="cellIs" dxfId="2954" priority="502" stopIfTrue="1" operator="between">
      <formula>0.1</formula>
      <formula>1.9</formula>
    </cfRule>
    <cfRule type="cellIs" dxfId="2953" priority="503" stopIfTrue="1" operator="between">
      <formula>3</formula>
      <formula>3.9</formula>
    </cfRule>
    <cfRule type="cellIs" dxfId="2952" priority="504" stopIfTrue="1" operator="between">
      <formula>4</formula>
      <formula>5</formula>
    </cfRule>
  </conditionalFormatting>
  <conditionalFormatting sqref="E30">
    <cfRule type="cellIs" dxfId="2951" priority="499" stopIfTrue="1" operator="between">
      <formula>0.1</formula>
      <formula>1.9</formula>
    </cfRule>
    <cfRule type="cellIs" dxfId="2950" priority="500" stopIfTrue="1" operator="between">
      <formula>3</formula>
      <formula>3.9</formula>
    </cfRule>
    <cfRule type="cellIs" dxfId="2949" priority="501" stopIfTrue="1" operator="between">
      <formula>4</formula>
      <formula>5</formula>
    </cfRule>
  </conditionalFormatting>
  <conditionalFormatting sqref="E30:E34">
    <cfRule type="cellIs" dxfId="2948" priority="496" stopIfTrue="1" operator="between">
      <formula>0.1</formula>
      <formula>1.9</formula>
    </cfRule>
    <cfRule type="cellIs" dxfId="2947" priority="497" stopIfTrue="1" operator="between">
      <formula>3</formula>
      <formula>3.9</formula>
    </cfRule>
    <cfRule type="cellIs" dxfId="2946" priority="498" stopIfTrue="1" operator="between">
      <formula>4</formula>
      <formula>5</formula>
    </cfRule>
  </conditionalFormatting>
  <conditionalFormatting sqref="E30:E34">
    <cfRule type="cellIs" dxfId="2945" priority="495" operator="between">
      <formula>2</formula>
      <formula>2.9</formula>
    </cfRule>
  </conditionalFormatting>
  <conditionalFormatting sqref="D33">
    <cfRule type="cellIs" dxfId="2944" priority="492" stopIfTrue="1" operator="between">
      <formula>0.1</formula>
      <formula>1.9</formula>
    </cfRule>
    <cfRule type="cellIs" dxfId="2943" priority="493" stopIfTrue="1" operator="between">
      <formula>3</formula>
      <formula>3.9</formula>
    </cfRule>
    <cfRule type="cellIs" dxfId="2942" priority="494" stopIfTrue="1" operator="between">
      <formula>4</formula>
      <formula>5</formula>
    </cfRule>
  </conditionalFormatting>
  <conditionalFormatting sqref="D30:D34">
    <cfRule type="cellIs" dxfId="2941" priority="489" stopIfTrue="1" operator="between">
      <formula>0.1</formula>
      <formula>1.9</formula>
    </cfRule>
    <cfRule type="cellIs" dxfId="2940" priority="490" stopIfTrue="1" operator="between">
      <formula>3</formula>
      <formula>3.9</formula>
    </cfRule>
    <cfRule type="cellIs" dxfId="2939" priority="491" stopIfTrue="1" operator="between">
      <formula>4</formula>
      <formula>5</formula>
    </cfRule>
  </conditionalFormatting>
  <conditionalFormatting sqref="D30:D34">
    <cfRule type="cellIs" dxfId="2938" priority="486" stopIfTrue="1" operator="between">
      <formula>0.1</formula>
      <formula>1.9</formula>
    </cfRule>
    <cfRule type="cellIs" dxfId="2937" priority="487" stopIfTrue="1" operator="between">
      <formula>3</formula>
      <formula>3.9</formula>
    </cfRule>
    <cfRule type="cellIs" dxfId="2936" priority="488" stopIfTrue="1" operator="between">
      <formula>4</formula>
      <formula>5</formula>
    </cfRule>
  </conditionalFormatting>
  <conditionalFormatting sqref="D30:D34">
    <cfRule type="cellIs" dxfId="2935" priority="485" operator="between">
      <formula>2</formula>
      <formula>2.9</formula>
    </cfRule>
  </conditionalFormatting>
  <conditionalFormatting sqref="E23:E32">
    <cfRule type="cellIs" dxfId="2934" priority="482" stopIfTrue="1" operator="between">
      <formula>0.1</formula>
      <formula>1.9</formula>
    </cfRule>
    <cfRule type="cellIs" dxfId="2933" priority="483" stopIfTrue="1" operator="between">
      <formula>3</formula>
      <formula>3.9</formula>
    </cfRule>
    <cfRule type="cellIs" dxfId="2932" priority="484" stopIfTrue="1" operator="between">
      <formula>4</formula>
      <formula>5</formula>
    </cfRule>
  </conditionalFormatting>
  <conditionalFormatting sqref="E25">
    <cfRule type="cellIs" dxfId="2931" priority="479" stopIfTrue="1" operator="between">
      <formula>0.1</formula>
      <formula>1.9</formula>
    </cfRule>
    <cfRule type="cellIs" dxfId="2930" priority="480" stopIfTrue="1" operator="between">
      <formula>3</formula>
      <formula>3.9</formula>
    </cfRule>
    <cfRule type="cellIs" dxfId="2929" priority="481" stopIfTrue="1" operator="between">
      <formula>4</formula>
      <formula>5</formula>
    </cfRule>
  </conditionalFormatting>
  <conditionalFormatting sqref="E23:E29">
    <cfRule type="cellIs" dxfId="2928" priority="476" stopIfTrue="1" operator="between">
      <formula>0.1</formula>
      <formula>1.9</formula>
    </cfRule>
    <cfRule type="cellIs" dxfId="2927" priority="477" stopIfTrue="1" operator="between">
      <formula>3</formula>
      <formula>3.9</formula>
    </cfRule>
    <cfRule type="cellIs" dxfId="2926" priority="478" stopIfTrue="1" operator="between">
      <formula>4</formula>
      <formula>5</formula>
    </cfRule>
  </conditionalFormatting>
  <conditionalFormatting sqref="E25:E32">
    <cfRule type="cellIs" dxfId="2925" priority="473" stopIfTrue="1" operator="between">
      <formula>0.1</formula>
      <formula>1.9</formula>
    </cfRule>
    <cfRule type="cellIs" dxfId="2924" priority="474" stopIfTrue="1" operator="between">
      <formula>3</formula>
      <formula>3.9</formula>
    </cfRule>
    <cfRule type="cellIs" dxfId="2923" priority="475" stopIfTrue="1" operator="between">
      <formula>4</formula>
      <formula>5</formula>
    </cfRule>
  </conditionalFormatting>
  <conditionalFormatting sqref="E23:E32">
    <cfRule type="cellIs" dxfId="2922" priority="472" operator="between">
      <formula>2</formula>
      <formula>2.9</formula>
    </cfRule>
  </conditionalFormatting>
  <conditionalFormatting sqref="D23:D28">
    <cfRule type="cellIs" dxfId="2921" priority="463" stopIfTrue="1" operator="between">
      <formula>0.1</formula>
      <formula>1.9</formula>
    </cfRule>
    <cfRule type="cellIs" dxfId="2920" priority="464" stopIfTrue="1" operator="between">
      <formula>3</formula>
      <formula>3.9</formula>
    </cfRule>
    <cfRule type="cellIs" dxfId="2919" priority="465" stopIfTrue="1" operator="between">
      <formula>4</formula>
      <formula>5</formula>
    </cfRule>
  </conditionalFormatting>
  <conditionalFormatting sqref="D25:D32">
    <cfRule type="cellIs" dxfId="2918" priority="460" stopIfTrue="1" operator="between">
      <formula>0.1</formula>
      <formula>1.9</formula>
    </cfRule>
    <cfRule type="cellIs" dxfId="2917" priority="461" stopIfTrue="1" operator="between">
      <formula>3</formula>
      <formula>3.9</formula>
    </cfRule>
    <cfRule type="cellIs" dxfId="2916" priority="462" stopIfTrue="1" operator="between">
      <formula>4</formula>
      <formula>5</formula>
    </cfRule>
  </conditionalFormatting>
  <conditionalFormatting sqref="D23:D32">
    <cfRule type="cellIs" dxfId="2915" priority="459" operator="between">
      <formula>2</formula>
      <formula>2.9</formula>
    </cfRule>
  </conditionalFormatting>
  <conditionalFormatting sqref="E26">
    <cfRule type="cellIs" dxfId="2914" priority="456" stopIfTrue="1" operator="between">
      <formula>0.1</formula>
      <formula>1.9</formula>
    </cfRule>
    <cfRule type="cellIs" dxfId="2913" priority="457" stopIfTrue="1" operator="between">
      <formula>3</formula>
      <formula>3.9</formula>
    </cfRule>
    <cfRule type="cellIs" dxfId="2912" priority="458" stopIfTrue="1" operator="between">
      <formula>4</formula>
      <formula>5</formula>
    </cfRule>
  </conditionalFormatting>
  <conditionalFormatting sqref="E26">
    <cfRule type="cellIs" dxfId="2911" priority="453" stopIfTrue="1" operator="between">
      <formula>0.1</formula>
      <formula>1.9</formula>
    </cfRule>
    <cfRule type="cellIs" dxfId="2910" priority="454" stopIfTrue="1" operator="between">
      <formula>3</formula>
      <formula>3.9</formula>
    </cfRule>
    <cfRule type="cellIs" dxfId="2909" priority="455" stopIfTrue="1" operator="between">
      <formula>4</formula>
      <formula>5</formula>
    </cfRule>
  </conditionalFormatting>
  <conditionalFormatting sqref="D26">
    <cfRule type="cellIs" dxfId="2908" priority="450" stopIfTrue="1" operator="between">
      <formula>0.1</formula>
      <formula>1.9</formula>
    </cfRule>
    <cfRule type="cellIs" dxfId="2907" priority="451" stopIfTrue="1" operator="between">
      <formula>3</formula>
      <formula>3.9</formula>
    </cfRule>
    <cfRule type="cellIs" dxfId="2906" priority="452" stopIfTrue="1" operator="between">
      <formula>4</formula>
      <formula>5</formula>
    </cfRule>
  </conditionalFormatting>
  <conditionalFormatting sqref="E27">
    <cfRule type="cellIs" dxfId="2905" priority="447" stopIfTrue="1" operator="between">
      <formula>0.1</formula>
      <formula>1.9</formula>
    </cfRule>
    <cfRule type="cellIs" dxfId="2904" priority="448" stopIfTrue="1" operator="between">
      <formula>3</formula>
      <formula>3.9</formula>
    </cfRule>
    <cfRule type="cellIs" dxfId="2903" priority="449" stopIfTrue="1" operator="between">
      <formula>4</formula>
      <formula>5</formula>
    </cfRule>
  </conditionalFormatting>
  <conditionalFormatting sqref="E24">
    <cfRule type="cellIs" dxfId="2902" priority="444" stopIfTrue="1" operator="between">
      <formula>0.1</formula>
      <formula>1.9</formula>
    </cfRule>
    <cfRule type="cellIs" dxfId="2901" priority="445" stopIfTrue="1" operator="between">
      <formula>3</formula>
      <formula>3.9</formula>
    </cfRule>
    <cfRule type="cellIs" dxfId="2900" priority="446" stopIfTrue="1" operator="between">
      <formula>4</formula>
      <formula>5</formula>
    </cfRule>
  </conditionalFormatting>
  <conditionalFormatting sqref="E25">
    <cfRule type="cellIs" dxfId="2899" priority="438" stopIfTrue="1" operator="between">
      <formula>0.1</formula>
      <formula>1.9</formula>
    </cfRule>
    <cfRule type="cellIs" dxfId="2898" priority="439" stopIfTrue="1" operator="between">
      <formula>3</formula>
      <formula>3.9</formula>
    </cfRule>
    <cfRule type="cellIs" dxfId="2897" priority="440" stopIfTrue="1" operator="between">
      <formula>4</formula>
      <formula>5</formula>
    </cfRule>
  </conditionalFormatting>
  <conditionalFormatting sqref="E26">
    <cfRule type="cellIs" dxfId="2896" priority="429" stopIfTrue="1" operator="between">
      <formula>0.1</formula>
      <formula>1.9</formula>
    </cfRule>
    <cfRule type="cellIs" dxfId="2895" priority="430" stopIfTrue="1" operator="between">
      <formula>3</formula>
      <formula>3.9</formula>
    </cfRule>
    <cfRule type="cellIs" dxfId="2894" priority="431" stopIfTrue="1" operator="between">
      <formula>4</formula>
      <formula>5</formula>
    </cfRule>
  </conditionalFormatting>
  <conditionalFormatting sqref="D23:E34">
    <cfRule type="cellIs" dxfId="2893" priority="428" operator="equal">
      <formula>""</formula>
    </cfRule>
  </conditionalFormatting>
  <conditionalFormatting sqref="E19">
    <cfRule type="cellIs" dxfId="2892" priority="425" stopIfTrue="1" operator="between">
      <formula>0.1</formula>
      <formula>1.9</formula>
    </cfRule>
    <cfRule type="cellIs" dxfId="2891" priority="426" stopIfTrue="1" operator="between">
      <formula>3</formula>
      <formula>3.9</formula>
    </cfRule>
    <cfRule type="cellIs" dxfId="2890" priority="427" stopIfTrue="1" operator="between">
      <formula>4</formula>
      <formula>5</formula>
    </cfRule>
  </conditionalFormatting>
  <conditionalFormatting sqref="D9:D23">
    <cfRule type="cellIs" dxfId="2889" priority="408" operator="between">
      <formula>2</formula>
      <formula>2.9</formula>
    </cfRule>
  </conditionalFormatting>
  <conditionalFormatting sqref="E20">
    <cfRule type="cellIs" dxfId="2888" priority="405" stopIfTrue="1" operator="between">
      <formula>0.1</formula>
      <formula>1.9</formula>
    </cfRule>
    <cfRule type="cellIs" dxfId="2887" priority="406" stopIfTrue="1" operator="between">
      <formula>3</formula>
      <formula>3.9</formula>
    </cfRule>
    <cfRule type="cellIs" dxfId="2886" priority="407" stopIfTrue="1" operator="between">
      <formula>4</formula>
      <formula>5</formula>
    </cfRule>
  </conditionalFormatting>
  <conditionalFormatting sqref="D20">
    <cfRule type="cellIs" dxfId="2885" priority="402" stopIfTrue="1" operator="between">
      <formula>0.1</formula>
      <formula>1.9</formula>
    </cfRule>
    <cfRule type="cellIs" dxfId="2884" priority="403" stopIfTrue="1" operator="between">
      <formula>3</formula>
      <formula>3.9</formula>
    </cfRule>
    <cfRule type="cellIs" dxfId="2883" priority="404" stopIfTrue="1" operator="between">
      <formula>4</formula>
      <formula>5</formula>
    </cfRule>
  </conditionalFormatting>
  <conditionalFormatting sqref="D9:E23">
    <cfRule type="cellIs" dxfId="2882" priority="401" operator="equal">
      <formula>""</formula>
    </cfRule>
  </conditionalFormatting>
  <conditionalFormatting sqref="F33">
    <cfRule type="cellIs" dxfId="2881" priority="398" stopIfTrue="1" operator="between">
      <formula>0.1</formula>
      <formula>1.9</formula>
    </cfRule>
    <cfRule type="cellIs" dxfId="2880" priority="399" stopIfTrue="1" operator="between">
      <formula>3</formula>
      <formula>3.9</formula>
    </cfRule>
    <cfRule type="cellIs" dxfId="2879" priority="400" stopIfTrue="1" operator="between">
      <formula>4</formula>
      <formula>5</formula>
    </cfRule>
  </conditionalFormatting>
  <conditionalFormatting sqref="F30:F34">
    <cfRule type="cellIs" dxfId="2878" priority="395" stopIfTrue="1" operator="between">
      <formula>0.1</formula>
      <formula>1.9</formula>
    </cfRule>
    <cfRule type="cellIs" dxfId="2877" priority="396" stopIfTrue="1" operator="between">
      <formula>3</formula>
      <formula>3.9</formula>
    </cfRule>
    <cfRule type="cellIs" dxfId="2876" priority="397" stopIfTrue="1" operator="between">
      <formula>4</formula>
      <formula>5</formula>
    </cfRule>
  </conditionalFormatting>
  <conditionalFormatting sqref="F30:F34">
    <cfRule type="cellIs" dxfId="2875" priority="394" operator="between">
      <formula>2</formula>
      <formula>2.9</formula>
    </cfRule>
  </conditionalFormatting>
  <conditionalFormatting sqref="F23:F26">
    <cfRule type="cellIs" dxfId="2874" priority="391" stopIfTrue="1" operator="between">
      <formula>0.1</formula>
      <formula>1.9</formula>
    </cfRule>
    <cfRule type="cellIs" dxfId="2873" priority="392" stopIfTrue="1" operator="between">
      <formula>3</formula>
      <formula>3.9</formula>
    </cfRule>
    <cfRule type="cellIs" dxfId="2872" priority="393" stopIfTrue="1" operator="between">
      <formula>4</formula>
      <formula>5</formula>
    </cfRule>
  </conditionalFormatting>
  <conditionalFormatting sqref="F23:F28">
    <cfRule type="cellIs" dxfId="2871" priority="385" stopIfTrue="1" operator="between">
      <formula>0.1</formula>
      <formula>1.9</formula>
    </cfRule>
    <cfRule type="cellIs" dxfId="2870" priority="386" stopIfTrue="1" operator="between">
      <formula>3</formula>
      <formula>3.9</formula>
    </cfRule>
    <cfRule type="cellIs" dxfId="2869" priority="387" stopIfTrue="1" operator="between">
      <formula>4</formula>
      <formula>5</formula>
    </cfRule>
  </conditionalFormatting>
  <conditionalFormatting sqref="F25:F32">
    <cfRule type="cellIs" dxfId="2868" priority="382" stopIfTrue="1" operator="between">
      <formula>0.1</formula>
      <formula>1.9</formula>
    </cfRule>
    <cfRule type="cellIs" dxfId="2867" priority="383" stopIfTrue="1" operator="between">
      <formula>3</formula>
      <formula>3.9</formula>
    </cfRule>
    <cfRule type="cellIs" dxfId="2866" priority="384" stopIfTrue="1" operator="between">
      <formula>4</formula>
      <formula>5</formula>
    </cfRule>
  </conditionalFormatting>
  <conditionalFormatting sqref="F23:F32">
    <cfRule type="cellIs" dxfId="2865" priority="381" operator="between">
      <formula>2</formula>
      <formula>2.9</formula>
    </cfRule>
  </conditionalFormatting>
  <conditionalFormatting sqref="F26">
    <cfRule type="cellIs" dxfId="2864" priority="378" stopIfTrue="1" operator="between">
      <formula>0.1</formula>
      <formula>1.9</formula>
    </cfRule>
    <cfRule type="cellIs" dxfId="2863" priority="379" stopIfTrue="1" operator="between">
      <formula>3</formula>
      <formula>3.9</formula>
    </cfRule>
    <cfRule type="cellIs" dxfId="2862" priority="380" stopIfTrue="1" operator="between">
      <formula>4</formula>
      <formula>5</formula>
    </cfRule>
  </conditionalFormatting>
  <conditionalFormatting sqref="F24">
    <cfRule type="cellIs" dxfId="2861" priority="375" stopIfTrue="1" operator="between">
      <formula>0.1</formula>
      <formula>1.9</formula>
    </cfRule>
    <cfRule type="cellIs" dxfId="2860" priority="376" stopIfTrue="1" operator="between">
      <formula>3</formula>
      <formula>3.9</formula>
    </cfRule>
    <cfRule type="cellIs" dxfId="2859" priority="377" stopIfTrue="1" operator="between">
      <formula>4</formula>
      <formula>5</formula>
    </cfRule>
  </conditionalFormatting>
  <conditionalFormatting sqref="F25">
    <cfRule type="cellIs" dxfId="2858" priority="372" stopIfTrue="1" operator="between">
      <formula>0.1</formula>
      <formula>1.9</formula>
    </cfRule>
    <cfRule type="cellIs" dxfId="2857" priority="373" stopIfTrue="1" operator="between">
      <formula>3</formula>
      <formula>3.9</formula>
    </cfRule>
    <cfRule type="cellIs" dxfId="2856" priority="374" stopIfTrue="1" operator="between">
      <formula>4</formula>
      <formula>5</formula>
    </cfRule>
  </conditionalFormatting>
  <conditionalFormatting sqref="F23:F34">
    <cfRule type="cellIs" dxfId="2855" priority="371" operator="equal">
      <formula>""</formula>
    </cfRule>
  </conditionalFormatting>
  <conditionalFormatting sqref="F19">
    <cfRule type="cellIs" dxfId="2854" priority="368" stopIfTrue="1" operator="between">
      <formula>0.1</formula>
      <formula>1.9</formula>
    </cfRule>
    <cfRule type="cellIs" dxfId="2853" priority="369" stopIfTrue="1" operator="between">
      <formula>3</formula>
      <formula>3.9</formula>
    </cfRule>
    <cfRule type="cellIs" dxfId="2852" priority="370" stopIfTrue="1" operator="between">
      <formula>4</formula>
      <formula>5</formula>
    </cfRule>
  </conditionalFormatting>
  <conditionalFormatting sqref="F9:F23">
    <cfRule type="cellIs" dxfId="2851" priority="365" stopIfTrue="1" operator="between">
      <formula>0.1</formula>
      <formula>1.9</formula>
    </cfRule>
    <cfRule type="cellIs" dxfId="2850" priority="366" stopIfTrue="1" operator="between">
      <formula>3</formula>
      <formula>3.9</formula>
    </cfRule>
    <cfRule type="cellIs" dxfId="2849" priority="367" stopIfTrue="1" operator="between">
      <formula>4</formula>
      <formula>5</formula>
    </cfRule>
  </conditionalFormatting>
  <conditionalFormatting sqref="F20:F23">
    <cfRule type="cellIs" dxfId="2848" priority="362" stopIfTrue="1" operator="between">
      <formula>0.1</formula>
      <formula>1.9</formula>
    </cfRule>
    <cfRule type="cellIs" dxfId="2847" priority="363" stopIfTrue="1" operator="between">
      <formula>3</formula>
      <formula>3.9</formula>
    </cfRule>
    <cfRule type="cellIs" dxfId="2846" priority="364" stopIfTrue="1" operator="between">
      <formula>4</formula>
      <formula>5</formula>
    </cfRule>
  </conditionalFormatting>
  <conditionalFormatting sqref="F9:F23">
    <cfRule type="cellIs" dxfId="2845" priority="361" operator="between">
      <formula>2</formula>
      <formula>2.9</formula>
    </cfRule>
  </conditionalFormatting>
  <conditionalFormatting sqref="F20">
    <cfRule type="cellIs" dxfId="2844" priority="358" stopIfTrue="1" operator="between">
      <formula>0.1</formula>
      <formula>1.9</formula>
    </cfRule>
    <cfRule type="cellIs" dxfId="2843" priority="359" stopIfTrue="1" operator="between">
      <formula>3</formula>
      <formula>3.9</formula>
    </cfRule>
    <cfRule type="cellIs" dxfId="2842" priority="360" stopIfTrue="1" operator="between">
      <formula>4</formula>
      <formula>5</formula>
    </cfRule>
  </conditionalFormatting>
  <conditionalFormatting sqref="F9:F23">
    <cfRule type="cellIs" dxfId="2841" priority="357" operator="equal">
      <formula>""</formula>
    </cfRule>
  </conditionalFormatting>
  <conditionalFormatting sqref="E28">
    <cfRule type="cellIs" dxfId="2840" priority="336" stopIfTrue="1" operator="between">
      <formula>0.1</formula>
      <formula>1.9</formula>
    </cfRule>
    <cfRule type="cellIs" dxfId="2839" priority="337" stopIfTrue="1" operator="between">
      <formula>3</formula>
      <formula>3.9</formula>
    </cfRule>
    <cfRule type="cellIs" dxfId="2838" priority="338" stopIfTrue="1" operator="between">
      <formula>4</formula>
      <formula>5</formula>
    </cfRule>
  </conditionalFormatting>
  <conditionalFormatting sqref="E25">
    <cfRule type="cellIs" dxfId="2837" priority="333" stopIfTrue="1" operator="between">
      <formula>0.1</formula>
      <formula>1.9</formula>
    </cfRule>
    <cfRule type="cellIs" dxfId="2836" priority="334" stopIfTrue="1" operator="between">
      <formula>3</formula>
      <formula>3.9</formula>
    </cfRule>
    <cfRule type="cellIs" dxfId="2835" priority="335" stopIfTrue="1" operator="between">
      <formula>4</formula>
      <formula>5</formula>
    </cfRule>
  </conditionalFormatting>
  <conditionalFormatting sqref="E27">
    <cfRule type="cellIs" dxfId="2834" priority="318" stopIfTrue="1" operator="between">
      <formula>0.1</formula>
      <formula>1.9</formula>
    </cfRule>
    <cfRule type="cellIs" dxfId="2833" priority="319" stopIfTrue="1" operator="between">
      <formula>3</formula>
      <formula>3.9</formula>
    </cfRule>
    <cfRule type="cellIs" dxfId="2832" priority="320" stopIfTrue="1" operator="between">
      <formula>4</formula>
      <formula>5</formula>
    </cfRule>
  </conditionalFormatting>
  <conditionalFormatting sqref="E20">
    <cfRule type="cellIs" dxfId="2831" priority="315" stopIfTrue="1" operator="between">
      <formula>0.1</formula>
      <formula>1.9</formula>
    </cfRule>
    <cfRule type="cellIs" dxfId="2830" priority="316" stopIfTrue="1" operator="between">
      <formula>3</formula>
      <formula>3.9</formula>
    </cfRule>
    <cfRule type="cellIs" dxfId="2829" priority="317" stopIfTrue="1" operator="between">
      <formula>4</formula>
      <formula>5</formula>
    </cfRule>
  </conditionalFormatting>
  <conditionalFormatting sqref="D20">
    <cfRule type="cellIs" dxfId="2828" priority="312" stopIfTrue="1" operator="between">
      <formula>0.1</formula>
      <formula>1.9</formula>
    </cfRule>
    <cfRule type="cellIs" dxfId="2827" priority="313" stopIfTrue="1" operator="between">
      <formula>3</formula>
      <formula>3.9</formula>
    </cfRule>
    <cfRule type="cellIs" dxfId="2826" priority="314" stopIfTrue="1" operator="between">
      <formula>4</formula>
      <formula>5</formula>
    </cfRule>
  </conditionalFormatting>
  <conditionalFormatting sqref="E21">
    <cfRule type="cellIs" dxfId="2825" priority="309" stopIfTrue="1" operator="between">
      <formula>0.1</formula>
      <formula>1.9</formula>
    </cfRule>
    <cfRule type="cellIs" dxfId="2824" priority="310" stopIfTrue="1" operator="between">
      <formula>3</formula>
      <formula>3.9</formula>
    </cfRule>
    <cfRule type="cellIs" dxfId="2823" priority="311" stopIfTrue="1" operator="between">
      <formula>4</formula>
      <formula>5</formula>
    </cfRule>
  </conditionalFormatting>
  <conditionalFormatting sqref="D21">
    <cfRule type="cellIs" dxfId="2822" priority="306" stopIfTrue="1" operator="between">
      <formula>0.1</formula>
      <formula>1.9</formula>
    </cfRule>
    <cfRule type="cellIs" dxfId="2821" priority="307" stopIfTrue="1" operator="between">
      <formula>3</formula>
      <formula>3.9</formula>
    </cfRule>
    <cfRule type="cellIs" dxfId="2820" priority="308" stopIfTrue="1" operator="between">
      <formula>4</formula>
      <formula>5</formula>
    </cfRule>
  </conditionalFormatting>
  <conditionalFormatting sqref="F26">
    <cfRule type="cellIs" dxfId="2819" priority="303" stopIfTrue="1" operator="between">
      <formula>0.1</formula>
      <formula>1.9</formula>
    </cfRule>
    <cfRule type="cellIs" dxfId="2818" priority="304" stopIfTrue="1" operator="between">
      <formula>3</formula>
      <formula>3.9</formula>
    </cfRule>
    <cfRule type="cellIs" dxfId="2817" priority="305" stopIfTrue="1" operator="between">
      <formula>4</formula>
      <formula>5</formula>
    </cfRule>
  </conditionalFormatting>
  <conditionalFormatting sqref="F27">
    <cfRule type="cellIs" dxfId="2816" priority="300" stopIfTrue="1" operator="between">
      <formula>0.1</formula>
      <formula>1.9</formula>
    </cfRule>
    <cfRule type="cellIs" dxfId="2815" priority="301" stopIfTrue="1" operator="between">
      <formula>3</formula>
      <formula>3.9</formula>
    </cfRule>
    <cfRule type="cellIs" dxfId="2814" priority="302" stopIfTrue="1" operator="between">
      <formula>4</formula>
      <formula>5</formula>
    </cfRule>
  </conditionalFormatting>
  <conditionalFormatting sqref="F25">
    <cfRule type="cellIs" dxfId="2813" priority="297" stopIfTrue="1" operator="between">
      <formula>0.1</formula>
      <formula>1.9</formula>
    </cfRule>
    <cfRule type="cellIs" dxfId="2812" priority="298" stopIfTrue="1" operator="between">
      <formula>3</formula>
      <formula>3.9</formula>
    </cfRule>
    <cfRule type="cellIs" dxfId="2811" priority="299" stopIfTrue="1" operator="between">
      <formula>4</formula>
      <formula>5</formula>
    </cfRule>
  </conditionalFormatting>
  <conditionalFormatting sqref="F26">
    <cfRule type="cellIs" dxfId="2810" priority="294" stopIfTrue="1" operator="between">
      <formula>0.1</formula>
      <formula>1.9</formula>
    </cfRule>
    <cfRule type="cellIs" dxfId="2809" priority="295" stopIfTrue="1" operator="between">
      <formula>3</formula>
      <formula>3.9</formula>
    </cfRule>
    <cfRule type="cellIs" dxfId="2808" priority="296" stopIfTrue="1" operator="between">
      <formula>4</formula>
      <formula>5</formula>
    </cfRule>
  </conditionalFormatting>
  <conditionalFormatting sqref="F20">
    <cfRule type="cellIs" dxfId="2807" priority="291" stopIfTrue="1" operator="between">
      <formula>0.1</formula>
      <formula>1.9</formula>
    </cfRule>
    <cfRule type="cellIs" dxfId="2806" priority="292" stopIfTrue="1" operator="between">
      <formula>3</formula>
      <formula>3.9</formula>
    </cfRule>
    <cfRule type="cellIs" dxfId="2805" priority="293" stopIfTrue="1" operator="between">
      <formula>4</formula>
      <formula>5</formula>
    </cfRule>
  </conditionalFormatting>
  <conditionalFormatting sqref="F21">
    <cfRule type="cellIs" dxfId="2804" priority="288" stopIfTrue="1" operator="between">
      <formula>0.1</formula>
      <formula>1.9</formula>
    </cfRule>
    <cfRule type="cellIs" dxfId="2803" priority="289" stopIfTrue="1" operator="between">
      <formula>3</formula>
      <formula>3.9</formula>
    </cfRule>
    <cfRule type="cellIs" dxfId="2802" priority="290" stopIfTrue="1" operator="between">
      <formula>4</formula>
      <formula>5</formula>
    </cfRule>
  </conditionalFormatting>
  <conditionalFormatting sqref="E31">
    <cfRule type="cellIs" dxfId="2801" priority="285" stopIfTrue="1" operator="between">
      <formula>0.1</formula>
      <formula>1.9</formula>
    </cfRule>
    <cfRule type="cellIs" dxfId="2800" priority="286" stopIfTrue="1" operator="between">
      <formula>3</formula>
      <formula>3.9</formula>
    </cfRule>
    <cfRule type="cellIs" dxfId="2799" priority="287" stopIfTrue="1" operator="between">
      <formula>4</formula>
      <formula>5</formula>
    </cfRule>
  </conditionalFormatting>
  <conditionalFormatting sqref="G30">
    <cfRule type="cellIs" dxfId="2798" priority="276" stopIfTrue="1" operator="between">
      <formula>0.1</formula>
      <formula>1.9</formula>
    </cfRule>
    <cfRule type="cellIs" dxfId="2797" priority="277" stopIfTrue="1" operator="between">
      <formula>3</formula>
      <formula>3.9</formula>
    </cfRule>
    <cfRule type="cellIs" dxfId="2796" priority="278" stopIfTrue="1" operator="between">
      <formula>4</formula>
      <formula>5</formula>
    </cfRule>
  </conditionalFormatting>
  <conditionalFormatting sqref="G30:H34">
    <cfRule type="cellIs" dxfId="2795" priority="273" stopIfTrue="1" operator="between">
      <formula>0.1</formula>
      <formula>1.9</formula>
    </cfRule>
    <cfRule type="cellIs" dxfId="2794" priority="274" stopIfTrue="1" operator="between">
      <formula>3</formula>
      <formula>3.9</formula>
    </cfRule>
    <cfRule type="cellIs" dxfId="2793" priority="275" stopIfTrue="1" operator="between">
      <formula>4</formula>
      <formula>5</formula>
    </cfRule>
  </conditionalFormatting>
  <conditionalFormatting sqref="G30:H34">
    <cfRule type="cellIs" dxfId="2792" priority="272" operator="between">
      <formula>2</formula>
      <formula>2.9</formula>
    </cfRule>
  </conditionalFormatting>
  <conditionalFormatting sqref="H23:H32">
    <cfRule type="cellIs" dxfId="2791" priority="269" stopIfTrue="1" operator="between">
      <formula>0.1</formula>
      <formula>1.9</formula>
    </cfRule>
    <cfRule type="cellIs" dxfId="2790" priority="270" stopIfTrue="1" operator="between">
      <formula>3</formula>
      <formula>3.9</formula>
    </cfRule>
    <cfRule type="cellIs" dxfId="2789" priority="271" stopIfTrue="1" operator="between">
      <formula>4</formula>
      <formula>5</formula>
    </cfRule>
  </conditionalFormatting>
  <conditionalFormatting sqref="G23:G32">
    <cfRule type="cellIs" dxfId="2788" priority="266" stopIfTrue="1" operator="between">
      <formula>0.1</formula>
      <formula>1.9</formula>
    </cfRule>
    <cfRule type="cellIs" dxfId="2787" priority="267" stopIfTrue="1" operator="between">
      <formula>3</formula>
      <formula>3.9</formula>
    </cfRule>
    <cfRule type="cellIs" dxfId="2786" priority="268" stopIfTrue="1" operator="between">
      <formula>4</formula>
      <formula>5</formula>
    </cfRule>
  </conditionalFormatting>
  <conditionalFormatting sqref="G25:H25">
    <cfRule type="cellIs" dxfId="2785" priority="263" stopIfTrue="1" operator="between">
      <formula>0.1</formula>
      <formula>1.9</formula>
    </cfRule>
    <cfRule type="cellIs" dxfId="2784" priority="264" stopIfTrue="1" operator="between">
      <formula>3</formula>
      <formula>3.9</formula>
    </cfRule>
    <cfRule type="cellIs" dxfId="2783" priority="265" stopIfTrue="1" operator="between">
      <formula>4</formula>
      <formula>5</formula>
    </cfRule>
  </conditionalFormatting>
  <conditionalFormatting sqref="H29 G23:H28">
    <cfRule type="cellIs" dxfId="2782" priority="260" stopIfTrue="1" operator="between">
      <formula>0.1</formula>
      <formula>1.9</formula>
    </cfRule>
    <cfRule type="cellIs" dxfId="2781" priority="261" stopIfTrue="1" operator="between">
      <formula>3</formula>
      <formula>3.9</formula>
    </cfRule>
    <cfRule type="cellIs" dxfId="2780" priority="262" stopIfTrue="1" operator="between">
      <formula>4</formula>
      <formula>5</formula>
    </cfRule>
  </conditionalFormatting>
  <conditionalFormatting sqref="G25:H32">
    <cfRule type="cellIs" dxfId="2779" priority="257" stopIfTrue="1" operator="between">
      <formula>0.1</formula>
      <formula>1.9</formula>
    </cfRule>
    <cfRule type="cellIs" dxfId="2778" priority="258" stopIfTrue="1" operator="between">
      <formula>3</formula>
      <formula>3.9</formula>
    </cfRule>
    <cfRule type="cellIs" dxfId="2777" priority="259" stopIfTrue="1" operator="between">
      <formula>4</formula>
      <formula>5</formula>
    </cfRule>
  </conditionalFormatting>
  <conditionalFormatting sqref="G23:H32">
    <cfRule type="cellIs" dxfId="2776" priority="256" operator="between">
      <formula>2</formula>
      <formula>2.9</formula>
    </cfRule>
  </conditionalFormatting>
  <conditionalFormatting sqref="H25">
    <cfRule type="cellIs" dxfId="2775" priority="241" stopIfTrue="1" operator="between">
      <formula>0.1</formula>
      <formula>1.9</formula>
    </cfRule>
    <cfRule type="cellIs" dxfId="2774" priority="242" stopIfTrue="1" operator="between">
      <formula>3</formula>
      <formula>3.9</formula>
    </cfRule>
    <cfRule type="cellIs" dxfId="2773" priority="243" stopIfTrue="1" operator="between">
      <formula>4</formula>
      <formula>5</formula>
    </cfRule>
  </conditionalFormatting>
  <conditionalFormatting sqref="G25:H25">
    <cfRule type="cellIs" dxfId="2772" priority="238" stopIfTrue="1" operator="between">
      <formula>0.1</formula>
      <formula>1.9</formula>
    </cfRule>
    <cfRule type="cellIs" dxfId="2771" priority="239" stopIfTrue="1" operator="between">
      <formula>3</formula>
      <formula>3.9</formula>
    </cfRule>
    <cfRule type="cellIs" dxfId="2770" priority="240" stopIfTrue="1" operator="between">
      <formula>4</formula>
      <formula>5</formula>
    </cfRule>
  </conditionalFormatting>
  <conditionalFormatting sqref="H26">
    <cfRule type="cellIs" dxfId="2769" priority="235" stopIfTrue="1" operator="between">
      <formula>0.1</formula>
      <formula>1.9</formula>
    </cfRule>
    <cfRule type="cellIs" dxfId="2768" priority="236" stopIfTrue="1" operator="between">
      <formula>3</formula>
      <formula>3.9</formula>
    </cfRule>
    <cfRule type="cellIs" dxfId="2767" priority="237" stopIfTrue="1" operator="between">
      <formula>4</formula>
      <formula>5</formula>
    </cfRule>
  </conditionalFormatting>
  <conditionalFormatting sqref="G23:H34">
    <cfRule type="cellIs" dxfId="2766" priority="234" operator="equal">
      <formula>""</formula>
    </cfRule>
  </conditionalFormatting>
  <conditionalFormatting sqref="H9:H21 G9:G23">
    <cfRule type="cellIs" dxfId="2765" priority="225" stopIfTrue="1" operator="between">
      <formula>0.1</formula>
      <formula>1.9</formula>
    </cfRule>
    <cfRule type="cellIs" dxfId="2764" priority="226" stopIfTrue="1" operator="between">
      <formula>3</formula>
      <formula>3.9</formula>
    </cfRule>
    <cfRule type="cellIs" dxfId="2763" priority="227" stopIfTrue="1" operator="between">
      <formula>4</formula>
      <formula>5</formula>
    </cfRule>
  </conditionalFormatting>
  <conditionalFormatting sqref="G20:H23">
    <cfRule type="cellIs" dxfId="2762" priority="222" stopIfTrue="1" operator="between">
      <formula>0.1</formula>
      <formula>1.9</formula>
    </cfRule>
    <cfRule type="cellIs" dxfId="2761" priority="223" stopIfTrue="1" operator="between">
      <formula>3</formula>
      <formula>3.9</formula>
    </cfRule>
    <cfRule type="cellIs" dxfId="2760" priority="224" stopIfTrue="1" operator="between">
      <formula>4</formula>
      <formula>5</formula>
    </cfRule>
  </conditionalFormatting>
  <conditionalFormatting sqref="G9:H23">
    <cfRule type="cellIs" dxfId="2759" priority="221" operator="between">
      <formula>2</formula>
      <formula>2.9</formula>
    </cfRule>
  </conditionalFormatting>
  <conditionalFormatting sqref="G9:H23">
    <cfRule type="cellIs" dxfId="2758" priority="217" operator="equal">
      <formula>""</formula>
    </cfRule>
  </conditionalFormatting>
  <conditionalFormatting sqref="G31">
    <cfRule type="cellIs" dxfId="2757" priority="214" stopIfTrue="1" operator="between">
      <formula>0.1</formula>
      <formula>1.9</formula>
    </cfRule>
    <cfRule type="cellIs" dxfId="2756" priority="215" stopIfTrue="1" operator="between">
      <formula>3</formula>
      <formula>3.9</formula>
    </cfRule>
    <cfRule type="cellIs" dxfId="2755" priority="216" stopIfTrue="1" operator="between">
      <formula>4</formula>
      <formula>5</formula>
    </cfRule>
  </conditionalFormatting>
  <conditionalFormatting sqref="G26:H26">
    <cfRule type="cellIs" dxfId="2754" priority="211" stopIfTrue="1" operator="between">
      <formula>0.1</formula>
      <formula>1.9</formula>
    </cfRule>
    <cfRule type="cellIs" dxfId="2753" priority="212" stopIfTrue="1" operator="between">
      <formula>3</formula>
      <formula>3.9</formula>
    </cfRule>
    <cfRule type="cellIs" dxfId="2752" priority="213" stopIfTrue="1" operator="between">
      <formula>4</formula>
      <formula>5</formula>
    </cfRule>
  </conditionalFormatting>
  <conditionalFormatting sqref="H27">
    <cfRule type="cellIs" dxfId="2751" priority="208" stopIfTrue="1" operator="between">
      <formula>0.1</formula>
      <formula>1.9</formula>
    </cfRule>
    <cfRule type="cellIs" dxfId="2750" priority="209" stopIfTrue="1" operator="between">
      <formula>3</formula>
      <formula>3.9</formula>
    </cfRule>
    <cfRule type="cellIs" dxfId="2749" priority="210" stopIfTrue="1" operator="between">
      <formula>4</formula>
      <formula>5</formula>
    </cfRule>
  </conditionalFormatting>
  <conditionalFormatting sqref="G27:H27">
    <cfRule type="cellIs" dxfId="2748" priority="205" stopIfTrue="1" operator="between">
      <formula>0.1</formula>
      <formula>1.9</formula>
    </cfRule>
    <cfRule type="cellIs" dxfId="2747" priority="206" stopIfTrue="1" operator="between">
      <formula>3</formula>
      <formula>3.9</formula>
    </cfRule>
    <cfRule type="cellIs" dxfId="2746" priority="207" stopIfTrue="1" operator="between">
      <formula>4</formula>
      <formula>5</formula>
    </cfRule>
  </conditionalFormatting>
  <conditionalFormatting sqref="G25:H25">
    <cfRule type="cellIs" dxfId="2745" priority="199" stopIfTrue="1" operator="between">
      <formula>0.1</formula>
      <formula>1.9</formula>
    </cfRule>
    <cfRule type="cellIs" dxfId="2744" priority="200" stopIfTrue="1" operator="between">
      <formula>3</formula>
      <formula>3.9</formula>
    </cfRule>
    <cfRule type="cellIs" dxfId="2743" priority="201" stopIfTrue="1" operator="between">
      <formula>4</formula>
      <formula>5</formula>
    </cfRule>
  </conditionalFormatting>
  <conditionalFormatting sqref="G26:H26">
    <cfRule type="cellIs" dxfId="2742" priority="193" stopIfTrue="1" operator="between">
      <formula>0.1</formula>
      <formula>1.9</formula>
    </cfRule>
    <cfRule type="cellIs" dxfId="2741" priority="194" stopIfTrue="1" operator="between">
      <formula>3</formula>
      <formula>3.9</formula>
    </cfRule>
    <cfRule type="cellIs" dxfId="2740" priority="195" stopIfTrue="1" operator="between">
      <formula>4</formula>
      <formula>5</formula>
    </cfRule>
  </conditionalFormatting>
  <conditionalFormatting sqref="H27">
    <cfRule type="cellIs" dxfId="2739" priority="190" stopIfTrue="1" operator="between">
      <formula>0.1</formula>
      <formula>1.9</formula>
    </cfRule>
    <cfRule type="cellIs" dxfId="2738" priority="191" stopIfTrue="1" operator="between">
      <formula>3</formula>
      <formula>3.9</formula>
    </cfRule>
    <cfRule type="cellIs" dxfId="2737" priority="192" stopIfTrue="1" operator="between">
      <formula>4</formula>
      <formula>5</formula>
    </cfRule>
  </conditionalFormatting>
  <conditionalFormatting sqref="G20:H20">
    <cfRule type="cellIs" dxfId="2736" priority="187" stopIfTrue="1" operator="between">
      <formula>0.1</formula>
      <formula>1.9</formula>
    </cfRule>
    <cfRule type="cellIs" dxfId="2735" priority="188" stopIfTrue="1" operator="between">
      <formula>3</formula>
      <formula>3.9</formula>
    </cfRule>
    <cfRule type="cellIs" dxfId="2734" priority="189" stopIfTrue="1" operator="between">
      <formula>4</formula>
      <formula>5</formula>
    </cfRule>
  </conditionalFormatting>
  <conditionalFormatting sqref="G21:H21">
    <cfRule type="cellIs" dxfId="2733" priority="184" stopIfTrue="1" operator="between">
      <formula>0.1</formula>
      <formula>1.9</formula>
    </cfRule>
    <cfRule type="cellIs" dxfId="2732" priority="185" stopIfTrue="1" operator="between">
      <formula>3</formula>
      <formula>3.9</formula>
    </cfRule>
    <cfRule type="cellIs" dxfId="2731" priority="186" stopIfTrue="1" operator="between">
      <formula>4</formula>
      <formula>5</formula>
    </cfRule>
  </conditionalFormatting>
  <conditionalFormatting sqref="G31">
    <cfRule type="cellIs" dxfId="2730" priority="181" stopIfTrue="1" operator="between">
      <formula>0.1</formula>
      <formula>1.9</formula>
    </cfRule>
    <cfRule type="cellIs" dxfId="2729" priority="182" stopIfTrue="1" operator="between">
      <formula>3</formula>
      <formula>3.9</formula>
    </cfRule>
    <cfRule type="cellIs" dxfId="2728" priority="183" stopIfTrue="1" operator="between">
      <formula>4</formula>
      <formula>5</formula>
    </cfRule>
  </conditionalFormatting>
  <conditionalFormatting sqref="G32">
    <cfRule type="cellIs" dxfId="2727" priority="178" stopIfTrue="1" operator="between">
      <formula>0.1</formula>
      <formula>1.9</formula>
    </cfRule>
    <cfRule type="cellIs" dxfId="2726" priority="179" stopIfTrue="1" operator="between">
      <formula>3</formula>
      <formula>3.9</formula>
    </cfRule>
    <cfRule type="cellIs" dxfId="2725" priority="180" stopIfTrue="1" operator="between">
      <formula>4</formula>
      <formula>5</formula>
    </cfRule>
  </conditionalFormatting>
  <conditionalFormatting sqref="E34">
    <cfRule type="cellIs" dxfId="2724" priority="175" stopIfTrue="1" operator="between">
      <formula>0.1</formula>
      <formula>1.9</formula>
    </cfRule>
    <cfRule type="cellIs" dxfId="2723" priority="176" stopIfTrue="1" operator="between">
      <formula>3</formula>
      <formula>3.9</formula>
    </cfRule>
    <cfRule type="cellIs" dxfId="2722" priority="177" stopIfTrue="1" operator="between">
      <formula>4</formula>
      <formula>5</formula>
    </cfRule>
  </conditionalFormatting>
  <conditionalFormatting sqref="E31">
    <cfRule type="cellIs" dxfId="2721" priority="172" stopIfTrue="1" operator="between">
      <formula>0.1</formula>
      <formula>1.9</formula>
    </cfRule>
    <cfRule type="cellIs" dxfId="2720" priority="173" stopIfTrue="1" operator="between">
      <formula>3</formula>
      <formula>3.9</formula>
    </cfRule>
    <cfRule type="cellIs" dxfId="2719" priority="174" stopIfTrue="1" operator="between">
      <formula>4</formula>
      <formula>5</formula>
    </cfRule>
  </conditionalFormatting>
  <conditionalFormatting sqref="D34">
    <cfRule type="cellIs" dxfId="2718" priority="169" stopIfTrue="1" operator="between">
      <formula>0.1</formula>
      <formula>1.9</formula>
    </cfRule>
    <cfRule type="cellIs" dxfId="2717" priority="170" stopIfTrue="1" operator="between">
      <formula>3</formula>
      <formula>3.9</formula>
    </cfRule>
    <cfRule type="cellIs" dxfId="2716" priority="171" stopIfTrue="1" operator="between">
      <formula>4</formula>
      <formula>5</formula>
    </cfRule>
  </conditionalFormatting>
  <conditionalFormatting sqref="E26">
    <cfRule type="cellIs" dxfId="2715" priority="166" stopIfTrue="1" operator="between">
      <formula>0.1</formula>
      <formula>1.9</formula>
    </cfRule>
    <cfRule type="cellIs" dxfId="2714" priority="167" stopIfTrue="1" operator="between">
      <formula>3</formula>
      <formula>3.9</formula>
    </cfRule>
    <cfRule type="cellIs" dxfId="2713" priority="168" stopIfTrue="1" operator="between">
      <formula>4</formula>
      <formula>5</formula>
    </cfRule>
  </conditionalFormatting>
  <conditionalFormatting sqref="D26">
    <cfRule type="cellIs" dxfId="2712" priority="163" stopIfTrue="1" operator="between">
      <formula>0.1</formula>
      <formula>1.9</formula>
    </cfRule>
    <cfRule type="cellIs" dxfId="2711" priority="164" stopIfTrue="1" operator="between">
      <formula>3</formula>
      <formula>3.9</formula>
    </cfRule>
    <cfRule type="cellIs" dxfId="2710" priority="165" stopIfTrue="1" operator="between">
      <formula>4</formula>
      <formula>5</formula>
    </cfRule>
  </conditionalFormatting>
  <conditionalFormatting sqref="E27">
    <cfRule type="cellIs" dxfId="2709" priority="160" stopIfTrue="1" operator="between">
      <formula>0.1</formula>
      <formula>1.9</formula>
    </cfRule>
    <cfRule type="cellIs" dxfId="2708" priority="161" stopIfTrue="1" operator="between">
      <formula>3</formula>
      <formula>3.9</formula>
    </cfRule>
    <cfRule type="cellIs" dxfId="2707" priority="162" stopIfTrue="1" operator="between">
      <formula>4</formula>
      <formula>5</formula>
    </cfRule>
  </conditionalFormatting>
  <conditionalFormatting sqref="E27">
    <cfRule type="cellIs" dxfId="2706" priority="157" stopIfTrue="1" operator="between">
      <formula>0.1</formula>
      <formula>1.9</formula>
    </cfRule>
    <cfRule type="cellIs" dxfId="2705" priority="158" stopIfTrue="1" operator="between">
      <formula>3</formula>
      <formula>3.9</formula>
    </cfRule>
    <cfRule type="cellIs" dxfId="2704" priority="159" stopIfTrue="1" operator="between">
      <formula>4</formula>
      <formula>5</formula>
    </cfRule>
  </conditionalFormatting>
  <conditionalFormatting sqref="D27">
    <cfRule type="cellIs" dxfId="2703" priority="154" stopIfTrue="1" operator="between">
      <formula>0.1</formula>
      <formula>1.9</formula>
    </cfRule>
    <cfRule type="cellIs" dxfId="2702" priority="155" stopIfTrue="1" operator="between">
      <formula>3</formula>
      <formula>3.9</formula>
    </cfRule>
    <cfRule type="cellIs" dxfId="2701" priority="156" stopIfTrue="1" operator="between">
      <formula>4</formula>
      <formula>5</formula>
    </cfRule>
  </conditionalFormatting>
  <conditionalFormatting sqref="E28">
    <cfRule type="cellIs" dxfId="2700" priority="151" stopIfTrue="1" operator="between">
      <formula>0.1</formula>
      <formula>1.9</formula>
    </cfRule>
    <cfRule type="cellIs" dxfId="2699" priority="152" stopIfTrue="1" operator="between">
      <formula>3</formula>
      <formula>3.9</formula>
    </cfRule>
    <cfRule type="cellIs" dxfId="2698" priority="153" stopIfTrue="1" operator="between">
      <formula>4</formula>
      <formula>5</formula>
    </cfRule>
  </conditionalFormatting>
  <conditionalFormatting sqref="E25">
    <cfRule type="cellIs" dxfId="2697" priority="148" stopIfTrue="1" operator="between">
      <formula>0.1</formula>
      <formula>1.9</formula>
    </cfRule>
    <cfRule type="cellIs" dxfId="2696" priority="149" stopIfTrue="1" operator="between">
      <formula>3</formula>
      <formula>3.9</formula>
    </cfRule>
    <cfRule type="cellIs" dxfId="2695" priority="150" stopIfTrue="1" operator="between">
      <formula>4</formula>
      <formula>5</formula>
    </cfRule>
  </conditionalFormatting>
  <conditionalFormatting sqref="D25">
    <cfRule type="cellIs" dxfId="2694" priority="145" stopIfTrue="1" operator="between">
      <formula>0.1</formula>
      <formula>1.9</formula>
    </cfRule>
    <cfRule type="cellIs" dxfId="2693" priority="146" stopIfTrue="1" operator="between">
      <formula>3</formula>
      <formula>3.9</formula>
    </cfRule>
    <cfRule type="cellIs" dxfId="2692" priority="147" stopIfTrue="1" operator="between">
      <formula>4</formula>
      <formula>5</formula>
    </cfRule>
  </conditionalFormatting>
  <conditionalFormatting sqref="E26">
    <cfRule type="cellIs" dxfId="2691" priority="142" stopIfTrue="1" operator="between">
      <formula>0.1</formula>
      <formula>1.9</formula>
    </cfRule>
    <cfRule type="cellIs" dxfId="2690" priority="143" stopIfTrue="1" operator="between">
      <formula>3</formula>
      <formula>3.9</formula>
    </cfRule>
    <cfRule type="cellIs" dxfId="2689" priority="144" stopIfTrue="1" operator="between">
      <formula>4</formula>
      <formula>5</formula>
    </cfRule>
  </conditionalFormatting>
  <conditionalFormatting sqref="E26">
    <cfRule type="cellIs" dxfId="2688" priority="139" stopIfTrue="1" operator="between">
      <formula>0.1</formula>
      <formula>1.9</formula>
    </cfRule>
    <cfRule type="cellIs" dxfId="2687" priority="140" stopIfTrue="1" operator="between">
      <formula>3</formula>
      <formula>3.9</formula>
    </cfRule>
    <cfRule type="cellIs" dxfId="2686" priority="141" stopIfTrue="1" operator="between">
      <formula>4</formula>
      <formula>5</formula>
    </cfRule>
  </conditionalFormatting>
  <conditionalFormatting sqref="D26">
    <cfRule type="cellIs" dxfId="2685" priority="136" stopIfTrue="1" operator="between">
      <formula>0.1</formula>
      <formula>1.9</formula>
    </cfRule>
    <cfRule type="cellIs" dxfId="2684" priority="137" stopIfTrue="1" operator="between">
      <formula>3</formula>
      <formula>3.9</formula>
    </cfRule>
    <cfRule type="cellIs" dxfId="2683" priority="138" stopIfTrue="1" operator="between">
      <formula>4</formula>
      <formula>5</formula>
    </cfRule>
  </conditionalFormatting>
  <conditionalFormatting sqref="E27">
    <cfRule type="cellIs" dxfId="2682" priority="133" stopIfTrue="1" operator="between">
      <formula>0.1</formula>
      <formula>1.9</formula>
    </cfRule>
    <cfRule type="cellIs" dxfId="2681" priority="134" stopIfTrue="1" operator="between">
      <formula>3</formula>
      <formula>3.9</formula>
    </cfRule>
    <cfRule type="cellIs" dxfId="2680" priority="135" stopIfTrue="1" operator="between">
      <formula>4</formula>
      <formula>5</formula>
    </cfRule>
  </conditionalFormatting>
  <conditionalFormatting sqref="F34">
    <cfRule type="cellIs" dxfId="2679" priority="130" stopIfTrue="1" operator="between">
      <formula>0.1</formula>
      <formula>1.9</formula>
    </cfRule>
    <cfRule type="cellIs" dxfId="2678" priority="131" stopIfTrue="1" operator="between">
      <formula>3</formula>
      <formula>3.9</formula>
    </cfRule>
    <cfRule type="cellIs" dxfId="2677" priority="132" stopIfTrue="1" operator="between">
      <formula>4</formula>
      <formula>5</formula>
    </cfRule>
  </conditionalFormatting>
  <conditionalFormatting sqref="F26">
    <cfRule type="cellIs" dxfId="2676" priority="127" stopIfTrue="1" operator="between">
      <formula>0.1</formula>
      <formula>1.9</formula>
    </cfRule>
    <cfRule type="cellIs" dxfId="2675" priority="128" stopIfTrue="1" operator="between">
      <formula>3</formula>
      <formula>3.9</formula>
    </cfRule>
    <cfRule type="cellIs" dxfId="2674" priority="129" stopIfTrue="1" operator="between">
      <formula>4</formula>
      <formula>5</formula>
    </cfRule>
  </conditionalFormatting>
  <conditionalFormatting sqref="F27">
    <cfRule type="cellIs" dxfId="2673" priority="124" stopIfTrue="1" operator="between">
      <formula>0.1</formula>
      <formula>1.9</formula>
    </cfRule>
    <cfRule type="cellIs" dxfId="2672" priority="125" stopIfTrue="1" operator="between">
      <formula>3</formula>
      <formula>3.9</formula>
    </cfRule>
    <cfRule type="cellIs" dxfId="2671" priority="126" stopIfTrue="1" operator="between">
      <formula>4</formula>
      <formula>5</formula>
    </cfRule>
  </conditionalFormatting>
  <conditionalFormatting sqref="F25">
    <cfRule type="cellIs" dxfId="2670" priority="121" stopIfTrue="1" operator="between">
      <formula>0.1</formula>
      <formula>1.9</formula>
    </cfRule>
    <cfRule type="cellIs" dxfId="2669" priority="122" stopIfTrue="1" operator="between">
      <formula>3</formula>
      <formula>3.9</formula>
    </cfRule>
    <cfRule type="cellIs" dxfId="2668" priority="123" stopIfTrue="1" operator="between">
      <formula>4</formula>
      <formula>5</formula>
    </cfRule>
  </conditionalFormatting>
  <conditionalFormatting sqref="F26">
    <cfRule type="cellIs" dxfId="2667" priority="118" stopIfTrue="1" operator="between">
      <formula>0.1</formula>
      <formula>1.9</formula>
    </cfRule>
    <cfRule type="cellIs" dxfId="2666" priority="119" stopIfTrue="1" operator="between">
      <formula>3</formula>
      <formula>3.9</formula>
    </cfRule>
    <cfRule type="cellIs" dxfId="2665" priority="120" stopIfTrue="1" operator="between">
      <formula>4</formula>
      <formula>5</formula>
    </cfRule>
  </conditionalFormatting>
  <conditionalFormatting sqref="E32">
    <cfRule type="cellIs" dxfId="2664" priority="115" stopIfTrue="1" operator="between">
      <formula>0.1</formula>
      <formula>1.9</formula>
    </cfRule>
    <cfRule type="cellIs" dxfId="2663" priority="116" stopIfTrue="1" operator="between">
      <formula>3</formula>
      <formula>3.9</formula>
    </cfRule>
    <cfRule type="cellIs" dxfId="2662" priority="117" stopIfTrue="1" operator="between">
      <formula>4</formula>
      <formula>5</formula>
    </cfRule>
  </conditionalFormatting>
  <conditionalFormatting sqref="E27">
    <cfRule type="cellIs" dxfId="2661" priority="112" stopIfTrue="1" operator="between">
      <formula>0.1</formula>
      <formula>1.9</formula>
    </cfRule>
    <cfRule type="cellIs" dxfId="2660" priority="113" stopIfTrue="1" operator="between">
      <formula>3</formula>
      <formula>3.9</formula>
    </cfRule>
    <cfRule type="cellIs" dxfId="2659" priority="114" stopIfTrue="1" operator="between">
      <formula>4</formula>
      <formula>5</formula>
    </cfRule>
  </conditionalFormatting>
  <conditionalFormatting sqref="D27">
    <cfRule type="cellIs" dxfId="2658" priority="109" stopIfTrue="1" operator="between">
      <formula>0.1</formula>
      <formula>1.9</formula>
    </cfRule>
    <cfRule type="cellIs" dxfId="2657" priority="110" stopIfTrue="1" operator="between">
      <formula>3</formula>
      <formula>3.9</formula>
    </cfRule>
    <cfRule type="cellIs" dxfId="2656" priority="111" stopIfTrue="1" operator="between">
      <formula>4</formula>
      <formula>5</formula>
    </cfRule>
  </conditionalFormatting>
  <conditionalFormatting sqref="E28">
    <cfRule type="cellIs" dxfId="2655" priority="106" stopIfTrue="1" operator="between">
      <formula>0.1</formula>
      <formula>1.9</formula>
    </cfRule>
    <cfRule type="cellIs" dxfId="2654" priority="107" stopIfTrue="1" operator="between">
      <formula>3</formula>
      <formula>3.9</formula>
    </cfRule>
    <cfRule type="cellIs" dxfId="2653" priority="108" stopIfTrue="1" operator="between">
      <formula>4</formula>
      <formula>5</formula>
    </cfRule>
  </conditionalFormatting>
  <conditionalFormatting sqref="E28">
    <cfRule type="cellIs" dxfId="2652" priority="103" stopIfTrue="1" operator="between">
      <formula>0.1</formula>
      <formula>1.9</formula>
    </cfRule>
    <cfRule type="cellIs" dxfId="2651" priority="104" stopIfTrue="1" operator="between">
      <formula>3</formula>
      <formula>3.9</formula>
    </cfRule>
    <cfRule type="cellIs" dxfId="2650" priority="105" stopIfTrue="1" operator="between">
      <formula>4</formula>
      <formula>5</formula>
    </cfRule>
  </conditionalFormatting>
  <conditionalFormatting sqref="D28">
    <cfRule type="cellIs" dxfId="2649" priority="100" stopIfTrue="1" operator="between">
      <formula>0.1</formula>
      <formula>1.9</formula>
    </cfRule>
    <cfRule type="cellIs" dxfId="2648" priority="101" stopIfTrue="1" operator="between">
      <formula>3</formula>
      <formula>3.9</formula>
    </cfRule>
    <cfRule type="cellIs" dxfId="2647" priority="102" stopIfTrue="1" operator="between">
      <formula>4</formula>
      <formula>5</formula>
    </cfRule>
  </conditionalFormatting>
  <conditionalFormatting sqref="E29">
    <cfRule type="cellIs" dxfId="2646" priority="97" stopIfTrue="1" operator="between">
      <formula>0.1</formula>
      <formula>1.9</formula>
    </cfRule>
    <cfRule type="cellIs" dxfId="2645" priority="98" stopIfTrue="1" operator="between">
      <formula>3</formula>
      <formula>3.9</formula>
    </cfRule>
    <cfRule type="cellIs" dxfId="2644" priority="99" stopIfTrue="1" operator="between">
      <formula>4</formula>
      <formula>5</formula>
    </cfRule>
  </conditionalFormatting>
  <conditionalFormatting sqref="E26">
    <cfRule type="cellIs" dxfId="2643" priority="94" stopIfTrue="1" operator="between">
      <formula>0.1</formula>
      <formula>1.9</formula>
    </cfRule>
    <cfRule type="cellIs" dxfId="2642" priority="95" stopIfTrue="1" operator="between">
      <formula>3</formula>
      <formula>3.9</formula>
    </cfRule>
    <cfRule type="cellIs" dxfId="2641" priority="96" stopIfTrue="1" operator="between">
      <formula>4</formula>
      <formula>5</formula>
    </cfRule>
  </conditionalFormatting>
  <conditionalFormatting sqref="D26">
    <cfRule type="cellIs" dxfId="2640" priority="91" stopIfTrue="1" operator="between">
      <formula>0.1</formula>
      <formula>1.9</formula>
    </cfRule>
    <cfRule type="cellIs" dxfId="2639" priority="92" stopIfTrue="1" operator="between">
      <formula>3</formula>
      <formula>3.9</formula>
    </cfRule>
    <cfRule type="cellIs" dxfId="2638" priority="93" stopIfTrue="1" operator="between">
      <formula>4</formula>
      <formula>5</formula>
    </cfRule>
  </conditionalFormatting>
  <conditionalFormatting sqref="F26">
    <cfRule type="cellIs" dxfId="2637" priority="70" stopIfTrue="1" operator="between">
      <formula>0.1</formula>
      <formula>1.9</formula>
    </cfRule>
    <cfRule type="cellIs" dxfId="2636" priority="71" stopIfTrue="1" operator="between">
      <formula>3</formula>
      <formula>3.9</formula>
    </cfRule>
    <cfRule type="cellIs" dxfId="2635" priority="72" stopIfTrue="1" operator="between">
      <formula>4</formula>
      <formula>5</formula>
    </cfRule>
  </conditionalFormatting>
  <conditionalFormatting sqref="F27">
    <cfRule type="cellIs" dxfId="2634" priority="67" stopIfTrue="1" operator="between">
      <formula>0.1</formula>
      <formula>1.9</formula>
    </cfRule>
    <cfRule type="cellIs" dxfId="2633" priority="68" stopIfTrue="1" operator="between">
      <formula>3</formula>
      <formula>3.9</formula>
    </cfRule>
    <cfRule type="cellIs" dxfId="2632" priority="69" stopIfTrue="1" operator="between">
      <formula>4</formula>
      <formula>5</formula>
    </cfRule>
  </conditionalFormatting>
  <conditionalFormatting sqref="E32">
    <cfRule type="cellIs" dxfId="2631" priority="64" stopIfTrue="1" operator="between">
      <formula>0.1</formula>
      <formula>1.9</formula>
    </cfRule>
    <cfRule type="cellIs" dxfId="2630" priority="65" stopIfTrue="1" operator="between">
      <formula>3</formula>
      <formula>3.9</formula>
    </cfRule>
    <cfRule type="cellIs" dxfId="2629" priority="66" stopIfTrue="1" operator="between">
      <formula>4</formula>
      <formula>5</formula>
    </cfRule>
  </conditionalFormatting>
  <conditionalFormatting sqref="E33">
    <cfRule type="cellIs" dxfId="2628" priority="61" stopIfTrue="1" operator="between">
      <formula>0.1</formula>
      <formula>1.9</formula>
    </cfRule>
    <cfRule type="cellIs" dxfId="2627" priority="62" stopIfTrue="1" operator="between">
      <formula>3</formula>
      <formula>3.9</formula>
    </cfRule>
    <cfRule type="cellIs" dxfId="2626" priority="63" stopIfTrue="1" operator="between">
      <formula>4</formula>
      <formula>5</formula>
    </cfRule>
  </conditionalFormatting>
  <conditionalFormatting sqref="G31">
    <cfRule type="cellIs" dxfId="2625" priority="58" stopIfTrue="1" operator="between">
      <formula>0.1</formula>
      <formula>1.9</formula>
    </cfRule>
    <cfRule type="cellIs" dxfId="2624" priority="59" stopIfTrue="1" operator="between">
      <formula>3</formula>
      <formula>3.9</formula>
    </cfRule>
    <cfRule type="cellIs" dxfId="2623" priority="60" stopIfTrue="1" operator="between">
      <formula>4</formula>
      <formula>5</formula>
    </cfRule>
  </conditionalFormatting>
  <conditionalFormatting sqref="G26:H26">
    <cfRule type="cellIs" dxfId="2622" priority="55" stopIfTrue="1" operator="between">
      <formula>0.1</formula>
      <formula>1.9</formula>
    </cfRule>
    <cfRule type="cellIs" dxfId="2621" priority="56" stopIfTrue="1" operator="between">
      <formula>3</formula>
      <formula>3.9</formula>
    </cfRule>
    <cfRule type="cellIs" dxfId="2620" priority="57" stopIfTrue="1" operator="between">
      <formula>4</formula>
      <formula>5</formula>
    </cfRule>
  </conditionalFormatting>
  <conditionalFormatting sqref="H26">
    <cfRule type="cellIs" dxfId="2619" priority="40" stopIfTrue="1" operator="between">
      <formula>0.1</formula>
      <formula>1.9</formula>
    </cfRule>
    <cfRule type="cellIs" dxfId="2618" priority="41" stopIfTrue="1" operator="between">
      <formula>3</formula>
      <formula>3.9</formula>
    </cfRule>
    <cfRule type="cellIs" dxfId="2617" priority="42" stopIfTrue="1" operator="between">
      <formula>4</formula>
      <formula>5</formula>
    </cfRule>
  </conditionalFormatting>
  <conditionalFormatting sqref="G26:H26">
    <cfRule type="cellIs" dxfId="2616" priority="37" stopIfTrue="1" operator="between">
      <formula>0.1</formula>
      <formula>1.9</formula>
    </cfRule>
    <cfRule type="cellIs" dxfId="2615" priority="38" stopIfTrue="1" operator="between">
      <formula>3</formula>
      <formula>3.9</formula>
    </cfRule>
    <cfRule type="cellIs" dxfId="2614" priority="39" stopIfTrue="1" operator="between">
      <formula>4</formula>
      <formula>5</formula>
    </cfRule>
  </conditionalFormatting>
  <conditionalFormatting sqref="H27">
    <cfRule type="cellIs" dxfId="2613" priority="34" stopIfTrue="1" operator="between">
      <formula>0.1</formula>
      <formula>1.9</formula>
    </cfRule>
    <cfRule type="cellIs" dxfId="2612" priority="35" stopIfTrue="1" operator="between">
      <formula>3</formula>
      <formula>3.9</formula>
    </cfRule>
    <cfRule type="cellIs" dxfId="2611" priority="36" stopIfTrue="1" operator="between">
      <formula>4</formula>
      <formula>5</formula>
    </cfRule>
  </conditionalFormatting>
  <conditionalFormatting sqref="G32">
    <cfRule type="cellIs" dxfId="2610" priority="31" stopIfTrue="1" operator="between">
      <formula>0.1</formula>
      <formula>1.9</formula>
    </cfRule>
    <cfRule type="cellIs" dxfId="2609" priority="32" stopIfTrue="1" operator="between">
      <formula>3</formula>
      <formula>3.9</formula>
    </cfRule>
    <cfRule type="cellIs" dxfId="2608" priority="33" stopIfTrue="1" operator="between">
      <formula>4</formula>
      <formula>5</formula>
    </cfRule>
  </conditionalFormatting>
  <conditionalFormatting sqref="G27:H27">
    <cfRule type="cellIs" dxfId="2607" priority="28" stopIfTrue="1" operator="between">
      <formula>0.1</formula>
      <formula>1.9</formula>
    </cfRule>
    <cfRule type="cellIs" dxfId="2606" priority="29" stopIfTrue="1" operator="between">
      <formula>3</formula>
      <formula>3.9</formula>
    </cfRule>
    <cfRule type="cellIs" dxfId="2605" priority="30" stopIfTrue="1" operator="between">
      <formula>4</formula>
      <formula>5</formula>
    </cfRule>
  </conditionalFormatting>
  <conditionalFormatting sqref="G28:H28">
    <cfRule type="cellIs" dxfId="2604" priority="22" stopIfTrue="1" operator="between">
      <formula>0.1</formula>
      <formula>1.9</formula>
    </cfRule>
    <cfRule type="cellIs" dxfId="2603" priority="23" stopIfTrue="1" operator="between">
      <formula>3</formula>
      <formula>3.9</formula>
    </cfRule>
    <cfRule type="cellIs" dxfId="2602" priority="24" stopIfTrue="1" operator="between">
      <formula>4</formula>
      <formula>5</formula>
    </cfRule>
  </conditionalFormatting>
  <conditionalFormatting sqref="H29">
    <cfRule type="cellIs" dxfId="2601" priority="19" stopIfTrue="1" operator="between">
      <formula>0.1</formula>
      <formula>1.9</formula>
    </cfRule>
    <cfRule type="cellIs" dxfId="2600" priority="20" stopIfTrue="1" operator="between">
      <formula>3</formula>
      <formula>3.9</formula>
    </cfRule>
    <cfRule type="cellIs" dxfId="2599" priority="21" stopIfTrue="1" operator="between">
      <formula>4</formula>
      <formula>5</formula>
    </cfRule>
  </conditionalFormatting>
  <conditionalFormatting sqref="G26:H26">
    <cfRule type="cellIs" dxfId="2598" priority="16" stopIfTrue="1" operator="between">
      <formula>0.1</formula>
      <formula>1.9</formula>
    </cfRule>
    <cfRule type="cellIs" dxfId="2597" priority="17" stopIfTrue="1" operator="between">
      <formula>3</formula>
      <formula>3.9</formula>
    </cfRule>
    <cfRule type="cellIs" dxfId="2596" priority="18" stopIfTrue="1" operator="between">
      <formula>4</formula>
      <formula>5</formula>
    </cfRule>
  </conditionalFormatting>
  <conditionalFormatting sqref="H27">
    <cfRule type="cellIs" dxfId="2595" priority="13" stopIfTrue="1" operator="between">
      <formula>0.1</formula>
      <formula>1.9</formula>
    </cfRule>
    <cfRule type="cellIs" dxfId="2594" priority="14" stopIfTrue="1" operator="between">
      <formula>3</formula>
      <formula>3.9</formula>
    </cfRule>
    <cfRule type="cellIs" dxfId="2593" priority="15" stopIfTrue="1" operator="between">
      <formula>4</formula>
      <formula>5</formula>
    </cfRule>
  </conditionalFormatting>
  <conditionalFormatting sqref="G27:H27">
    <cfRule type="cellIs" dxfId="2592" priority="10" stopIfTrue="1" operator="between">
      <formula>0.1</formula>
      <formula>1.9</formula>
    </cfRule>
    <cfRule type="cellIs" dxfId="2591" priority="11" stopIfTrue="1" operator="between">
      <formula>3</formula>
      <formula>3.9</formula>
    </cfRule>
    <cfRule type="cellIs" dxfId="2590" priority="12" stopIfTrue="1" operator="between">
      <formula>4</formula>
      <formula>5</formula>
    </cfRule>
  </conditionalFormatting>
  <conditionalFormatting sqref="H28">
    <cfRule type="cellIs" dxfId="2589" priority="7" stopIfTrue="1" operator="between">
      <formula>0.1</formula>
      <formula>1.9</formula>
    </cfRule>
    <cfRule type="cellIs" dxfId="2588" priority="8" stopIfTrue="1" operator="between">
      <formula>3</formula>
      <formula>3.9</formula>
    </cfRule>
    <cfRule type="cellIs" dxfId="2587" priority="9" stopIfTrue="1" operator="between">
      <formula>4</formula>
      <formula>5</formula>
    </cfRule>
  </conditionalFormatting>
  <conditionalFormatting sqref="G32">
    <cfRule type="cellIs" dxfId="2586" priority="4" stopIfTrue="1" operator="between">
      <formula>0.1</formula>
      <formula>1.9</formula>
    </cfRule>
    <cfRule type="cellIs" dxfId="2585" priority="5" stopIfTrue="1" operator="between">
      <formula>3</formula>
      <formula>3.9</formula>
    </cfRule>
    <cfRule type="cellIs" dxfId="2584" priority="6" stopIfTrue="1" operator="between">
      <formula>4</formula>
      <formula>5</formula>
    </cfRule>
  </conditionalFormatting>
  <conditionalFormatting sqref="G33">
    <cfRule type="cellIs" dxfId="2583" priority="1" stopIfTrue="1" operator="between">
      <formula>0.1</formula>
      <formula>1.9</formula>
    </cfRule>
    <cfRule type="cellIs" dxfId="2582" priority="2" stopIfTrue="1" operator="between">
      <formula>3</formula>
      <formula>3.9</formula>
    </cfRule>
    <cfRule type="cellIs" dxfId="2581" priority="3" stopIfTrue="1" operator="between">
      <formula>4</formula>
      <formula>5</formula>
    </cfRule>
  </conditionalFormatting>
  <dataValidations count="1">
    <dataValidation type="list" allowBlank="1" showInputMessage="1" showErrorMessage="1" sqref="O9:Q44" xr:uid="{2E3E78A7-979B-4BC4-B46E-AE2EAAB9901D}">
      <formula1>"&lt;1F,1F,2F/1S,"</formula1>
    </dataValidation>
  </dataValidations>
  <pageMargins left="0.54" right="0.26" top="0.49" bottom="0.43" header="0.24" footer="0.24"/>
  <pageSetup paperSize="9" scale="81" orientation="portrait" horizontalDpi="4294967293" r:id="rId1"/>
  <headerFooter alignWithMargins="0">
    <oddHeader>&amp;C&amp;"Comic Sans MS,Standaard"&amp;16Leerrendement</oddHeader>
    <oddFooter>&amp;R© www.meesterharrie.nl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8">
    <tabColor rgb="FFCCFFFF"/>
    <pageSetUpPr fitToPage="1"/>
  </sheetPr>
  <dimension ref="A1:AD65"/>
  <sheetViews>
    <sheetView showGridLines="0" showRowColHeaders="0" zoomScale="80" zoomScaleNormal="80" workbookViewId="0"/>
  </sheetViews>
  <sheetFormatPr defaultColWidth="9.140625" defaultRowHeight="12.75" x14ac:dyDescent="0.2"/>
  <cols>
    <col min="1" max="1" width="9.140625" style="2"/>
    <col min="2" max="2" width="4" style="6" bestFit="1" customWidth="1"/>
    <col min="3" max="3" width="20.85546875" style="5" customWidth="1"/>
    <col min="4" max="8" width="5.85546875" style="3" customWidth="1"/>
    <col min="9" max="10" width="5.85546875" style="3" hidden="1" customWidth="1"/>
    <col min="11" max="13" width="5.85546875" style="3" customWidth="1"/>
    <col min="14" max="17" width="5.85546875" style="728" customWidth="1"/>
    <col min="18" max="18" width="9.140625" style="2" customWidth="1"/>
    <col min="19" max="19" width="4" style="6" bestFit="1" customWidth="1"/>
    <col min="20" max="20" width="20.85546875" style="5" customWidth="1"/>
    <col min="21" max="25" width="5.85546875" style="3" customWidth="1"/>
    <col min="26" max="27" width="5.85546875" style="3" hidden="1" customWidth="1"/>
    <col min="28" max="30" width="5.85546875" style="3" customWidth="1"/>
    <col min="31" max="16384" width="9.140625" style="2"/>
  </cols>
  <sheetData>
    <row r="1" spans="1:30" ht="15.75" thickBot="1" x14ac:dyDescent="0.25">
      <c r="A1" s="429"/>
      <c r="B1" s="697"/>
      <c r="C1" s="58"/>
      <c r="D1" s="698"/>
      <c r="E1" s="698"/>
      <c r="F1" s="698"/>
      <c r="G1" s="698"/>
      <c r="H1" s="698"/>
      <c r="I1" s="698"/>
      <c r="J1" s="698"/>
      <c r="K1" s="698"/>
      <c r="L1" s="698"/>
      <c r="M1" s="698"/>
      <c r="N1" s="726"/>
      <c r="O1" s="726"/>
      <c r="P1" s="726"/>
      <c r="Q1" s="726"/>
      <c r="R1" s="429"/>
      <c r="S1" s="697"/>
      <c r="T1" s="58"/>
      <c r="U1" s="698"/>
      <c r="V1" s="698"/>
      <c r="W1" s="698"/>
      <c r="X1" s="698"/>
      <c r="Y1" s="698"/>
      <c r="Z1" s="698"/>
      <c r="AA1" s="698"/>
      <c r="AB1" s="445" t="s">
        <v>37</v>
      </c>
      <c r="AC1" s="698"/>
      <c r="AD1" s="698"/>
    </row>
    <row r="2" spans="1:30" ht="30.75" thickBot="1" x14ac:dyDescent="0.25">
      <c r="A2" s="429"/>
      <c r="B2" s="697"/>
      <c r="C2" s="442" t="s">
        <v>38</v>
      </c>
      <c r="D2" s="938">
        <f>BEGINBLAD!$I$2</f>
        <v>0</v>
      </c>
      <c r="E2" s="939"/>
      <c r="F2" s="939"/>
      <c r="G2" s="939"/>
      <c r="H2" s="940"/>
      <c r="I2" s="698"/>
      <c r="J2" s="698"/>
      <c r="K2" s="698"/>
      <c r="L2" s="698"/>
      <c r="M2" s="698"/>
      <c r="N2" s="726"/>
      <c r="O2" s="941" t="s">
        <v>449</v>
      </c>
      <c r="P2" s="942"/>
      <c r="Q2" s="943"/>
      <c r="R2" s="429"/>
      <c r="S2" s="697"/>
      <c r="T2" s="441" t="s">
        <v>39</v>
      </c>
      <c r="U2" s="448">
        <v>52</v>
      </c>
      <c r="V2" s="448">
        <v>53</v>
      </c>
      <c r="W2" s="448">
        <v>53</v>
      </c>
      <c r="X2" s="448">
        <v>53</v>
      </c>
      <c r="Y2" s="448">
        <v>53</v>
      </c>
      <c r="Z2" s="698"/>
      <c r="AA2" s="698"/>
      <c r="AB2" s="443">
        <f>AVERAGE(U2:AA2)</f>
        <v>52.8</v>
      </c>
      <c r="AC2" s="698"/>
      <c r="AD2" s="698"/>
    </row>
    <row r="3" spans="1:30" ht="21" hidden="1" x14ac:dyDescent="0.2">
      <c r="A3" s="429"/>
      <c r="B3" s="697"/>
      <c r="C3" s="8"/>
      <c r="D3" s="440"/>
      <c r="E3" s="440"/>
      <c r="F3" s="440"/>
      <c r="G3" s="440"/>
      <c r="H3" s="440"/>
      <c r="I3" s="698"/>
      <c r="J3" s="698"/>
      <c r="K3" s="698"/>
      <c r="L3" s="698"/>
      <c r="M3" s="698"/>
      <c r="N3" s="726"/>
      <c r="O3" s="944"/>
      <c r="P3" s="945"/>
      <c r="Q3" s="946"/>
      <c r="R3" s="429"/>
      <c r="S3" s="697"/>
      <c r="T3" s="436"/>
      <c r="U3" s="440">
        <f>U2+5</f>
        <v>57</v>
      </c>
      <c r="V3" s="440">
        <f t="shared" ref="V3:Y3" si="0">V2+5</f>
        <v>58</v>
      </c>
      <c r="W3" s="440">
        <f t="shared" si="0"/>
        <v>58</v>
      </c>
      <c r="X3" s="440">
        <f t="shared" si="0"/>
        <v>58</v>
      </c>
      <c r="Y3" s="440">
        <f t="shared" si="0"/>
        <v>58</v>
      </c>
      <c r="Z3" s="698"/>
      <c r="AA3" s="698"/>
      <c r="AB3" s="698"/>
      <c r="AC3" s="698"/>
      <c r="AD3" s="698"/>
    </row>
    <row r="4" spans="1:30" ht="21" hidden="1" x14ac:dyDescent="0.2">
      <c r="A4" s="429"/>
      <c r="B4" s="697"/>
      <c r="C4" s="8"/>
      <c r="D4" s="440"/>
      <c r="E4" s="440"/>
      <c r="F4" s="440"/>
      <c r="G4" s="440"/>
      <c r="H4" s="440"/>
      <c r="I4" s="698"/>
      <c r="J4" s="698"/>
      <c r="K4" s="698"/>
      <c r="L4" s="698"/>
      <c r="M4" s="698"/>
      <c r="N4" s="726"/>
      <c r="O4" s="944"/>
      <c r="P4" s="945"/>
      <c r="Q4" s="946"/>
      <c r="R4" s="429"/>
      <c r="S4" s="697"/>
      <c r="T4" s="436"/>
      <c r="U4" s="440">
        <f>U2-5</f>
        <v>47</v>
      </c>
      <c r="V4" s="440">
        <f t="shared" ref="V4:Y4" si="1">V2-5</f>
        <v>48</v>
      </c>
      <c r="W4" s="440">
        <f t="shared" si="1"/>
        <v>48</v>
      </c>
      <c r="X4" s="440">
        <f t="shared" si="1"/>
        <v>48</v>
      </c>
      <c r="Y4" s="440">
        <f t="shared" si="1"/>
        <v>48</v>
      </c>
      <c r="Z4" s="698"/>
      <c r="AA4" s="698"/>
      <c r="AB4" s="698"/>
      <c r="AC4" s="698"/>
      <c r="AD4" s="698"/>
    </row>
    <row r="5" spans="1:30" x14ac:dyDescent="0.2">
      <c r="A5" s="429"/>
      <c r="B5" s="697"/>
      <c r="C5" s="58" t="s">
        <v>40</v>
      </c>
      <c r="D5" s="698"/>
      <c r="E5" s="698"/>
      <c r="F5" s="698"/>
      <c r="G5" s="698"/>
      <c r="H5" s="698"/>
      <c r="I5" s="698"/>
      <c r="J5" s="698"/>
      <c r="K5" s="698"/>
      <c r="L5" s="698"/>
      <c r="M5" s="698"/>
      <c r="N5" s="726"/>
      <c r="O5" s="944"/>
      <c r="P5" s="945"/>
      <c r="Q5" s="946"/>
      <c r="R5" s="429"/>
      <c r="S5" s="697"/>
      <c r="T5" s="58" t="s">
        <v>41</v>
      </c>
      <c r="U5" s="698"/>
      <c r="V5" s="698"/>
      <c r="W5" s="698"/>
      <c r="X5" s="698"/>
      <c r="Y5" s="698"/>
      <c r="Z5" s="698"/>
      <c r="AA5" s="698"/>
      <c r="AB5" s="698"/>
      <c r="AC5" s="698"/>
      <c r="AD5" s="698"/>
    </row>
    <row r="6" spans="1:30" ht="60" customHeight="1" thickBot="1" x14ac:dyDescent="0.25">
      <c r="A6" s="429"/>
      <c r="B6" s="697"/>
      <c r="C6" s="14" t="s">
        <v>42</v>
      </c>
      <c r="D6" s="188"/>
      <c r="E6" s="188"/>
      <c r="F6" s="188"/>
      <c r="G6" s="188"/>
      <c r="H6" s="188"/>
      <c r="I6" s="698"/>
      <c r="J6" s="698"/>
      <c r="K6" s="698"/>
      <c r="L6" s="698"/>
      <c r="M6" s="698"/>
      <c r="N6" s="726"/>
      <c r="O6" s="947"/>
      <c r="P6" s="948"/>
      <c r="Q6" s="949"/>
      <c r="R6" s="429"/>
      <c r="S6" s="697"/>
      <c r="T6" s="14" t="s">
        <v>42</v>
      </c>
      <c r="U6" s="188"/>
      <c r="V6" s="188"/>
      <c r="W6" s="188"/>
      <c r="X6" s="188"/>
      <c r="Y6" s="188"/>
      <c r="Z6" s="698"/>
      <c r="AA6" s="698"/>
      <c r="AB6" s="698"/>
      <c r="AC6" s="698"/>
      <c r="AD6" s="698"/>
    </row>
    <row r="7" spans="1:30" ht="5.0999999999999996" customHeight="1" x14ac:dyDescent="0.2">
      <c r="A7" s="429"/>
      <c r="B7" s="697"/>
      <c r="C7" s="7"/>
      <c r="D7" s="698"/>
      <c r="E7" s="698"/>
      <c r="F7" s="698"/>
      <c r="G7" s="698"/>
      <c r="H7" s="698"/>
      <c r="I7" s="698"/>
      <c r="J7" s="698"/>
      <c r="K7" s="698"/>
      <c r="L7" s="698"/>
      <c r="M7" s="698"/>
      <c r="N7" s="726"/>
      <c r="O7" s="726"/>
      <c r="P7" s="726"/>
      <c r="Q7" s="726"/>
      <c r="R7" s="429"/>
      <c r="S7" s="697"/>
      <c r="T7" s="7"/>
      <c r="U7" s="698"/>
      <c r="V7" s="698"/>
      <c r="W7" s="698"/>
      <c r="X7" s="698"/>
      <c r="Y7" s="698"/>
      <c r="Z7" s="698"/>
      <c r="AA7" s="698"/>
      <c r="AB7" s="698"/>
      <c r="AC7" s="698"/>
      <c r="AD7" s="698"/>
    </row>
    <row r="8" spans="1:30" ht="106.5" x14ac:dyDescent="0.2">
      <c r="A8" s="19" t="s">
        <v>43</v>
      </c>
      <c r="B8" s="699"/>
      <c r="C8" s="700" t="s">
        <v>44</v>
      </c>
      <c r="D8" s="189" t="s">
        <v>45</v>
      </c>
      <c r="E8" s="189" t="s">
        <v>46</v>
      </c>
      <c r="F8" s="189" t="s">
        <v>47</v>
      </c>
      <c r="G8" s="189" t="s">
        <v>48</v>
      </c>
      <c r="H8" s="189" t="s">
        <v>49</v>
      </c>
      <c r="I8" s="189" t="s">
        <v>50</v>
      </c>
      <c r="J8" s="189" t="s">
        <v>51</v>
      </c>
      <c r="K8" s="701"/>
      <c r="L8" s="41" t="s">
        <v>52</v>
      </c>
      <c r="M8" s="41" t="s">
        <v>53</v>
      </c>
      <c r="N8" s="15"/>
      <c r="O8" s="41" t="s">
        <v>451</v>
      </c>
      <c r="P8" s="41" t="s">
        <v>450</v>
      </c>
      <c r="Q8" s="41" t="s">
        <v>452</v>
      </c>
      <c r="R8" s="19" t="s">
        <v>43</v>
      </c>
      <c r="S8" s="699"/>
      <c r="T8" s="700" t="s">
        <v>44</v>
      </c>
      <c r="U8" s="189" t="s">
        <v>45</v>
      </c>
      <c r="V8" s="189" t="s">
        <v>46</v>
      </c>
      <c r="W8" s="189" t="s">
        <v>47</v>
      </c>
      <c r="X8" s="189" t="s">
        <v>48</v>
      </c>
      <c r="Y8" s="189" t="s">
        <v>49</v>
      </c>
      <c r="Z8" s="189" t="s">
        <v>50</v>
      </c>
      <c r="AA8" s="189" t="s">
        <v>51</v>
      </c>
      <c r="AB8" s="701"/>
      <c r="AC8" s="41" t="s">
        <v>52</v>
      </c>
      <c r="AD8" s="41" t="s">
        <v>54</v>
      </c>
    </row>
    <row r="9" spans="1:30" s="4" customFormat="1" ht="19.5" customHeight="1" x14ac:dyDescent="0.2">
      <c r="A9" s="17">
        <f>BEGINBLAD!D4</f>
        <v>0</v>
      </c>
      <c r="B9" s="40">
        <v>1</v>
      </c>
      <c r="C9" s="702" t="str">
        <f>BEGINBLAD!C4</f>
        <v>leelring 1</v>
      </c>
      <c r="D9" s="33">
        <v>2</v>
      </c>
      <c r="E9" s="33">
        <v>2.6</v>
      </c>
      <c r="F9" s="852">
        <v>4.0999999999999996</v>
      </c>
      <c r="G9" s="852">
        <v>4.5999999999999996</v>
      </c>
      <c r="H9" s="853">
        <v>2</v>
      </c>
      <c r="I9" s="444">
        <f t="shared" ref="I9:I44" si="2">SUM(D9:H9)</f>
        <v>15.299999999999999</v>
      </c>
      <c r="J9" s="444">
        <f t="shared" ref="J9:J44" si="3">COUNTA(D9:H9)</f>
        <v>5</v>
      </c>
      <c r="K9" s="10"/>
      <c r="L9" s="42">
        <f t="shared" ref="L9:L44" si="4">IF(J9=0,"",IF(J9&gt;0,I9/J9))</f>
        <v>3.0599999999999996</v>
      </c>
      <c r="M9" s="42" t="str">
        <f>IF(L9="","",IF(L9&gt;4.5,"A-1+",IF(L9&gt;4.2,"A-1",IF(L9&gt;=4,"A-2",IF(L9&gt;3.3,"B-2",IF(L9&gt;=3,"B-3",IF(L9&gt;2.4,"C-3",IF(L9&gt;=2,"C-4",IF(L9&gt;1.5,"D-4",IF(L9&gt;=1,"D-5",IF(L9&gt;0.5,"E-5",IF(L9&gt;=0,"E-5-"))))))))))))</f>
        <v>B-3</v>
      </c>
      <c r="N9" s="13"/>
      <c r="O9" s="729" t="s">
        <v>453</v>
      </c>
      <c r="P9" s="729" t="s">
        <v>453</v>
      </c>
      <c r="Q9" s="729" t="s">
        <v>453</v>
      </c>
      <c r="R9" s="17">
        <f>BEGINBLAD!D4</f>
        <v>0</v>
      </c>
      <c r="S9" s="40">
        <v>1</v>
      </c>
      <c r="T9" s="702" t="str">
        <f>BEGINBLAD!C4</f>
        <v>leelring 1</v>
      </c>
      <c r="U9" s="437">
        <v>55</v>
      </c>
      <c r="V9" s="437">
        <v>55</v>
      </c>
      <c r="W9" s="437">
        <v>55</v>
      </c>
      <c r="X9" s="437">
        <v>60</v>
      </c>
      <c r="Y9" s="437">
        <v>60</v>
      </c>
      <c r="Z9" s="444">
        <f t="shared" ref="Z9:Z44" si="5">SUM(U9:Y9)</f>
        <v>285</v>
      </c>
      <c r="AA9" s="444">
        <f t="shared" ref="AA9:AA44" si="6">COUNTA(U9:Y9)</f>
        <v>5</v>
      </c>
      <c r="AB9" s="10"/>
      <c r="AC9" s="447">
        <f t="shared" ref="AC9:AC44" si="7">IF(AA9=0,"",IF(AA9&gt;0,Z9/AA9))</f>
        <v>57</v>
      </c>
      <c r="AD9" s="446">
        <f>IF(AA9=0,"",IF(AA9&gt;0,AC9/AB$2))</f>
        <v>1.0795454545454546</v>
      </c>
    </row>
    <row r="10" spans="1:30" ht="19.5" customHeight="1" x14ac:dyDescent="0.2">
      <c r="A10" s="18">
        <f>BEGINBLAD!D5</f>
        <v>0</v>
      </c>
      <c r="B10" s="40">
        <v>2</v>
      </c>
      <c r="C10" s="702" t="str">
        <f>BEGINBLAD!C5</f>
        <v>leerling 2</v>
      </c>
      <c r="D10" s="32">
        <v>3</v>
      </c>
      <c r="E10" s="32">
        <v>1.2</v>
      </c>
      <c r="F10" s="854">
        <v>0.3</v>
      </c>
      <c r="G10" s="852">
        <v>4.8</v>
      </c>
      <c r="H10" s="853">
        <v>2.9</v>
      </c>
      <c r="I10" s="444">
        <f t="shared" si="2"/>
        <v>12.200000000000001</v>
      </c>
      <c r="J10" s="444">
        <f t="shared" si="3"/>
        <v>5</v>
      </c>
      <c r="K10" s="10"/>
      <c r="L10" s="42">
        <f t="shared" si="4"/>
        <v>2.4400000000000004</v>
      </c>
      <c r="M10" s="42" t="str">
        <f t="shared" ref="M10:M44" si="8">IF(L10="","",IF(L10&gt;4.5,"A-1+",IF(L10&gt;4.2,"A-1",IF(L10&gt;=4,"A-2",IF(L10&gt;3.3,"B-2",IF(L10&gt;=3,"B-3",IF(L10&gt;2.4,"C-3",IF(L10&gt;=2,"C-4",IF(L10&gt;1.5,"D-4",IF(L10&gt;=1,"D-5",IF(L10&gt;0.5,"E-5",IF(L10&gt;=0,"E-5-"))))))))))))</f>
        <v>C-3</v>
      </c>
      <c r="N10" s="13"/>
      <c r="O10" s="729" t="s">
        <v>526</v>
      </c>
      <c r="P10" s="729" t="s">
        <v>526</v>
      </c>
      <c r="Q10" s="729" t="s">
        <v>453</v>
      </c>
      <c r="R10" s="17">
        <f>BEGINBLAD!D5</f>
        <v>0</v>
      </c>
      <c r="S10" s="40">
        <v>2</v>
      </c>
      <c r="T10" s="702" t="str">
        <f>BEGINBLAD!C5</f>
        <v>leerling 2</v>
      </c>
      <c r="U10" s="437"/>
      <c r="V10" s="437"/>
      <c r="W10" s="437"/>
      <c r="X10" s="437"/>
      <c r="Y10" s="437"/>
      <c r="Z10" s="444">
        <f t="shared" si="5"/>
        <v>0</v>
      </c>
      <c r="AA10" s="444">
        <f t="shared" si="6"/>
        <v>0</v>
      </c>
      <c r="AB10" s="10"/>
      <c r="AC10" s="447" t="str">
        <f t="shared" si="7"/>
        <v/>
      </c>
      <c r="AD10" s="446" t="str">
        <f t="shared" ref="AD10:AD44" si="9">IF(AA10=0,"",IF(AA10&gt;0,AC10/AB$2))</f>
        <v/>
      </c>
    </row>
    <row r="11" spans="1:30" s="4" customFormat="1" ht="19.5" customHeight="1" x14ac:dyDescent="0.2">
      <c r="A11" s="17">
        <f>BEGINBLAD!D6</f>
        <v>0</v>
      </c>
      <c r="B11" s="40">
        <v>3</v>
      </c>
      <c r="C11" s="702" t="str">
        <f>BEGINBLAD!C6</f>
        <v>leerling 3</v>
      </c>
      <c r="D11" s="35">
        <v>1.6</v>
      </c>
      <c r="E11" s="32">
        <v>1.7</v>
      </c>
      <c r="F11" s="855">
        <v>1.2</v>
      </c>
      <c r="G11" s="853">
        <v>2.6</v>
      </c>
      <c r="H11" s="854">
        <v>0.4</v>
      </c>
      <c r="I11" s="444">
        <f t="shared" si="2"/>
        <v>7.5</v>
      </c>
      <c r="J11" s="444">
        <f t="shared" si="3"/>
        <v>5</v>
      </c>
      <c r="K11" s="10"/>
      <c r="L11" s="42">
        <f t="shared" si="4"/>
        <v>1.5</v>
      </c>
      <c r="M11" s="42" t="str">
        <f t="shared" si="8"/>
        <v>D-5</v>
      </c>
      <c r="N11" s="13"/>
      <c r="O11" s="729" t="s">
        <v>526</v>
      </c>
      <c r="P11" s="729" t="s">
        <v>526</v>
      </c>
      <c r="Q11" s="729" t="s">
        <v>526</v>
      </c>
      <c r="R11" s="17">
        <f>BEGINBLAD!D6</f>
        <v>0</v>
      </c>
      <c r="S11" s="40">
        <v>3</v>
      </c>
      <c r="T11" s="702" t="str">
        <f>BEGINBLAD!C6</f>
        <v>leerling 3</v>
      </c>
      <c r="U11" s="437"/>
      <c r="V11" s="437"/>
      <c r="W11" s="437"/>
      <c r="X11" s="437"/>
      <c r="Y11" s="437"/>
      <c r="Z11" s="444">
        <f t="shared" si="5"/>
        <v>0</v>
      </c>
      <c r="AA11" s="444">
        <f t="shared" si="6"/>
        <v>0</v>
      </c>
      <c r="AB11" s="10"/>
      <c r="AC11" s="447" t="str">
        <f t="shared" si="7"/>
        <v/>
      </c>
      <c r="AD11" s="446" t="str">
        <f t="shared" si="9"/>
        <v/>
      </c>
    </row>
    <row r="12" spans="1:30" ht="19.5" customHeight="1" x14ac:dyDescent="0.2">
      <c r="A12" s="18">
        <f>BEGINBLAD!D7</f>
        <v>0</v>
      </c>
      <c r="B12" s="40">
        <v>4</v>
      </c>
      <c r="C12" s="702" t="str">
        <f>BEGINBLAD!C7</f>
        <v>leerling 4</v>
      </c>
      <c r="D12" s="32">
        <v>1.6</v>
      </c>
      <c r="E12" s="32">
        <v>3.2</v>
      </c>
      <c r="F12" s="854">
        <v>0.8</v>
      </c>
      <c r="G12" s="853">
        <v>2.4</v>
      </c>
      <c r="H12" s="856">
        <v>3</v>
      </c>
      <c r="I12" s="444">
        <f t="shared" si="2"/>
        <v>11</v>
      </c>
      <c r="J12" s="444">
        <f t="shared" si="3"/>
        <v>5</v>
      </c>
      <c r="K12" s="10"/>
      <c r="L12" s="42">
        <f t="shared" si="4"/>
        <v>2.2000000000000002</v>
      </c>
      <c r="M12" s="42" t="str">
        <f t="shared" si="8"/>
        <v>C-4</v>
      </c>
      <c r="N12" s="13"/>
      <c r="O12" s="729" t="s">
        <v>526</v>
      </c>
      <c r="P12" s="729" t="s">
        <v>453</v>
      </c>
      <c r="Q12" s="729" t="s">
        <v>526</v>
      </c>
      <c r="R12" s="17">
        <f>BEGINBLAD!D7</f>
        <v>0</v>
      </c>
      <c r="S12" s="40">
        <v>4</v>
      </c>
      <c r="T12" s="702" t="str">
        <f>BEGINBLAD!C7</f>
        <v>leerling 4</v>
      </c>
      <c r="U12" s="437"/>
      <c r="V12" s="437"/>
      <c r="W12" s="437"/>
      <c r="X12" s="437"/>
      <c r="Y12" s="437"/>
      <c r="Z12" s="444">
        <f t="shared" si="5"/>
        <v>0</v>
      </c>
      <c r="AA12" s="444">
        <f t="shared" si="6"/>
        <v>0</v>
      </c>
      <c r="AB12" s="10"/>
      <c r="AC12" s="447" t="str">
        <f t="shared" si="7"/>
        <v/>
      </c>
      <c r="AD12" s="446" t="str">
        <f t="shared" si="9"/>
        <v/>
      </c>
    </row>
    <row r="13" spans="1:30" s="4" customFormat="1" ht="19.5" customHeight="1" x14ac:dyDescent="0.2">
      <c r="A13" s="17">
        <f>BEGINBLAD!D8</f>
        <v>0</v>
      </c>
      <c r="B13" s="40">
        <v>5</v>
      </c>
      <c r="C13" s="702" t="str">
        <f>BEGINBLAD!C8</f>
        <v>leerling 5</v>
      </c>
      <c r="D13" s="32">
        <v>3.1</v>
      </c>
      <c r="E13" s="32">
        <v>4.7</v>
      </c>
      <c r="F13" s="856">
        <v>3.4</v>
      </c>
      <c r="G13" s="856">
        <v>3.6</v>
      </c>
      <c r="H13" s="852">
        <v>4.2</v>
      </c>
      <c r="I13" s="444">
        <f t="shared" si="2"/>
        <v>19</v>
      </c>
      <c r="J13" s="444">
        <f t="shared" si="3"/>
        <v>5</v>
      </c>
      <c r="K13" s="10"/>
      <c r="L13" s="42">
        <f t="shared" si="4"/>
        <v>3.8</v>
      </c>
      <c r="M13" s="42" t="str">
        <f t="shared" si="8"/>
        <v>B-2</v>
      </c>
      <c r="N13" s="13"/>
      <c r="O13" s="729" t="s">
        <v>453</v>
      </c>
      <c r="P13" s="729" t="s">
        <v>455</v>
      </c>
      <c r="Q13" s="729" t="s">
        <v>526</v>
      </c>
      <c r="R13" s="17">
        <f>BEGINBLAD!D8</f>
        <v>0</v>
      </c>
      <c r="S13" s="40">
        <v>5</v>
      </c>
      <c r="T13" s="702" t="str">
        <f>BEGINBLAD!C8</f>
        <v>leerling 5</v>
      </c>
      <c r="U13" s="437"/>
      <c r="V13" s="437"/>
      <c r="W13" s="437"/>
      <c r="X13" s="437"/>
      <c r="Y13" s="437"/>
      <c r="Z13" s="444">
        <f t="shared" si="5"/>
        <v>0</v>
      </c>
      <c r="AA13" s="444">
        <f t="shared" si="6"/>
        <v>0</v>
      </c>
      <c r="AB13" s="10"/>
      <c r="AC13" s="447" t="str">
        <f t="shared" si="7"/>
        <v/>
      </c>
      <c r="AD13" s="446" t="str">
        <f t="shared" si="9"/>
        <v/>
      </c>
    </row>
    <row r="14" spans="1:30" ht="19.5" customHeight="1" x14ac:dyDescent="0.2">
      <c r="A14" s="18">
        <f>BEGINBLAD!D9</f>
        <v>0</v>
      </c>
      <c r="B14" s="40">
        <v>6</v>
      </c>
      <c r="C14" s="702" t="str">
        <f>BEGINBLAD!C9</f>
        <v>leerling 6</v>
      </c>
      <c r="D14" s="34">
        <v>1.7</v>
      </c>
      <c r="E14" s="35">
        <v>2.2000000000000002</v>
      </c>
      <c r="F14" s="855">
        <v>1.4</v>
      </c>
      <c r="G14" s="855">
        <v>1.4</v>
      </c>
      <c r="H14" s="854">
        <v>0.1</v>
      </c>
      <c r="I14" s="444">
        <f t="shared" si="2"/>
        <v>6.8000000000000007</v>
      </c>
      <c r="J14" s="444">
        <f t="shared" si="3"/>
        <v>5</v>
      </c>
      <c r="K14" s="10"/>
      <c r="L14" s="42">
        <f t="shared" si="4"/>
        <v>1.36</v>
      </c>
      <c r="M14" s="42" t="str">
        <f t="shared" si="8"/>
        <v>D-5</v>
      </c>
      <c r="N14" s="13"/>
      <c r="O14" s="729" t="s">
        <v>526</v>
      </c>
      <c r="P14" s="729" t="s">
        <v>526</v>
      </c>
      <c r="Q14" s="729" t="s">
        <v>526</v>
      </c>
      <c r="R14" s="17">
        <f>BEGINBLAD!D9</f>
        <v>0</v>
      </c>
      <c r="S14" s="40">
        <v>6</v>
      </c>
      <c r="T14" s="702" t="str">
        <f>BEGINBLAD!C9</f>
        <v>leerling 6</v>
      </c>
      <c r="U14" s="437"/>
      <c r="V14" s="437"/>
      <c r="W14" s="437"/>
      <c r="X14" s="437"/>
      <c r="Y14" s="437"/>
      <c r="Z14" s="444">
        <f t="shared" si="5"/>
        <v>0</v>
      </c>
      <c r="AA14" s="444">
        <f t="shared" si="6"/>
        <v>0</v>
      </c>
      <c r="AB14" s="10"/>
      <c r="AC14" s="447" t="str">
        <f t="shared" si="7"/>
        <v/>
      </c>
      <c r="AD14" s="446" t="str">
        <f t="shared" si="9"/>
        <v/>
      </c>
    </row>
    <row r="15" spans="1:30" s="4" customFormat="1" ht="19.5" customHeight="1" x14ac:dyDescent="0.2">
      <c r="A15" s="17">
        <f>BEGINBLAD!D10</f>
        <v>0</v>
      </c>
      <c r="B15" s="40">
        <v>7</v>
      </c>
      <c r="C15" s="702" t="str">
        <f>BEGINBLAD!C10</f>
        <v>leerling 7</v>
      </c>
      <c r="D15" s="32">
        <v>2.6</v>
      </c>
      <c r="E15" s="32">
        <v>3.7</v>
      </c>
      <c r="F15" s="854">
        <v>0.4</v>
      </c>
      <c r="G15" s="855">
        <v>1.5</v>
      </c>
      <c r="H15" s="854">
        <v>0.4</v>
      </c>
      <c r="I15" s="444">
        <f t="shared" si="2"/>
        <v>8.6000000000000014</v>
      </c>
      <c r="J15" s="444">
        <f t="shared" si="3"/>
        <v>5</v>
      </c>
      <c r="K15" s="10"/>
      <c r="L15" s="42">
        <f t="shared" si="4"/>
        <v>1.7200000000000002</v>
      </c>
      <c r="M15" s="42" t="str">
        <f t="shared" si="8"/>
        <v>D-4</v>
      </c>
      <c r="N15" s="13"/>
      <c r="O15" s="729" t="s">
        <v>526</v>
      </c>
      <c r="P15" s="729" t="s">
        <v>453</v>
      </c>
      <c r="Q15" s="729" t="s">
        <v>453</v>
      </c>
      <c r="R15" s="17">
        <f>BEGINBLAD!D10</f>
        <v>0</v>
      </c>
      <c r="S15" s="40">
        <v>7</v>
      </c>
      <c r="T15" s="702" t="str">
        <f>BEGINBLAD!C10</f>
        <v>leerling 7</v>
      </c>
      <c r="U15" s="437"/>
      <c r="V15" s="437"/>
      <c r="W15" s="437"/>
      <c r="X15" s="437"/>
      <c r="Y15" s="437"/>
      <c r="Z15" s="444">
        <f t="shared" si="5"/>
        <v>0</v>
      </c>
      <c r="AA15" s="444">
        <f t="shared" si="6"/>
        <v>0</v>
      </c>
      <c r="AB15" s="10"/>
      <c r="AC15" s="447" t="str">
        <f t="shared" si="7"/>
        <v/>
      </c>
      <c r="AD15" s="446" t="str">
        <f t="shared" si="9"/>
        <v/>
      </c>
    </row>
    <row r="16" spans="1:30" ht="19.5" customHeight="1" x14ac:dyDescent="0.2">
      <c r="A16" s="18">
        <f>BEGINBLAD!D11</f>
        <v>0</v>
      </c>
      <c r="B16" s="40">
        <v>8</v>
      </c>
      <c r="C16" s="702" t="str">
        <f>BEGINBLAD!C11</f>
        <v>leerling 8</v>
      </c>
      <c r="D16" s="32">
        <v>4.3</v>
      </c>
      <c r="E16" s="32">
        <v>4.2</v>
      </c>
      <c r="F16" s="855">
        <v>1.7</v>
      </c>
      <c r="G16" s="852">
        <v>4.2</v>
      </c>
      <c r="H16" s="852">
        <v>4</v>
      </c>
      <c r="I16" s="444">
        <f t="shared" si="2"/>
        <v>18.399999999999999</v>
      </c>
      <c r="J16" s="444">
        <f t="shared" si="3"/>
        <v>5</v>
      </c>
      <c r="K16" s="10"/>
      <c r="L16" s="42">
        <f t="shared" si="4"/>
        <v>3.6799999999999997</v>
      </c>
      <c r="M16" s="42" t="str">
        <f t="shared" si="8"/>
        <v>B-2</v>
      </c>
      <c r="N16" s="13"/>
      <c r="O16" s="729" t="s">
        <v>526</v>
      </c>
      <c r="P16" s="729" t="s">
        <v>453</v>
      </c>
      <c r="Q16" s="729" t="s">
        <v>526</v>
      </c>
      <c r="R16" s="17">
        <f>BEGINBLAD!D11</f>
        <v>0</v>
      </c>
      <c r="S16" s="40">
        <v>8</v>
      </c>
      <c r="T16" s="702" t="str">
        <f>BEGINBLAD!C11</f>
        <v>leerling 8</v>
      </c>
      <c r="U16" s="437"/>
      <c r="V16" s="437"/>
      <c r="W16" s="437"/>
      <c r="X16" s="437"/>
      <c r="Y16" s="437"/>
      <c r="Z16" s="444">
        <f t="shared" si="5"/>
        <v>0</v>
      </c>
      <c r="AA16" s="444">
        <f t="shared" si="6"/>
        <v>0</v>
      </c>
      <c r="AB16" s="10"/>
      <c r="AC16" s="447" t="str">
        <f t="shared" si="7"/>
        <v/>
      </c>
      <c r="AD16" s="446" t="str">
        <f t="shared" si="9"/>
        <v/>
      </c>
    </row>
    <row r="17" spans="1:30" s="4" customFormat="1" ht="19.5" customHeight="1" x14ac:dyDescent="0.2">
      <c r="A17" s="17">
        <f>BEGINBLAD!D12</f>
        <v>0</v>
      </c>
      <c r="B17" s="40">
        <v>9</v>
      </c>
      <c r="C17" s="702" t="str">
        <f>BEGINBLAD!C12</f>
        <v>leerling 9</v>
      </c>
      <c r="D17" s="34">
        <v>1.4</v>
      </c>
      <c r="E17" s="35">
        <v>1.9</v>
      </c>
      <c r="F17" s="855">
        <v>1</v>
      </c>
      <c r="G17" s="856">
        <v>3.1</v>
      </c>
      <c r="H17" s="854">
        <v>0.6</v>
      </c>
      <c r="I17" s="444">
        <f t="shared" si="2"/>
        <v>8</v>
      </c>
      <c r="J17" s="444">
        <f t="shared" si="3"/>
        <v>5</v>
      </c>
      <c r="K17" s="10"/>
      <c r="L17" s="42">
        <f t="shared" si="4"/>
        <v>1.6</v>
      </c>
      <c r="M17" s="42" t="str">
        <f t="shared" si="8"/>
        <v>D-4</v>
      </c>
      <c r="N17" s="13"/>
      <c r="O17" s="729" t="s">
        <v>526</v>
      </c>
      <c r="P17" s="729" t="s">
        <v>526</v>
      </c>
      <c r="Q17" s="729" t="s">
        <v>526</v>
      </c>
      <c r="R17" s="17">
        <f>BEGINBLAD!D12</f>
        <v>0</v>
      </c>
      <c r="S17" s="40">
        <v>9</v>
      </c>
      <c r="T17" s="702" t="str">
        <f>BEGINBLAD!C12</f>
        <v>leerling 9</v>
      </c>
      <c r="U17" s="437"/>
      <c r="V17" s="437"/>
      <c r="W17" s="437"/>
      <c r="X17" s="437"/>
      <c r="Y17" s="437"/>
      <c r="Z17" s="444">
        <f t="shared" si="5"/>
        <v>0</v>
      </c>
      <c r="AA17" s="444">
        <f t="shared" si="6"/>
        <v>0</v>
      </c>
      <c r="AB17" s="10"/>
      <c r="AC17" s="447" t="str">
        <f t="shared" si="7"/>
        <v/>
      </c>
      <c r="AD17" s="446" t="str">
        <f t="shared" si="9"/>
        <v/>
      </c>
    </row>
    <row r="18" spans="1:30" ht="19.5" customHeight="1" x14ac:dyDescent="0.2">
      <c r="A18" s="18">
        <f>BEGINBLAD!D13</f>
        <v>0</v>
      </c>
      <c r="B18" s="40">
        <v>10</v>
      </c>
      <c r="C18" s="702" t="str">
        <f>BEGINBLAD!C13</f>
        <v>leerling 10</v>
      </c>
      <c r="D18" s="35">
        <v>1.8</v>
      </c>
      <c r="E18" s="32">
        <v>1.7</v>
      </c>
      <c r="F18" s="854">
        <v>0.6</v>
      </c>
      <c r="G18" s="855">
        <v>1.9</v>
      </c>
      <c r="H18" s="855">
        <v>1.4</v>
      </c>
      <c r="I18" s="444">
        <f t="shared" si="2"/>
        <v>7.4</v>
      </c>
      <c r="J18" s="444">
        <f t="shared" si="3"/>
        <v>5</v>
      </c>
      <c r="K18" s="10"/>
      <c r="L18" s="42">
        <f t="shared" si="4"/>
        <v>1.48</v>
      </c>
      <c r="M18" s="42" t="str">
        <f t="shared" si="8"/>
        <v>D-5</v>
      </c>
      <c r="N18" s="13"/>
      <c r="O18" s="729" t="s">
        <v>526</v>
      </c>
      <c r="P18" s="729" t="s">
        <v>526</v>
      </c>
      <c r="Q18" s="729" t="s">
        <v>526</v>
      </c>
      <c r="R18" s="17">
        <f>BEGINBLAD!D13</f>
        <v>0</v>
      </c>
      <c r="S18" s="40">
        <v>10</v>
      </c>
      <c r="T18" s="702" t="str">
        <f>BEGINBLAD!C13</f>
        <v>leerling 10</v>
      </c>
      <c r="U18" s="437"/>
      <c r="V18" s="437"/>
      <c r="W18" s="437"/>
      <c r="X18" s="437"/>
      <c r="Y18" s="437"/>
      <c r="Z18" s="444">
        <f t="shared" si="5"/>
        <v>0</v>
      </c>
      <c r="AA18" s="444">
        <f t="shared" si="6"/>
        <v>0</v>
      </c>
      <c r="AB18" s="10"/>
      <c r="AC18" s="447" t="str">
        <f t="shared" si="7"/>
        <v/>
      </c>
      <c r="AD18" s="446" t="str">
        <f t="shared" si="9"/>
        <v/>
      </c>
    </row>
    <row r="19" spans="1:30" s="4" customFormat="1" ht="19.5" customHeight="1" x14ac:dyDescent="0.2">
      <c r="A19" s="17">
        <f>BEGINBLAD!D14</f>
        <v>0</v>
      </c>
      <c r="B19" s="40">
        <v>11</v>
      </c>
      <c r="C19" s="702" t="str">
        <f>BEGINBLAD!C14</f>
        <v>leerling 11</v>
      </c>
      <c r="D19" s="34">
        <v>4</v>
      </c>
      <c r="E19" s="35">
        <v>4.2</v>
      </c>
      <c r="F19" s="856">
        <v>3.1</v>
      </c>
      <c r="G19" s="856">
        <v>3</v>
      </c>
      <c r="H19" s="855">
        <v>1.4</v>
      </c>
      <c r="I19" s="444">
        <f t="shared" si="2"/>
        <v>15.7</v>
      </c>
      <c r="J19" s="444">
        <f t="shared" si="3"/>
        <v>5</v>
      </c>
      <c r="K19" s="10"/>
      <c r="L19" s="42">
        <f t="shared" si="4"/>
        <v>3.1399999999999997</v>
      </c>
      <c r="M19" s="42" t="str">
        <f t="shared" si="8"/>
        <v>B-3</v>
      </c>
      <c r="N19" s="13"/>
      <c r="O19" s="729" t="s">
        <v>453</v>
      </c>
      <c r="P19" s="729" t="s">
        <v>453</v>
      </c>
      <c r="Q19" s="729" t="s">
        <v>526</v>
      </c>
      <c r="R19" s="17">
        <f>BEGINBLAD!D14</f>
        <v>0</v>
      </c>
      <c r="S19" s="40">
        <v>11</v>
      </c>
      <c r="T19" s="702" t="str">
        <f>BEGINBLAD!C14</f>
        <v>leerling 11</v>
      </c>
      <c r="U19" s="437"/>
      <c r="V19" s="437"/>
      <c r="W19" s="437"/>
      <c r="X19" s="437"/>
      <c r="Y19" s="437"/>
      <c r="Z19" s="444">
        <f t="shared" si="5"/>
        <v>0</v>
      </c>
      <c r="AA19" s="444">
        <f t="shared" si="6"/>
        <v>0</v>
      </c>
      <c r="AB19" s="10"/>
      <c r="AC19" s="447" t="str">
        <f t="shared" si="7"/>
        <v/>
      </c>
      <c r="AD19" s="446" t="str">
        <f t="shared" si="9"/>
        <v/>
      </c>
    </row>
    <row r="20" spans="1:30" ht="19.5" customHeight="1" x14ac:dyDescent="0.2">
      <c r="A20" s="18">
        <f>BEGINBLAD!D15</f>
        <v>0</v>
      </c>
      <c r="B20" s="40">
        <v>12</v>
      </c>
      <c r="C20" s="702" t="str">
        <f>BEGINBLAD!C15</f>
        <v>leerling 12</v>
      </c>
      <c r="D20" s="34">
        <v>1.6</v>
      </c>
      <c r="E20" s="33">
        <v>2.6</v>
      </c>
      <c r="F20" s="854">
        <v>0.2</v>
      </c>
      <c r="G20" s="855">
        <v>1.1000000000000001</v>
      </c>
      <c r="H20" s="856">
        <v>3.2</v>
      </c>
      <c r="I20" s="444">
        <f t="shared" si="2"/>
        <v>8.6999999999999993</v>
      </c>
      <c r="J20" s="444">
        <f t="shared" si="3"/>
        <v>5</v>
      </c>
      <c r="K20" s="10"/>
      <c r="L20" s="42">
        <f t="shared" si="4"/>
        <v>1.7399999999999998</v>
      </c>
      <c r="M20" s="42" t="str">
        <f t="shared" si="8"/>
        <v>D-4</v>
      </c>
      <c r="N20" s="13"/>
      <c r="O20" s="729" t="s">
        <v>526</v>
      </c>
      <c r="P20" s="729" t="s">
        <v>453</v>
      </c>
      <c r="Q20" s="729" t="s">
        <v>526</v>
      </c>
      <c r="R20" s="17">
        <f>BEGINBLAD!D15</f>
        <v>0</v>
      </c>
      <c r="S20" s="40">
        <v>12</v>
      </c>
      <c r="T20" s="702" t="str">
        <f>BEGINBLAD!C15</f>
        <v>leerling 12</v>
      </c>
      <c r="U20" s="437"/>
      <c r="V20" s="437"/>
      <c r="W20" s="437"/>
      <c r="X20" s="437"/>
      <c r="Y20" s="437"/>
      <c r="Z20" s="444">
        <f t="shared" si="5"/>
        <v>0</v>
      </c>
      <c r="AA20" s="444">
        <f t="shared" si="6"/>
        <v>0</v>
      </c>
      <c r="AB20" s="10"/>
      <c r="AC20" s="447" t="str">
        <f t="shared" si="7"/>
        <v/>
      </c>
      <c r="AD20" s="446" t="str">
        <f t="shared" si="9"/>
        <v/>
      </c>
    </row>
    <row r="21" spans="1:30" s="4" customFormat="1" ht="19.5" customHeight="1" x14ac:dyDescent="0.2">
      <c r="A21" s="17">
        <f>BEGINBLAD!D16</f>
        <v>0</v>
      </c>
      <c r="B21" s="40">
        <v>13</v>
      </c>
      <c r="C21" s="702" t="str">
        <f>BEGINBLAD!C16</f>
        <v>leerling 13</v>
      </c>
      <c r="D21" s="35">
        <v>3.8</v>
      </c>
      <c r="E21" s="32">
        <v>4.8</v>
      </c>
      <c r="F21" s="853">
        <v>2</v>
      </c>
      <c r="G21" s="853">
        <v>2.6</v>
      </c>
      <c r="H21" s="856">
        <v>3.3</v>
      </c>
      <c r="I21" s="444">
        <f t="shared" si="2"/>
        <v>16.5</v>
      </c>
      <c r="J21" s="444">
        <f t="shared" si="3"/>
        <v>5</v>
      </c>
      <c r="K21" s="10"/>
      <c r="L21" s="42">
        <f t="shared" si="4"/>
        <v>3.3</v>
      </c>
      <c r="M21" s="42" t="str">
        <f t="shared" si="8"/>
        <v>B-3</v>
      </c>
      <c r="N21" s="13"/>
      <c r="O21" s="729" t="s">
        <v>526</v>
      </c>
      <c r="P21" s="729" t="s">
        <v>455</v>
      </c>
      <c r="Q21" s="729" t="s">
        <v>526</v>
      </c>
      <c r="R21" s="17">
        <f>BEGINBLAD!D16</f>
        <v>0</v>
      </c>
      <c r="S21" s="40">
        <v>13</v>
      </c>
      <c r="T21" s="702" t="str">
        <f>BEGINBLAD!C16</f>
        <v>leerling 13</v>
      </c>
      <c r="U21" s="437"/>
      <c r="V21" s="437"/>
      <c r="W21" s="437"/>
      <c r="X21" s="437"/>
      <c r="Y21" s="437"/>
      <c r="Z21" s="444">
        <f t="shared" si="5"/>
        <v>0</v>
      </c>
      <c r="AA21" s="444">
        <f t="shared" si="6"/>
        <v>0</v>
      </c>
      <c r="AB21" s="10"/>
      <c r="AC21" s="447" t="str">
        <f t="shared" si="7"/>
        <v/>
      </c>
      <c r="AD21" s="446" t="str">
        <f t="shared" si="9"/>
        <v/>
      </c>
    </row>
    <row r="22" spans="1:30" ht="19.5" customHeight="1" x14ac:dyDescent="0.2">
      <c r="A22" s="18">
        <f>BEGINBLAD!D17</f>
        <v>0</v>
      </c>
      <c r="B22" s="40">
        <v>14</v>
      </c>
      <c r="C22" s="702" t="str">
        <f>BEGINBLAD!C17</f>
        <v>leerling 14</v>
      </c>
      <c r="D22" s="34">
        <v>2.8</v>
      </c>
      <c r="E22" s="32">
        <v>3.2</v>
      </c>
      <c r="F22" s="854">
        <v>0.8</v>
      </c>
      <c r="G22" s="853">
        <v>2.6</v>
      </c>
      <c r="H22" s="852">
        <v>4.7</v>
      </c>
      <c r="I22" s="444">
        <f t="shared" si="2"/>
        <v>14.100000000000001</v>
      </c>
      <c r="J22" s="444">
        <f t="shared" si="3"/>
        <v>5</v>
      </c>
      <c r="K22" s="10"/>
      <c r="L22" s="42">
        <f t="shared" si="4"/>
        <v>2.8200000000000003</v>
      </c>
      <c r="M22" s="42" t="str">
        <f t="shared" si="8"/>
        <v>C-3</v>
      </c>
      <c r="N22" s="13"/>
      <c r="O22" s="729" t="s">
        <v>526</v>
      </c>
      <c r="P22" s="729" t="s">
        <v>453</v>
      </c>
      <c r="Q22" s="729" t="s">
        <v>526</v>
      </c>
      <c r="R22" s="17">
        <f>BEGINBLAD!D17</f>
        <v>0</v>
      </c>
      <c r="S22" s="40">
        <v>14</v>
      </c>
      <c r="T22" s="702" t="str">
        <f>BEGINBLAD!C17</f>
        <v>leerling 14</v>
      </c>
      <c r="U22" s="437"/>
      <c r="V22" s="437"/>
      <c r="W22" s="437"/>
      <c r="X22" s="437"/>
      <c r="Y22" s="437"/>
      <c r="Z22" s="444">
        <f t="shared" si="5"/>
        <v>0</v>
      </c>
      <c r="AA22" s="444">
        <f t="shared" si="6"/>
        <v>0</v>
      </c>
      <c r="AB22" s="10"/>
      <c r="AC22" s="447" t="str">
        <f t="shared" si="7"/>
        <v/>
      </c>
      <c r="AD22" s="446" t="str">
        <f t="shared" si="9"/>
        <v/>
      </c>
    </row>
    <row r="23" spans="1:30" s="4" customFormat="1" ht="19.5" customHeight="1" x14ac:dyDescent="0.2">
      <c r="A23" s="17">
        <f>BEGINBLAD!D18</f>
        <v>0</v>
      </c>
      <c r="B23" s="40">
        <v>15</v>
      </c>
      <c r="C23" s="702" t="str">
        <f>BEGINBLAD!C18</f>
        <v>leerling 15</v>
      </c>
      <c r="D23" s="32">
        <v>2.1</v>
      </c>
      <c r="E23" s="32">
        <v>1.9</v>
      </c>
      <c r="F23" s="856">
        <v>3.1</v>
      </c>
      <c r="G23" s="855">
        <v>1.7</v>
      </c>
      <c r="H23" s="853">
        <v>2.4</v>
      </c>
      <c r="I23" s="444">
        <f t="shared" si="2"/>
        <v>11.2</v>
      </c>
      <c r="J23" s="444">
        <f t="shared" si="3"/>
        <v>5</v>
      </c>
      <c r="K23" s="10"/>
      <c r="L23" s="42">
        <f t="shared" si="4"/>
        <v>2.2399999999999998</v>
      </c>
      <c r="M23" s="42" t="str">
        <f t="shared" si="8"/>
        <v>C-4</v>
      </c>
      <c r="N23" s="13"/>
      <c r="O23" s="729" t="s">
        <v>453</v>
      </c>
      <c r="P23" s="729" t="s">
        <v>526</v>
      </c>
      <c r="Q23" s="729" t="s">
        <v>526</v>
      </c>
      <c r="R23" s="17">
        <f>BEGINBLAD!D18</f>
        <v>0</v>
      </c>
      <c r="S23" s="40">
        <v>15</v>
      </c>
      <c r="T23" s="702" t="str">
        <f>BEGINBLAD!C18</f>
        <v>leerling 15</v>
      </c>
      <c r="U23" s="437"/>
      <c r="V23" s="437"/>
      <c r="W23" s="437"/>
      <c r="X23" s="437"/>
      <c r="Y23" s="437"/>
      <c r="Z23" s="444">
        <f t="shared" si="5"/>
        <v>0</v>
      </c>
      <c r="AA23" s="444">
        <f t="shared" si="6"/>
        <v>0</v>
      </c>
      <c r="AB23" s="10"/>
      <c r="AC23" s="447" t="str">
        <f t="shared" si="7"/>
        <v/>
      </c>
      <c r="AD23" s="446" t="str">
        <f t="shared" si="9"/>
        <v/>
      </c>
    </row>
    <row r="24" spans="1:30" ht="19.5" customHeight="1" x14ac:dyDescent="0.2">
      <c r="A24" s="18">
        <f>BEGINBLAD!D19</f>
        <v>0</v>
      </c>
      <c r="B24" s="40">
        <v>16</v>
      </c>
      <c r="C24" s="702" t="str">
        <f>BEGINBLAD!C19</f>
        <v>leerling 16</v>
      </c>
      <c r="D24" s="35">
        <v>1</v>
      </c>
      <c r="E24" s="32">
        <v>3.4</v>
      </c>
      <c r="F24" s="854">
        <v>0.8</v>
      </c>
      <c r="G24" s="856">
        <v>3.6</v>
      </c>
      <c r="H24" s="856">
        <v>3.1</v>
      </c>
      <c r="I24" s="444">
        <f t="shared" si="2"/>
        <v>11.9</v>
      </c>
      <c r="J24" s="444">
        <f t="shared" si="3"/>
        <v>5</v>
      </c>
      <c r="K24" s="10"/>
      <c r="L24" s="42">
        <f t="shared" si="4"/>
        <v>2.38</v>
      </c>
      <c r="M24" s="42" t="str">
        <f t="shared" si="8"/>
        <v>C-4</v>
      </c>
      <c r="N24" s="13"/>
      <c r="O24" s="729" t="s">
        <v>526</v>
      </c>
      <c r="P24" s="729" t="s">
        <v>453</v>
      </c>
      <c r="Q24" s="729" t="s">
        <v>526</v>
      </c>
      <c r="R24" s="17">
        <f>BEGINBLAD!D19</f>
        <v>0</v>
      </c>
      <c r="S24" s="40">
        <v>16</v>
      </c>
      <c r="T24" s="702" t="str">
        <f>BEGINBLAD!C19</f>
        <v>leerling 16</v>
      </c>
      <c r="U24" s="437"/>
      <c r="V24" s="437"/>
      <c r="W24" s="437"/>
      <c r="X24" s="437"/>
      <c r="Y24" s="437"/>
      <c r="Z24" s="444">
        <f t="shared" si="5"/>
        <v>0</v>
      </c>
      <c r="AA24" s="444">
        <f t="shared" si="6"/>
        <v>0</v>
      </c>
      <c r="AB24" s="10"/>
      <c r="AC24" s="447" t="str">
        <f t="shared" si="7"/>
        <v/>
      </c>
      <c r="AD24" s="446" t="str">
        <f t="shared" si="9"/>
        <v/>
      </c>
    </row>
    <row r="25" spans="1:30" s="4" customFormat="1" ht="19.5" customHeight="1" x14ac:dyDescent="0.2">
      <c r="A25" s="17">
        <f>BEGINBLAD!D20</f>
        <v>0</v>
      </c>
      <c r="B25" s="40">
        <v>17</v>
      </c>
      <c r="C25" s="702" t="str">
        <f>BEGINBLAD!C20</f>
        <v>leerling 17</v>
      </c>
      <c r="D25" s="32">
        <v>3.3</v>
      </c>
      <c r="E25" s="32">
        <v>4</v>
      </c>
      <c r="F25" s="854">
        <v>0.2</v>
      </c>
      <c r="G25" s="853">
        <v>2.8</v>
      </c>
      <c r="H25" s="852">
        <v>4.5999999999999996</v>
      </c>
      <c r="I25" s="444">
        <f t="shared" si="2"/>
        <v>14.9</v>
      </c>
      <c r="J25" s="444">
        <f t="shared" si="3"/>
        <v>5</v>
      </c>
      <c r="K25" s="10"/>
      <c r="L25" s="42">
        <f t="shared" si="4"/>
        <v>2.98</v>
      </c>
      <c r="M25" s="42" t="str">
        <f t="shared" si="8"/>
        <v>C-3</v>
      </c>
      <c r="N25" s="13"/>
      <c r="O25" s="729" t="s">
        <v>526</v>
      </c>
      <c r="P25" s="729" t="s">
        <v>453</v>
      </c>
      <c r="Q25" s="729" t="s">
        <v>526</v>
      </c>
      <c r="R25" s="17">
        <f>BEGINBLAD!D20</f>
        <v>0</v>
      </c>
      <c r="S25" s="40">
        <v>17</v>
      </c>
      <c r="T25" s="702" t="str">
        <f>BEGINBLAD!C20</f>
        <v>leerling 17</v>
      </c>
      <c r="U25" s="437"/>
      <c r="V25" s="437"/>
      <c r="W25" s="437"/>
      <c r="X25" s="437"/>
      <c r="Y25" s="437"/>
      <c r="Z25" s="444">
        <f t="shared" si="5"/>
        <v>0</v>
      </c>
      <c r="AA25" s="444">
        <f t="shared" si="6"/>
        <v>0</v>
      </c>
      <c r="AB25" s="10"/>
      <c r="AC25" s="447" t="str">
        <f t="shared" si="7"/>
        <v/>
      </c>
      <c r="AD25" s="446" t="str">
        <f t="shared" si="9"/>
        <v/>
      </c>
    </row>
    <row r="26" spans="1:30" ht="19.5" customHeight="1" x14ac:dyDescent="0.2">
      <c r="A26" s="18">
        <f>BEGINBLAD!D21</f>
        <v>0</v>
      </c>
      <c r="B26" s="40">
        <v>18</v>
      </c>
      <c r="C26" s="702" t="str">
        <f>BEGINBLAD!C21</f>
        <v>leerling 18</v>
      </c>
      <c r="D26" s="34">
        <v>2.2000000000000002</v>
      </c>
      <c r="E26" s="35">
        <v>0.6</v>
      </c>
      <c r="F26" s="853">
        <v>2.2000000000000002</v>
      </c>
      <c r="G26" s="852">
        <v>4</v>
      </c>
      <c r="H26" s="856">
        <v>3</v>
      </c>
      <c r="I26" s="444">
        <f t="shared" si="2"/>
        <v>12</v>
      </c>
      <c r="J26" s="444">
        <f t="shared" si="3"/>
        <v>5</v>
      </c>
      <c r="K26" s="10"/>
      <c r="L26" s="42">
        <f t="shared" si="4"/>
        <v>2.4</v>
      </c>
      <c r="M26" s="42" t="str">
        <f t="shared" si="8"/>
        <v>C-4</v>
      </c>
      <c r="N26" s="13"/>
      <c r="O26" s="729" t="s">
        <v>526</v>
      </c>
      <c r="P26" s="729" t="s">
        <v>526</v>
      </c>
      <c r="Q26" s="729" t="s">
        <v>453</v>
      </c>
      <c r="R26" s="17">
        <f>BEGINBLAD!D21</f>
        <v>0</v>
      </c>
      <c r="S26" s="40">
        <v>18</v>
      </c>
      <c r="T26" s="702" t="str">
        <f>BEGINBLAD!C21</f>
        <v>leerling 18</v>
      </c>
      <c r="U26" s="437"/>
      <c r="V26" s="437"/>
      <c r="W26" s="437"/>
      <c r="X26" s="437"/>
      <c r="Y26" s="437"/>
      <c r="Z26" s="444">
        <f t="shared" si="5"/>
        <v>0</v>
      </c>
      <c r="AA26" s="444">
        <f t="shared" si="6"/>
        <v>0</v>
      </c>
      <c r="AB26" s="10"/>
      <c r="AC26" s="447" t="str">
        <f t="shared" si="7"/>
        <v/>
      </c>
      <c r="AD26" s="446" t="str">
        <f t="shared" si="9"/>
        <v/>
      </c>
    </row>
    <row r="27" spans="1:30" s="4" customFormat="1" ht="19.5" customHeight="1" x14ac:dyDescent="0.2">
      <c r="A27" s="17">
        <f>BEGINBLAD!D22</f>
        <v>0</v>
      </c>
      <c r="B27" s="40">
        <v>19</v>
      </c>
      <c r="C27" s="702" t="str">
        <f>BEGINBLAD!C22</f>
        <v>leerling 19</v>
      </c>
      <c r="D27" s="34">
        <v>0.9</v>
      </c>
      <c r="E27" s="34">
        <v>0.8</v>
      </c>
      <c r="F27" s="855">
        <v>1.2</v>
      </c>
      <c r="G27" s="856">
        <v>3.6</v>
      </c>
      <c r="H27" s="855">
        <v>1.4</v>
      </c>
      <c r="I27" s="444">
        <f t="shared" si="2"/>
        <v>7.9</v>
      </c>
      <c r="J27" s="444">
        <f t="shared" si="3"/>
        <v>5</v>
      </c>
      <c r="K27" s="10"/>
      <c r="L27" s="42">
        <f t="shared" si="4"/>
        <v>1.58</v>
      </c>
      <c r="M27" s="42" t="str">
        <f t="shared" si="8"/>
        <v>D-4</v>
      </c>
      <c r="N27" s="13"/>
      <c r="O27" s="729" t="s">
        <v>526</v>
      </c>
      <c r="P27" s="729" t="s">
        <v>526</v>
      </c>
      <c r="Q27" s="729" t="s">
        <v>526</v>
      </c>
      <c r="R27" s="17">
        <f>BEGINBLAD!D22</f>
        <v>0</v>
      </c>
      <c r="S27" s="40">
        <v>19</v>
      </c>
      <c r="T27" s="702" t="str">
        <f>BEGINBLAD!C22</f>
        <v>leerling 19</v>
      </c>
      <c r="U27" s="437"/>
      <c r="V27" s="437"/>
      <c r="W27" s="437"/>
      <c r="X27" s="437"/>
      <c r="Y27" s="437"/>
      <c r="Z27" s="444">
        <f t="shared" si="5"/>
        <v>0</v>
      </c>
      <c r="AA27" s="444">
        <f t="shared" si="6"/>
        <v>0</v>
      </c>
      <c r="AB27" s="10"/>
      <c r="AC27" s="447" t="str">
        <f t="shared" si="7"/>
        <v/>
      </c>
      <c r="AD27" s="446" t="str">
        <f t="shared" si="9"/>
        <v/>
      </c>
    </row>
    <row r="28" spans="1:30" ht="19.5" customHeight="1" x14ac:dyDescent="0.2">
      <c r="A28" s="18">
        <f>BEGINBLAD!D23</f>
        <v>0</v>
      </c>
      <c r="B28" s="40">
        <v>20</v>
      </c>
      <c r="C28" s="702" t="str">
        <f>BEGINBLAD!C23</f>
        <v>leerling 20</v>
      </c>
      <c r="D28" s="33">
        <v>4</v>
      </c>
      <c r="E28" s="35">
        <v>3.7</v>
      </c>
      <c r="F28" s="854">
        <v>0.8</v>
      </c>
      <c r="G28" s="856">
        <v>3.6</v>
      </c>
      <c r="H28" s="852">
        <v>4.2</v>
      </c>
      <c r="I28" s="444">
        <f t="shared" si="2"/>
        <v>16.3</v>
      </c>
      <c r="J28" s="444">
        <f t="shared" si="3"/>
        <v>5</v>
      </c>
      <c r="K28" s="10"/>
      <c r="L28" s="42">
        <f t="shared" si="4"/>
        <v>3.2600000000000002</v>
      </c>
      <c r="M28" s="42" t="str">
        <f t="shared" si="8"/>
        <v>B-3</v>
      </c>
      <c r="N28" s="13"/>
      <c r="O28" s="729" t="s">
        <v>526</v>
      </c>
      <c r="P28" s="729" t="s">
        <v>453</v>
      </c>
      <c r="Q28" s="729" t="s">
        <v>526</v>
      </c>
      <c r="R28" s="17">
        <f>BEGINBLAD!D23</f>
        <v>0</v>
      </c>
      <c r="S28" s="40">
        <v>20</v>
      </c>
      <c r="T28" s="702" t="str">
        <f>BEGINBLAD!C23</f>
        <v>leerling 20</v>
      </c>
      <c r="U28" s="437"/>
      <c r="V28" s="437"/>
      <c r="W28" s="437"/>
      <c r="X28" s="437"/>
      <c r="Y28" s="437"/>
      <c r="Z28" s="444">
        <f t="shared" si="5"/>
        <v>0</v>
      </c>
      <c r="AA28" s="444">
        <f t="shared" si="6"/>
        <v>0</v>
      </c>
      <c r="AB28" s="10"/>
      <c r="AC28" s="447" t="str">
        <f t="shared" si="7"/>
        <v/>
      </c>
      <c r="AD28" s="446" t="str">
        <f t="shared" si="9"/>
        <v/>
      </c>
    </row>
    <row r="29" spans="1:30" s="4" customFormat="1" ht="19.5" customHeight="1" x14ac:dyDescent="0.2">
      <c r="A29" s="17">
        <f>BEGINBLAD!D24</f>
        <v>0</v>
      </c>
      <c r="B29" s="40">
        <v>21</v>
      </c>
      <c r="C29" s="702" t="str">
        <f>BEGINBLAD!C24</f>
        <v>leerling 21</v>
      </c>
      <c r="D29" s="34">
        <v>2.4</v>
      </c>
      <c r="E29" s="34">
        <v>3.4</v>
      </c>
      <c r="F29" s="854">
        <v>0.6</v>
      </c>
      <c r="G29" s="853">
        <v>2.2999999999999998</v>
      </c>
      <c r="H29" s="856">
        <v>3.3</v>
      </c>
      <c r="I29" s="444">
        <f t="shared" si="2"/>
        <v>12</v>
      </c>
      <c r="J29" s="444">
        <f t="shared" si="3"/>
        <v>5</v>
      </c>
      <c r="K29" s="10"/>
      <c r="L29" s="42">
        <f t="shared" si="4"/>
        <v>2.4</v>
      </c>
      <c r="M29" s="42" t="str">
        <f t="shared" si="8"/>
        <v>C-4</v>
      </c>
      <c r="N29" s="13"/>
      <c r="O29" s="729" t="s">
        <v>526</v>
      </c>
      <c r="P29" s="729" t="s">
        <v>453</v>
      </c>
      <c r="Q29" s="729" t="s">
        <v>526</v>
      </c>
      <c r="R29" s="17">
        <f>BEGINBLAD!D24</f>
        <v>0</v>
      </c>
      <c r="S29" s="40">
        <v>21</v>
      </c>
      <c r="T29" s="702" t="str">
        <f>BEGINBLAD!C24</f>
        <v>leerling 21</v>
      </c>
      <c r="U29" s="438"/>
      <c r="V29" s="437"/>
      <c r="W29" s="437"/>
      <c r="X29" s="437"/>
      <c r="Y29" s="437"/>
      <c r="Z29" s="444">
        <f t="shared" si="5"/>
        <v>0</v>
      </c>
      <c r="AA29" s="444">
        <f t="shared" si="6"/>
        <v>0</v>
      </c>
      <c r="AB29" s="10"/>
      <c r="AC29" s="447" t="str">
        <f t="shared" si="7"/>
        <v/>
      </c>
      <c r="AD29" s="446" t="str">
        <f t="shared" si="9"/>
        <v/>
      </c>
    </row>
    <row r="30" spans="1:30" ht="19.5" customHeight="1" x14ac:dyDescent="0.2">
      <c r="A30" s="18">
        <f>BEGINBLAD!D25</f>
        <v>0</v>
      </c>
      <c r="B30" s="40">
        <v>22</v>
      </c>
      <c r="C30" s="702" t="str">
        <f>BEGINBLAD!C25</f>
        <v>leerling 22</v>
      </c>
      <c r="D30" s="32">
        <v>0.9</v>
      </c>
      <c r="E30" s="32">
        <v>1.7</v>
      </c>
      <c r="F30" s="855">
        <v>1.7</v>
      </c>
      <c r="G30" s="855">
        <v>1.5</v>
      </c>
      <c r="H30" s="855">
        <v>1.6</v>
      </c>
      <c r="I30" s="444">
        <f t="shared" si="2"/>
        <v>7.4</v>
      </c>
      <c r="J30" s="444">
        <f t="shared" si="3"/>
        <v>5</v>
      </c>
      <c r="K30" s="10"/>
      <c r="L30" s="42">
        <f t="shared" si="4"/>
        <v>1.48</v>
      </c>
      <c r="M30" s="42" t="str">
        <f t="shared" si="8"/>
        <v>D-5</v>
      </c>
      <c r="N30" s="13"/>
      <c r="O30" s="729" t="s">
        <v>526</v>
      </c>
      <c r="P30" s="729" t="s">
        <v>526</v>
      </c>
      <c r="Q30" s="729" t="s">
        <v>526</v>
      </c>
      <c r="R30" s="17">
        <f>BEGINBLAD!D25</f>
        <v>0</v>
      </c>
      <c r="S30" s="40">
        <v>22</v>
      </c>
      <c r="T30" s="702" t="str">
        <f>BEGINBLAD!C25</f>
        <v>leerling 22</v>
      </c>
      <c r="U30" s="437"/>
      <c r="V30" s="437"/>
      <c r="W30" s="437"/>
      <c r="X30" s="437"/>
      <c r="Y30" s="437"/>
      <c r="Z30" s="444">
        <f t="shared" si="5"/>
        <v>0</v>
      </c>
      <c r="AA30" s="444">
        <f t="shared" si="6"/>
        <v>0</v>
      </c>
      <c r="AB30" s="10"/>
      <c r="AC30" s="447" t="str">
        <f t="shared" si="7"/>
        <v/>
      </c>
      <c r="AD30" s="446" t="str">
        <f t="shared" si="9"/>
        <v/>
      </c>
    </row>
    <row r="31" spans="1:30" s="4" customFormat="1" ht="19.5" customHeight="1" x14ac:dyDescent="0.2">
      <c r="A31" s="17">
        <f>BEGINBLAD!D26</f>
        <v>0</v>
      </c>
      <c r="B31" s="40">
        <v>23</v>
      </c>
      <c r="C31" s="702" t="str">
        <f>BEGINBLAD!C26</f>
        <v>leerling 23</v>
      </c>
      <c r="D31" s="32">
        <v>4.2</v>
      </c>
      <c r="E31" s="32">
        <v>4.9000000000000004</v>
      </c>
      <c r="F31" s="856">
        <v>3.4</v>
      </c>
      <c r="G31" s="856">
        <v>3.8</v>
      </c>
      <c r="H31" s="856">
        <v>3.9</v>
      </c>
      <c r="I31" s="444">
        <f t="shared" si="2"/>
        <v>20.2</v>
      </c>
      <c r="J31" s="444">
        <f t="shared" si="3"/>
        <v>5</v>
      </c>
      <c r="K31" s="10"/>
      <c r="L31" s="42">
        <f t="shared" si="4"/>
        <v>4.04</v>
      </c>
      <c r="M31" s="42" t="str">
        <f t="shared" si="8"/>
        <v>A-2</v>
      </c>
      <c r="N31" s="13"/>
      <c r="O31" s="729" t="s">
        <v>453</v>
      </c>
      <c r="P31" s="729" t="s">
        <v>455</v>
      </c>
      <c r="Q31" s="729" t="s">
        <v>453</v>
      </c>
      <c r="R31" s="17">
        <f>BEGINBLAD!D26</f>
        <v>0</v>
      </c>
      <c r="S31" s="40">
        <v>23</v>
      </c>
      <c r="T31" s="702" t="str">
        <f>BEGINBLAD!C26</f>
        <v>leerling 23</v>
      </c>
      <c r="U31" s="437"/>
      <c r="V31" s="437"/>
      <c r="W31" s="437"/>
      <c r="X31" s="437"/>
      <c r="Y31" s="437"/>
      <c r="Z31" s="444">
        <f t="shared" si="5"/>
        <v>0</v>
      </c>
      <c r="AA31" s="444">
        <f t="shared" si="6"/>
        <v>0</v>
      </c>
      <c r="AB31" s="10"/>
      <c r="AC31" s="447" t="str">
        <f t="shared" si="7"/>
        <v/>
      </c>
      <c r="AD31" s="446" t="str">
        <f t="shared" si="9"/>
        <v/>
      </c>
    </row>
    <row r="32" spans="1:30" ht="19.5" customHeight="1" x14ac:dyDescent="0.2">
      <c r="A32" s="18">
        <f>BEGINBLAD!D27</f>
        <v>0</v>
      </c>
      <c r="B32" s="40">
        <v>24</v>
      </c>
      <c r="C32" s="702" t="str">
        <f>BEGINBLAD!C27</f>
        <v>leerling 24</v>
      </c>
      <c r="D32" s="34">
        <v>4</v>
      </c>
      <c r="E32" s="34">
        <v>4.5</v>
      </c>
      <c r="F32" s="853">
        <v>2.2000000000000002</v>
      </c>
      <c r="G32" s="852">
        <v>4.8</v>
      </c>
      <c r="H32" s="852">
        <v>4.8</v>
      </c>
      <c r="I32" s="444">
        <f t="shared" si="2"/>
        <v>20.3</v>
      </c>
      <c r="J32" s="444">
        <f t="shared" si="3"/>
        <v>5</v>
      </c>
      <c r="K32" s="10"/>
      <c r="L32" s="42">
        <f t="shared" si="4"/>
        <v>4.0600000000000005</v>
      </c>
      <c r="M32" s="42" t="str">
        <f t="shared" si="8"/>
        <v>A-2</v>
      </c>
      <c r="N32" s="13"/>
      <c r="O32" s="729" t="s">
        <v>526</v>
      </c>
      <c r="P32" s="729" t="s">
        <v>453</v>
      </c>
      <c r="Q32" s="729" t="s">
        <v>453</v>
      </c>
      <c r="R32" s="17">
        <f>BEGINBLAD!D27</f>
        <v>0</v>
      </c>
      <c r="S32" s="40">
        <v>24</v>
      </c>
      <c r="T32" s="702" t="str">
        <f>BEGINBLAD!C27</f>
        <v>leerling 24</v>
      </c>
      <c r="U32" s="437"/>
      <c r="V32" s="437"/>
      <c r="W32" s="437"/>
      <c r="X32" s="437"/>
      <c r="Y32" s="437"/>
      <c r="Z32" s="444">
        <f t="shared" si="5"/>
        <v>0</v>
      </c>
      <c r="AA32" s="444">
        <f t="shared" si="6"/>
        <v>0</v>
      </c>
      <c r="AB32" s="10"/>
      <c r="AC32" s="447" t="str">
        <f t="shared" si="7"/>
        <v/>
      </c>
      <c r="AD32" s="446" t="str">
        <f t="shared" si="9"/>
        <v/>
      </c>
    </row>
    <row r="33" spans="1:30" s="4" customFormat="1" ht="19.5" customHeight="1" x14ac:dyDescent="0.2">
      <c r="A33" s="17">
        <f>BEGINBLAD!D28</f>
        <v>0</v>
      </c>
      <c r="B33" s="40">
        <v>25</v>
      </c>
      <c r="C33" s="702" t="str">
        <f>BEGINBLAD!C28</f>
        <v>leerling 25</v>
      </c>
      <c r="D33" s="34">
        <v>2.1</v>
      </c>
      <c r="E33" s="32">
        <v>3.2</v>
      </c>
      <c r="F33" s="855">
        <v>1.2</v>
      </c>
      <c r="G33" s="853">
        <v>2.5</v>
      </c>
      <c r="H33" s="855">
        <v>1.7</v>
      </c>
      <c r="I33" s="444">
        <f t="shared" si="2"/>
        <v>10.7</v>
      </c>
      <c r="J33" s="444">
        <f t="shared" si="3"/>
        <v>5</v>
      </c>
      <c r="K33" s="10"/>
      <c r="L33" s="42">
        <f t="shared" si="4"/>
        <v>2.1399999999999997</v>
      </c>
      <c r="M33" s="42" t="str">
        <f t="shared" si="8"/>
        <v>C-4</v>
      </c>
      <c r="N33" s="13"/>
      <c r="O33" s="729" t="s">
        <v>526</v>
      </c>
      <c r="P33" s="729" t="s">
        <v>453</v>
      </c>
      <c r="Q33" s="729" t="s">
        <v>526</v>
      </c>
      <c r="R33" s="17">
        <f>BEGINBLAD!D28</f>
        <v>0</v>
      </c>
      <c r="S33" s="40">
        <v>25</v>
      </c>
      <c r="T33" s="702" t="str">
        <f>BEGINBLAD!C28</f>
        <v>leerling 25</v>
      </c>
      <c r="U33" s="437"/>
      <c r="V33" s="437"/>
      <c r="W33" s="437"/>
      <c r="X33" s="437"/>
      <c r="Y33" s="437"/>
      <c r="Z33" s="444">
        <f t="shared" si="5"/>
        <v>0</v>
      </c>
      <c r="AA33" s="444">
        <f t="shared" si="6"/>
        <v>0</v>
      </c>
      <c r="AB33" s="10"/>
      <c r="AC33" s="447" t="str">
        <f t="shared" si="7"/>
        <v/>
      </c>
      <c r="AD33" s="446" t="str">
        <f t="shared" si="9"/>
        <v/>
      </c>
    </row>
    <row r="34" spans="1:30" ht="19.5" customHeight="1" x14ac:dyDescent="0.2">
      <c r="A34" s="18">
        <f>BEGINBLAD!D29</f>
        <v>0</v>
      </c>
      <c r="B34" s="40">
        <v>26</v>
      </c>
      <c r="C34" s="702" t="str">
        <f>BEGINBLAD!C29</f>
        <v>leerling 26</v>
      </c>
      <c r="D34" s="33">
        <v>1.8</v>
      </c>
      <c r="E34" s="34">
        <v>3.7</v>
      </c>
      <c r="F34" s="853">
        <v>2.5</v>
      </c>
      <c r="G34" s="856">
        <v>3.1</v>
      </c>
      <c r="H34" s="855">
        <v>1.2</v>
      </c>
      <c r="I34" s="444">
        <f t="shared" si="2"/>
        <v>12.299999999999999</v>
      </c>
      <c r="J34" s="444">
        <f t="shared" si="3"/>
        <v>5</v>
      </c>
      <c r="K34" s="10"/>
      <c r="L34" s="42">
        <f t="shared" si="4"/>
        <v>2.46</v>
      </c>
      <c r="M34" s="42" t="str">
        <f t="shared" si="8"/>
        <v>C-3</v>
      </c>
      <c r="N34" s="13"/>
      <c r="O34" s="729" t="s">
        <v>526</v>
      </c>
      <c r="P34" s="729" t="s">
        <v>453</v>
      </c>
      <c r="Q34" s="729" t="s">
        <v>526</v>
      </c>
      <c r="R34" s="17">
        <f>BEGINBLAD!D29</f>
        <v>0</v>
      </c>
      <c r="S34" s="40">
        <v>26</v>
      </c>
      <c r="T34" s="702" t="str">
        <f>BEGINBLAD!C29</f>
        <v>leerling 26</v>
      </c>
      <c r="U34" s="437"/>
      <c r="V34" s="437"/>
      <c r="W34" s="437"/>
      <c r="X34" s="437"/>
      <c r="Y34" s="437"/>
      <c r="Z34" s="444">
        <f t="shared" si="5"/>
        <v>0</v>
      </c>
      <c r="AA34" s="444">
        <f t="shared" si="6"/>
        <v>0</v>
      </c>
      <c r="AB34" s="10"/>
      <c r="AC34" s="447" t="str">
        <f t="shared" si="7"/>
        <v/>
      </c>
      <c r="AD34" s="446" t="str">
        <f t="shared" si="9"/>
        <v/>
      </c>
    </row>
    <row r="35" spans="1:30" s="4" customFormat="1" ht="19.5" customHeight="1" x14ac:dyDescent="0.2">
      <c r="A35" s="17">
        <f>BEGINBLAD!D30</f>
        <v>0</v>
      </c>
      <c r="B35" s="40">
        <v>27</v>
      </c>
      <c r="C35" s="702">
        <f>BEGINBLAD!C30</f>
        <v>0</v>
      </c>
      <c r="D35" s="33"/>
      <c r="E35" s="32"/>
      <c r="F35" s="32"/>
      <c r="G35" s="35"/>
      <c r="H35" s="34"/>
      <c r="I35" s="444">
        <f t="shared" si="2"/>
        <v>0</v>
      </c>
      <c r="J35" s="444">
        <f t="shared" si="3"/>
        <v>0</v>
      </c>
      <c r="K35" s="10"/>
      <c r="L35" s="42" t="str">
        <f t="shared" si="4"/>
        <v/>
      </c>
      <c r="M35" s="42" t="str">
        <f t="shared" si="8"/>
        <v/>
      </c>
      <c r="N35" s="13"/>
      <c r="O35" s="729"/>
      <c r="P35" s="729"/>
      <c r="Q35" s="729"/>
      <c r="R35" s="17">
        <f>BEGINBLAD!D30</f>
        <v>0</v>
      </c>
      <c r="S35" s="40">
        <v>27</v>
      </c>
      <c r="T35" s="702">
        <f>BEGINBLAD!C30</f>
        <v>0</v>
      </c>
      <c r="U35" s="437"/>
      <c r="V35" s="437"/>
      <c r="W35" s="437"/>
      <c r="X35" s="437"/>
      <c r="Y35" s="437"/>
      <c r="Z35" s="444">
        <f t="shared" si="5"/>
        <v>0</v>
      </c>
      <c r="AA35" s="444">
        <f t="shared" si="6"/>
        <v>0</v>
      </c>
      <c r="AB35" s="10"/>
      <c r="AC35" s="447" t="str">
        <f t="shared" si="7"/>
        <v/>
      </c>
      <c r="AD35" s="446" t="str">
        <f t="shared" si="9"/>
        <v/>
      </c>
    </row>
    <row r="36" spans="1:30" ht="19.5" customHeight="1" x14ac:dyDescent="0.2">
      <c r="A36" s="18">
        <f>BEGINBLAD!D31</f>
        <v>0</v>
      </c>
      <c r="B36" s="40">
        <v>28</v>
      </c>
      <c r="C36" s="702">
        <f>BEGINBLAD!C31</f>
        <v>0</v>
      </c>
      <c r="D36" s="33"/>
      <c r="E36" s="34"/>
      <c r="F36" s="34"/>
      <c r="G36" s="36"/>
      <c r="H36" s="32"/>
      <c r="I36" s="444">
        <f t="shared" si="2"/>
        <v>0</v>
      </c>
      <c r="J36" s="444">
        <f t="shared" si="3"/>
        <v>0</v>
      </c>
      <c r="K36" s="10"/>
      <c r="L36" s="42" t="str">
        <f t="shared" si="4"/>
        <v/>
      </c>
      <c r="M36" s="42" t="str">
        <f t="shared" si="8"/>
        <v/>
      </c>
      <c r="N36" s="13"/>
      <c r="O36" s="729"/>
      <c r="P36" s="729"/>
      <c r="Q36" s="729"/>
      <c r="R36" s="17">
        <f>BEGINBLAD!D31</f>
        <v>0</v>
      </c>
      <c r="S36" s="40">
        <v>28</v>
      </c>
      <c r="T36" s="702">
        <f>BEGINBLAD!C31</f>
        <v>0</v>
      </c>
      <c r="U36" s="437"/>
      <c r="V36" s="437"/>
      <c r="W36" s="437"/>
      <c r="X36" s="437"/>
      <c r="Y36" s="437"/>
      <c r="Z36" s="444">
        <f t="shared" si="5"/>
        <v>0</v>
      </c>
      <c r="AA36" s="444">
        <f t="shared" si="6"/>
        <v>0</v>
      </c>
      <c r="AB36" s="10"/>
      <c r="AC36" s="447" t="str">
        <f t="shared" si="7"/>
        <v/>
      </c>
      <c r="AD36" s="446" t="str">
        <f t="shared" si="9"/>
        <v/>
      </c>
    </row>
    <row r="37" spans="1:30" s="4" customFormat="1" ht="19.5" customHeight="1" x14ac:dyDescent="0.2">
      <c r="A37" s="17">
        <f>BEGINBLAD!D32</f>
        <v>0</v>
      </c>
      <c r="B37" s="40">
        <v>29</v>
      </c>
      <c r="C37" s="702">
        <f>BEGINBLAD!C32</f>
        <v>0</v>
      </c>
      <c r="D37" s="36"/>
      <c r="E37" s="33"/>
      <c r="F37" s="35"/>
      <c r="G37" s="35"/>
      <c r="H37" s="35"/>
      <c r="I37" s="444">
        <f t="shared" si="2"/>
        <v>0</v>
      </c>
      <c r="J37" s="444">
        <f t="shared" si="3"/>
        <v>0</v>
      </c>
      <c r="K37" s="10"/>
      <c r="L37" s="42" t="str">
        <f t="shared" si="4"/>
        <v/>
      </c>
      <c r="M37" s="42" t="str">
        <f t="shared" si="8"/>
        <v/>
      </c>
      <c r="N37" s="13"/>
      <c r="O37" s="729"/>
      <c r="P37" s="729"/>
      <c r="Q37" s="729"/>
      <c r="R37" s="17">
        <f>BEGINBLAD!D32</f>
        <v>0</v>
      </c>
      <c r="S37" s="40">
        <v>29</v>
      </c>
      <c r="T37" s="702">
        <f>BEGINBLAD!C32</f>
        <v>0</v>
      </c>
      <c r="U37" s="437"/>
      <c r="V37" s="437"/>
      <c r="W37" s="437"/>
      <c r="X37" s="437"/>
      <c r="Y37" s="437"/>
      <c r="Z37" s="444">
        <f t="shared" si="5"/>
        <v>0</v>
      </c>
      <c r="AA37" s="444">
        <f t="shared" si="6"/>
        <v>0</v>
      </c>
      <c r="AB37" s="10"/>
      <c r="AC37" s="447" t="str">
        <f t="shared" si="7"/>
        <v/>
      </c>
      <c r="AD37" s="446" t="str">
        <f t="shared" si="9"/>
        <v/>
      </c>
    </row>
    <row r="38" spans="1:30" ht="19.5" customHeight="1" x14ac:dyDescent="0.2">
      <c r="A38" s="18">
        <f>BEGINBLAD!D33</f>
        <v>0</v>
      </c>
      <c r="B38" s="40">
        <v>30</v>
      </c>
      <c r="C38" s="702">
        <f>BEGINBLAD!C33</f>
        <v>0</v>
      </c>
      <c r="D38" s="20"/>
      <c r="E38" s="21"/>
      <c r="F38" s="20"/>
      <c r="G38" s="20"/>
      <c r="H38" s="20"/>
      <c r="I38" s="444">
        <f t="shared" si="2"/>
        <v>0</v>
      </c>
      <c r="J38" s="444">
        <f t="shared" si="3"/>
        <v>0</v>
      </c>
      <c r="K38" s="10"/>
      <c r="L38" s="42" t="str">
        <f t="shared" si="4"/>
        <v/>
      </c>
      <c r="M38" s="42" t="str">
        <f t="shared" si="8"/>
        <v/>
      </c>
      <c r="N38" s="13"/>
      <c r="O38" s="729"/>
      <c r="P38" s="729"/>
      <c r="Q38" s="729"/>
      <c r="R38" s="17">
        <f>BEGINBLAD!D33</f>
        <v>0</v>
      </c>
      <c r="S38" s="40">
        <v>30</v>
      </c>
      <c r="T38" s="702">
        <f>BEGINBLAD!C33</f>
        <v>0</v>
      </c>
      <c r="U38" s="439"/>
      <c r="V38" s="437"/>
      <c r="W38" s="437"/>
      <c r="X38" s="437"/>
      <c r="Y38" s="437"/>
      <c r="Z38" s="444">
        <f t="shared" si="5"/>
        <v>0</v>
      </c>
      <c r="AA38" s="444">
        <f t="shared" si="6"/>
        <v>0</v>
      </c>
      <c r="AB38" s="10"/>
      <c r="AC38" s="447" t="str">
        <f t="shared" si="7"/>
        <v/>
      </c>
      <c r="AD38" s="446" t="str">
        <f t="shared" si="9"/>
        <v/>
      </c>
    </row>
    <row r="39" spans="1:30" s="4" customFormat="1" ht="19.5" customHeight="1" x14ac:dyDescent="0.2">
      <c r="A39" s="17">
        <f>BEGINBLAD!D34</f>
        <v>0</v>
      </c>
      <c r="B39" s="40">
        <v>31</v>
      </c>
      <c r="C39" s="702">
        <f>BEGINBLAD!C34</f>
        <v>0</v>
      </c>
      <c r="D39" s="20"/>
      <c r="E39" s="20"/>
      <c r="F39" s="20"/>
      <c r="G39" s="20"/>
      <c r="H39" s="20"/>
      <c r="I39" s="444">
        <f t="shared" si="2"/>
        <v>0</v>
      </c>
      <c r="J39" s="444">
        <f t="shared" si="3"/>
        <v>0</v>
      </c>
      <c r="K39" s="10"/>
      <c r="L39" s="42" t="str">
        <f t="shared" si="4"/>
        <v/>
      </c>
      <c r="M39" s="42" t="str">
        <f t="shared" si="8"/>
        <v/>
      </c>
      <c r="N39" s="13"/>
      <c r="O39" s="729"/>
      <c r="P39" s="729"/>
      <c r="Q39" s="729"/>
      <c r="R39" s="17">
        <f>BEGINBLAD!D34</f>
        <v>0</v>
      </c>
      <c r="S39" s="40">
        <v>31</v>
      </c>
      <c r="T39" s="702">
        <f>BEGINBLAD!C34</f>
        <v>0</v>
      </c>
      <c r="U39" s="439"/>
      <c r="V39" s="437"/>
      <c r="W39" s="437"/>
      <c r="X39" s="437"/>
      <c r="Y39" s="437"/>
      <c r="Z39" s="444">
        <f t="shared" si="5"/>
        <v>0</v>
      </c>
      <c r="AA39" s="444">
        <f t="shared" si="6"/>
        <v>0</v>
      </c>
      <c r="AB39" s="10"/>
      <c r="AC39" s="447" t="str">
        <f t="shared" si="7"/>
        <v/>
      </c>
      <c r="AD39" s="446" t="str">
        <f t="shared" si="9"/>
        <v/>
      </c>
    </row>
    <row r="40" spans="1:30" ht="19.5" customHeight="1" x14ac:dyDescent="0.2">
      <c r="A40" s="18">
        <f>BEGINBLAD!D35</f>
        <v>0</v>
      </c>
      <c r="B40" s="40">
        <v>32</v>
      </c>
      <c r="C40" s="702">
        <f>BEGINBLAD!C35</f>
        <v>0</v>
      </c>
      <c r="D40" s="20"/>
      <c r="E40" s="20"/>
      <c r="F40" s="20"/>
      <c r="G40" s="20"/>
      <c r="H40" s="20"/>
      <c r="I40" s="444">
        <f t="shared" si="2"/>
        <v>0</v>
      </c>
      <c r="J40" s="444">
        <f t="shared" si="3"/>
        <v>0</v>
      </c>
      <c r="K40" s="10"/>
      <c r="L40" s="42" t="str">
        <f t="shared" si="4"/>
        <v/>
      </c>
      <c r="M40" s="42" t="str">
        <f t="shared" si="8"/>
        <v/>
      </c>
      <c r="N40" s="13"/>
      <c r="O40" s="729"/>
      <c r="P40" s="729"/>
      <c r="Q40" s="729"/>
      <c r="R40" s="17">
        <f>BEGINBLAD!D35</f>
        <v>0</v>
      </c>
      <c r="S40" s="40">
        <v>32</v>
      </c>
      <c r="T40" s="702">
        <f>BEGINBLAD!C35</f>
        <v>0</v>
      </c>
      <c r="U40" s="439"/>
      <c r="V40" s="437"/>
      <c r="W40" s="437"/>
      <c r="X40" s="437"/>
      <c r="Y40" s="437"/>
      <c r="Z40" s="444">
        <f t="shared" si="5"/>
        <v>0</v>
      </c>
      <c r="AA40" s="444">
        <f t="shared" si="6"/>
        <v>0</v>
      </c>
      <c r="AB40" s="10"/>
      <c r="AC40" s="447" t="str">
        <f t="shared" si="7"/>
        <v/>
      </c>
      <c r="AD40" s="446" t="str">
        <f t="shared" si="9"/>
        <v/>
      </c>
    </row>
    <row r="41" spans="1:30" s="4" customFormat="1" ht="19.5" customHeight="1" x14ac:dyDescent="0.2">
      <c r="A41" s="17">
        <f>BEGINBLAD!D36</f>
        <v>0</v>
      </c>
      <c r="B41" s="40">
        <v>33</v>
      </c>
      <c r="C41" s="702">
        <f>BEGINBLAD!C36</f>
        <v>0</v>
      </c>
      <c r="D41" s="20"/>
      <c r="E41" s="20"/>
      <c r="F41" s="20"/>
      <c r="G41" s="20"/>
      <c r="H41" s="20"/>
      <c r="I41" s="444">
        <f t="shared" si="2"/>
        <v>0</v>
      </c>
      <c r="J41" s="444">
        <f t="shared" si="3"/>
        <v>0</v>
      </c>
      <c r="K41" s="10"/>
      <c r="L41" s="42" t="str">
        <f t="shared" si="4"/>
        <v/>
      </c>
      <c r="M41" s="42" t="str">
        <f t="shared" si="8"/>
        <v/>
      </c>
      <c r="N41" s="13"/>
      <c r="O41" s="729"/>
      <c r="P41" s="729"/>
      <c r="Q41" s="729"/>
      <c r="R41" s="17">
        <f>BEGINBLAD!D36</f>
        <v>0</v>
      </c>
      <c r="S41" s="40">
        <v>33</v>
      </c>
      <c r="T41" s="702">
        <f>BEGINBLAD!C36</f>
        <v>0</v>
      </c>
      <c r="U41" s="439"/>
      <c r="V41" s="437"/>
      <c r="W41" s="437"/>
      <c r="X41" s="437"/>
      <c r="Y41" s="437"/>
      <c r="Z41" s="444">
        <f t="shared" si="5"/>
        <v>0</v>
      </c>
      <c r="AA41" s="444">
        <f t="shared" si="6"/>
        <v>0</v>
      </c>
      <c r="AB41" s="10"/>
      <c r="AC41" s="447" t="str">
        <f t="shared" si="7"/>
        <v/>
      </c>
      <c r="AD41" s="446" t="str">
        <f t="shared" si="9"/>
        <v/>
      </c>
    </row>
    <row r="42" spans="1:30" s="4" customFormat="1" ht="19.5" customHeight="1" x14ac:dyDescent="0.2">
      <c r="A42" s="17"/>
      <c r="B42" s="40">
        <v>34</v>
      </c>
      <c r="C42" s="702">
        <f>BEGINBLAD!C37</f>
        <v>0</v>
      </c>
      <c r="D42" s="20"/>
      <c r="E42" s="20"/>
      <c r="F42" s="20"/>
      <c r="G42" s="20"/>
      <c r="H42" s="20"/>
      <c r="I42" s="444">
        <f t="shared" si="2"/>
        <v>0</v>
      </c>
      <c r="J42" s="444">
        <f t="shared" si="3"/>
        <v>0</v>
      </c>
      <c r="K42" s="10"/>
      <c r="L42" s="42"/>
      <c r="M42" s="42"/>
      <c r="N42" s="13"/>
      <c r="O42" s="729"/>
      <c r="P42" s="729"/>
      <c r="Q42" s="729"/>
      <c r="R42" s="17">
        <f>BEGINBLAD!D37</f>
        <v>0</v>
      </c>
      <c r="S42" s="40">
        <v>34</v>
      </c>
      <c r="T42" s="702">
        <f>BEGINBLAD!C37</f>
        <v>0</v>
      </c>
      <c r="U42" s="439"/>
      <c r="V42" s="437"/>
      <c r="W42" s="437"/>
      <c r="X42" s="437"/>
      <c r="Y42" s="437"/>
      <c r="Z42" s="444">
        <f t="shared" si="5"/>
        <v>0</v>
      </c>
      <c r="AA42" s="444">
        <f t="shared" si="6"/>
        <v>0</v>
      </c>
      <c r="AB42" s="10"/>
      <c r="AC42" s="447" t="str">
        <f t="shared" si="7"/>
        <v/>
      </c>
      <c r="AD42" s="446" t="str">
        <f t="shared" si="9"/>
        <v/>
      </c>
    </row>
    <row r="43" spans="1:30" ht="19.5" customHeight="1" x14ac:dyDescent="0.2">
      <c r="A43" s="18">
        <f>BEGINBLAD!D37</f>
        <v>0</v>
      </c>
      <c r="B43" s="40">
        <v>35</v>
      </c>
      <c r="C43" s="702">
        <f>BEGINBLAD!C38</f>
        <v>0</v>
      </c>
      <c r="D43" s="20"/>
      <c r="E43" s="20"/>
      <c r="F43" s="20"/>
      <c r="G43" s="20"/>
      <c r="H43" s="20"/>
      <c r="I43" s="444">
        <f t="shared" si="2"/>
        <v>0</v>
      </c>
      <c r="J43" s="444">
        <f t="shared" si="3"/>
        <v>0</v>
      </c>
      <c r="K43" s="10"/>
      <c r="L43" s="42" t="str">
        <f t="shared" si="4"/>
        <v/>
      </c>
      <c r="M43" s="42" t="str">
        <f t="shared" si="8"/>
        <v/>
      </c>
      <c r="N43" s="13"/>
      <c r="O43" s="729"/>
      <c r="P43" s="729"/>
      <c r="Q43" s="729"/>
      <c r="R43" s="17">
        <f>BEGINBLAD!D38</f>
        <v>0</v>
      </c>
      <c r="S43" s="40">
        <v>35</v>
      </c>
      <c r="T43" s="702">
        <f>BEGINBLAD!C38</f>
        <v>0</v>
      </c>
      <c r="U43" s="439"/>
      <c r="V43" s="437"/>
      <c r="W43" s="437"/>
      <c r="X43" s="437"/>
      <c r="Y43" s="437"/>
      <c r="Z43" s="444">
        <f t="shared" si="5"/>
        <v>0</v>
      </c>
      <c r="AA43" s="444">
        <f t="shared" si="6"/>
        <v>0</v>
      </c>
      <c r="AB43" s="10"/>
      <c r="AC43" s="447" t="str">
        <f t="shared" si="7"/>
        <v/>
      </c>
      <c r="AD43" s="446" t="str">
        <f t="shared" si="9"/>
        <v/>
      </c>
    </row>
    <row r="44" spans="1:30" s="4" customFormat="1" ht="19.5" customHeight="1" x14ac:dyDescent="0.2">
      <c r="A44" s="17">
        <f>BEGINBLAD!D38</f>
        <v>0</v>
      </c>
      <c r="B44" s="40">
        <v>36</v>
      </c>
      <c r="C44" s="702">
        <f>BEGINBLAD!C39</f>
        <v>0</v>
      </c>
      <c r="D44" s="20"/>
      <c r="E44" s="20"/>
      <c r="F44" s="20"/>
      <c r="G44" s="20"/>
      <c r="H44" s="20"/>
      <c r="I44" s="444">
        <f t="shared" si="2"/>
        <v>0</v>
      </c>
      <c r="J44" s="444">
        <f t="shared" si="3"/>
        <v>0</v>
      </c>
      <c r="K44" s="10"/>
      <c r="L44" s="42" t="str">
        <f t="shared" si="4"/>
        <v/>
      </c>
      <c r="M44" s="42" t="str">
        <f t="shared" si="8"/>
        <v/>
      </c>
      <c r="N44" s="13"/>
      <c r="O44" s="729"/>
      <c r="P44" s="729"/>
      <c r="Q44" s="729"/>
      <c r="R44" s="17">
        <f>BEGINBLAD!D39</f>
        <v>0</v>
      </c>
      <c r="S44" s="40">
        <v>36</v>
      </c>
      <c r="T44" s="702">
        <f>BEGINBLAD!C39</f>
        <v>0</v>
      </c>
      <c r="U44" s="439"/>
      <c r="V44" s="437"/>
      <c r="W44" s="437"/>
      <c r="X44" s="437"/>
      <c r="Y44" s="437"/>
      <c r="Z44" s="444">
        <f t="shared" si="5"/>
        <v>0</v>
      </c>
      <c r="AA44" s="444">
        <f t="shared" si="6"/>
        <v>0</v>
      </c>
      <c r="AB44" s="10"/>
      <c r="AC44" s="447" t="str">
        <f t="shared" si="7"/>
        <v/>
      </c>
      <c r="AD44" s="446" t="str">
        <f t="shared" si="9"/>
        <v/>
      </c>
    </row>
    <row r="45" spans="1:30" ht="19.5" customHeight="1" x14ac:dyDescent="0.2">
      <c r="A45" s="429"/>
      <c r="B45" s="697"/>
      <c r="C45" s="11" t="s">
        <v>52</v>
      </c>
      <c r="D45" s="703">
        <f t="shared" ref="D45:J45" si="10">AVERAGE(D9:D44)</f>
        <v>2.4692307692307693</v>
      </c>
      <c r="E45" s="703">
        <f t="shared" si="10"/>
        <v>2.9884615384615385</v>
      </c>
      <c r="F45" s="703">
        <f t="shared" si="10"/>
        <v>1.5730769230769233</v>
      </c>
      <c r="G45" s="703"/>
      <c r="H45" s="703">
        <f t="shared" si="10"/>
        <v>2.569230769230769</v>
      </c>
      <c r="I45" s="703">
        <f t="shared" si="10"/>
        <v>9.06388888888889</v>
      </c>
      <c r="J45" s="703">
        <f t="shared" si="10"/>
        <v>3.6111111111111112</v>
      </c>
      <c r="K45" s="704"/>
      <c r="L45" s="703">
        <f>AVERAGE(L9:L44)</f>
        <v>2.5099999999999998</v>
      </c>
      <c r="M45" s="698"/>
      <c r="N45" s="730" t="s">
        <v>526</v>
      </c>
      <c r="O45" s="848">
        <f>O49/O53</f>
        <v>0.80769230769230771</v>
      </c>
      <c r="P45" s="848">
        <f t="shared" ref="P45:Q45" si="11">P49/P53</f>
        <v>0.34615384615384615</v>
      </c>
      <c r="Q45" s="848">
        <f t="shared" si="11"/>
        <v>0.76923076923076927</v>
      </c>
      <c r="R45" s="429"/>
      <c r="S45" s="697"/>
      <c r="T45" s="850"/>
      <c r="U45" s="704"/>
      <c r="V45" s="704"/>
      <c r="W45" s="704"/>
      <c r="X45" s="704"/>
      <c r="Y45" s="704"/>
      <c r="Z45" s="704"/>
      <c r="AA45" s="704"/>
      <c r="AB45" s="704"/>
      <c r="AC45" s="704"/>
      <c r="AD45" s="726"/>
    </row>
    <row r="46" spans="1:30" ht="19.5" customHeight="1" x14ac:dyDescent="0.2">
      <c r="A46" s="429"/>
      <c r="B46" s="697"/>
      <c r="C46" s="11" t="s">
        <v>53</v>
      </c>
      <c r="D46" s="12" t="str">
        <f>IF(D45="","",IF(D45&gt;4.5,"A-1+",IF(D45&gt;4,"A-1",IF(D45&gt;=4,"A-2",IF(D45&gt;3.4,"B-2",IF(D45&gt;=3,"B-3",IF(D45&gt;2.5,"C-3",IF(D45&gt;=2,"C-4",IF(D45&gt;1.6,"D-4",IF(D45&gt;=1,"D-5",IF(D45&gt;0.5,"E-5",IF(D45&gt;=0,"E-5-"))))))))))))</f>
        <v>C-4</v>
      </c>
      <c r="E46" s="12" t="str">
        <f t="shared" ref="E46:H46" si="12">IF(E45="","",IF(E45&gt;4.5,"A-1+",IF(E45&gt;4.2,"A-1",IF(E45&gt;=4,"A-2",IF(E45&gt;3.3,"B-2",IF(E45&gt;=3,"B-3",IF(E45&gt;2.4,"C-3",IF(E45&gt;=2,"C-4",IF(E45&gt;1.5,"D-4",IF(E45&gt;=1,"D-5",IF(E45&gt;0.5,"E-5",IF(E45&gt;=0,"E-5-"))))))))))))</f>
        <v>C-3</v>
      </c>
      <c r="F46" s="12" t="str">
        <f t="shared" si="12"/>
        <v>D-4</v>
      </c>
      <c r="G46" s="12"/>
      <c r="H46" s="12" t="str">
        <f t="shared" si="12"/>
        <v>C-3</v>
      </c>
      <c r="I46" s="12" t="str">
        <f t="shared" ref="I46:K46" si="13">IF(I45="","",IF(I45&gt;=4.5,"A+",IF(I45&gt;=4,"A",IF(I45&gt;=3,"B",IF(I45&gt;2.3,"C",IF(I45&gt;=2,"C-",IF(I45&gt;=1,"D",IF(I45&gt;0,"E"))))))))</f>
        <v>A+</v>
      </c>
      <c r="J46" s="12" t="str">
        <f t="shared" si="13"/>
        <v>B</v>
      </c>
      <c r="K46" s="13" t="str">
        <f t="shared" si="13"/>
        <v/>
      </c>
      <c r="L46" s="12" t="str">
        <f>IF(L45="","",IF(L45&gt;4.5,"A-1+",IF(L45&gt;4.2,"A-1",IF(L45&gt;=4,"A-2",IF(L45&gt;3.3,"B-2",IF(L45&gt;=3,"B-3",IF(L45&gt;2.4,"C-3",IF(L45&gt;=2,"C-4",IF(L45&gt;1.5,"D-4",IF(L45&gt;=1,"D-5",IF(L45&gt;0.5,"E-5",IF(L45&gt;=0,"E-5-"))))))))))))</f>
        <v>C-3</v>
      </c>
      <c r="M46" s="698"/>
      <c r="N46" s="730" t="s">
        <v>453</v>
      </c>
      <c r="O46" s="848">
        <f>O50/O53</f>
        <v>0.19230769230769232</v>
      </c>
      <c r="P46" s="848">
        <f t="shared" ref="P46:Q46" si="14">P50/P53</f>
        <v>0.53846153846153844</v>
      </c>
      <c r="Q46" s="848">
        <f t="shared" si="14"/>
        <v>0.23076923076923078</v>
      </c>
      <c r="R46" s="429"/>
      <c r="S46" s="697"/>
      <c r="T46" s="850"/>
      <c r="U46" s="13"/>
      <c r="V46" s="13"/>
      <c r="W46" s="13"/>
      <c r="X46" s="13"/>
      <c r="Y46" s="13"/>
      <c r="Z46" s="13"/>
      <c r="AA46" s="13"/>
      <c r="AB46" s="13"/>
      <c r="AC46" s="13"/>
      <c r="AD46" s="726"/>
    </row>
    <row r="47" spans="1:30" ht="19.5" customHeight="1" x14ac:dyDescent="0.2">
      <c r="A47" s="429"/>
      <c r="B47" s="697"/>
      <c r="C47" s="58">
        <f>BEGINBLAD!$D$40</f>
        <v>26</v>
      </c>
      <c r="D47" s="698"/>
      <c r="E47" s="698"/>
      <c r="F47" s="698"/>
      <c r="G47" s="698"/>
      <c r="H47" s="698"/>
      <c r="I47" s="698"/>
      <c r="J47" s="698"/>
      <c r="K47" s="698"/>
      <c r="L47" s="698"/>
      <c r="M47" s="698"/>
      <c r="N47" s="730" t="s">
        <v>455</v>
      </c>
      <c r="O47" s="848">
        <f>O51/O53</f>
        <v>0</v>
      </c>
      <c r="P47" s="848">
        <f t="shared" ref="P47:Q47" si="15">P51/P53</f>
        <v>0.11538461538461539</v>
      </c>
      <c r="Q47" s="848">
        <f t="shared" si="15"/>
        <v>0</v>
      </c>
      <c r="R47" s="429"/>
      <c r="S47" s="697"/>
      <c r="T47" s="851"/>
      <c r="U47" s="726"/>
      <c r="V47" s="726"/>
      <c r="W47" s="726"/>
      <c r="X47" s="726"/>
      <c r="Y47" s="726"/>
      <c r="Z47" s="726"/>
      <c r="AA47" s="726"/>
      <c r="AB47" s="726"/>
      <c r="AC47" s="726"/>
      <c r="AD47" s="726"/>
    </row>
    <row r="48" spans="1:30" ht="19.5" customHeight="1" x14ac:dyDescent="0.2">
      <c r="A48" s="429"/>
      <c r="B48" s="697"/>
      <c r="C48" s="58"/>
      <c r="D48" s="698"/>
      <c r="E48" s="698"/>
      <c r="F48" s="698"/>
      <c r="G48" s="698"/>
      <c r="H48" s="698"/>
      <c r="I48" s="698"/>
      <c r="J48" s="698"/>
      <c r="K48" s="698"/>
      <c r="L48" s="698"/>
      <c r="M48" s="698"/>
      <c r="N48" s="730" t="s">
        <v>527</v>
      </c>
      <c r="O48" s="848">
        <f>O52/O53</f>
        <v>0.19230769230769232</v>
      </c>
      <c r="P48" s="848">
        <f t="shared" ref="P48:Q48" si="16">P52/P53</f>
        <v>0.65384615384615385</v>
      </c>
      <c r="Q48" s="848">
        <f t="shared" si="16"/>
        <v>0.23076923076923078</v>
      </c>
      <c r="R48" s="429"/>
      <c r="S48" s="697"/>
      <c r="T48" s="851"/>
      <c r="U48" s="726"/>
      <c r="V48" s="726"/>
      <c r="W48" s="726"/>
      <c r="X48" s="726"/>
      <c r="Y48" s="726"/>
      <c r="Z48" s="726"/>
      <c r="AA48" s="726"/>
      <c r="AB48" s="726"/>
      <c r="AC48" s="726"/>
      <c r="AD48" s="726"/>
    </row>
    <row r="49" spans="1:30" s="16" customFormat="1" ht="19.5" customHeight="1" x14ac:dyDescent="0.2">
      <c r="A49" s="708"/>
      <c r="B49" s="401"/>
      <c r="C49" s="765" t="s">
        <v>480</v>
      </c>
      <c r="D49" s="766">
        <f>LARGE(D9:D44,D51+1)</f>
        <v>3.1</v>
      </c>
      <c r="E49" s="766">
        <f t="shared" ref="E49:H49" si="17">LARGE(E9:E44,E51+1)</f>
        <v>3.7</v>
      </c>
      <c r="F49" s="766">
        <f t="shared" si="17"/>
        <v>2.2000000000000002</v>
      </c>
      <c r="G49" s="766">
        <f t="shared" si="17"/>
        <v>3.6</v>
      </c>
      <c r="H49" s="766">
        <f t="shared" si="17"/>
        <v>3.3</v>
      </c>
      <c r="I49" s="770"/>
      <c r="J49" s="770"/>
      <c r="K49" s="770"/>
      <c r="L49" s="768"/>
      <c r="M49" s="768"/>
      <c r="N49" s="849" t="s">
        <v>526</v>
      </c>
      <c r="O49" s="849">
        <f>COUNTIF(O9:O44,"&lt;1F")</f>
        <v>21</v>
      </c>
      <c r="P49" s="849">
        <f t="shared" ref="P49:Q49" si="18">COUNTIF(P9:P44,"&lt;1F")</f>
        <v>9</v>
      </c>
      <c r="Q49" s="849">
        <f t="shared" si="18"/>
        <v>20</v>
      </c>
      <c r="R49" s="429"/>
      <c r="S49" s="697"/>
      <c r="T49" s="851"/>
      <c r="U49" s="726"/>
      <c r="V49" s="726"/>
      <c r="W49" s="726"/>
      <c r="X49" s="726"/>
      <c r="Y49" s="726"/>
      <c r="Z49" s="726"/>
      <c r="AA49" s="726"/>
      <c r="AB49" s="726"/>
      <c r="AC49" s="726"/>
      <c r="AD49" s="726"/>
    </row>
    <row r="50" spans="1:30" s="16" customFormat="1" ht="19.5" customHeight="1" x14ac:dyDescent="0.2">
      <c r="B50" s="401"/>
      <c r="C50" s="765" t="s">
        <v>481</v>
      </c>
      <c r="D50" s="766">
        <f>SMALL(D9:D44,(D51+1))</f>
        <v>1.6</v>
      </c>
      <c r="E50" s="766">
        <f t="shared" ref="E50:H50" si="19">SMALL(E9:E44,(E51+1))</f>
        <v>1.9</v>
      </c>
      <c r="F50" s="766">
        <f t="shared" si="19"/>
        <v>0.8</v>
      </c>
      <c r="G50" s="766">
        <f t="shared" si="19"/>
        <v>2.2999999999999998</v>
      </c>
      <c r="H50" s="766">
        <f t="shared" si="19"/>
        <v>1.4</v>
      </c>
      <c r="I50" s="770"/>
      <c r="J50" s="770"/>
      <c r="K50" s="770"/>
      <c r="L50" s="768"/>
      <c r="M50" s="768"/>
      <c r="N50" s="849" t="s">
        <v>453</v>
      </c>
      <c r="O50" s="849">
        <f>COUNTIF(O9:O44,"1F")</f>
        <v>5</v>
      </c>
      <c r="P50" s="849">
        <f>COUNTIF(P9:P44,"1F")</f>
        <v>14</v>
      </c>
      <c r="Q50" s="849">
        <f>COUNTIF(Q9:Q44,"1F")</f>
        <v>6</v>
      </c>
      <c r="R50" s="2"/>
      <c r="S50" s="697"/>
      <c r="T50" s="58"/>
      <c r="U50" s="698"/>
      <c r="V50" s="698"/>
      <c r="W50" s="698"/>
      <c r="X50" s="698"/>
      <c r="Y50" s="698"/>
      <c r="Z50" s="698"/>
      <c r="AA50" s="698"/>
      <c r="AB50" s="698"/>
      <c r="AC50" s="698"/>
      <c r="AD50" s="698"/>
    </row>
    <row r="51" spans="1:30" s="16" customFormat="1" ht="19.5" customHeight="1" x14ac:dyDescent="0.2">
      <c r="B51" s="401"/>
      <c r="C51" s="767">
        <v>0.25</v>
      </c>
      <c r="D51" s="766">
        <f>D52*0.25</f>
        <v>6.5</v>
      </c>
      <c r="E51" s="766">
        <f t="shared" ref="E51:H51" si="20">E52*0.25</f>
        <v>6.5</v>
      </c>
      <c r="F51" s="766">
        <f t="shared" si="20"/>
        <v>6.5</v>
      </c>
      <c r="G51" s="766">
        <f t="shared" si="20"/>
        <v>6.5</v>
      </c>
      <c r="H51" s="766">
        <f t="shared" si="20"/>
        <v>6.5</v>
      </c>
      <c r="I51" s="709"/>
      <c r="J51" s="709"/>
      <c r="K51" s="709"/>
      <c r="L51" s="769"/>
      <c r="M51" s="769"/>
      <c r="N51" s="849" t="s">
        <v>455</v>
      </c>
      <c r="O51" s="849">
        <f>COUNTIF(O9:O44,"2F/1S")</f>
        <v>0</v>
      </c>
      <c r="P51" s="849">
        <f>COUNTIF(P9:P44,"2F/1S")</f>
        <v>3</v>
      </c>
      <c r="Q51" s="849">
        <f>COUNTIF(Q9:Q44,"2F/1S")</f>
        <v>0</v>
      </c>
      <c r="R51" s="2"/>
      <c r="S51" s="697"/>
      <c r="T51" s="58"/>
      <c r="U51" s="698"/>
      <c r="V51" s="698"/>
      <c r="W51" s="698"/>
      <c r="X51" s="698"/>
      <c r="Y51" s="698"/>
      <c r="Z51" s="698"/>
      <c r="AA51" s="698"/>
      <c r="AB51" s="698"/>
      <c r="AC51" s="698"/>
      <c r="AD51" s="698"/>
    </row>
    <row r="52" spans="1:30" s="16" customFormat="1" ht="19.5" customHeight="1" x14ac:dyDescent="0.2">
      <c r="B52" s="401"/>
      <c r="C52" s="767" t="s">
        <v>482</v>
      </c>
      <c r="D52" s="766">
        <f>COUNT(D9:D44)</f>
        <v>26</v>
      </c>
      <c r="E52" s="766">
        <f t="shared" ref="E52:H52" si="21">COUNT(E9:E44)</f>
        <v>26</v>
      </c>
      <c r="F52" s="766">
        <f t="shared" si="21"/>
        <v>26</v>
      </c>
      <c r="G52" s="766">
        <f t="shared" si="21"/>
        <v>26</v>
      </c>
      <c r="H52" s="766">
        <f t="shared" si="21"/>
        <v>26</v>
      </c>
      <c r="I52" s="709"/>
      <c r="J52" s="709"/>
      <c r="K52" s="709"/>
      <c r="L52" s="769"/>
      <c r="M52" s="769"/>
      <c r="N52" s="917" t="s">
        <v>527</v>
      </c>
      <c r="O52" s="917">
        <f>SUM(O50:O51)</f>
        <v>5</v>
      </c>
      <c r="P52" s="917">
        <f t="shared" ref="P52:Q52" si="22">SUM(P50:P51)</f>
        <v>17</v>
      </c>
      <c r="Q52" s="917">
        <f t="shared" si="22"/>
        <v>6</v>
      </c>
      <c r="R52" s="2"/>
      <c r="S52" s="697"/>
      <c r="T52" s="58"/>
      <c r="U52" s="698"/>
      <c r="V52" s="698"/>
      <c r="W52" s="698"/>
      <c r="X52" s="698"/>
      <c r="Y52" s="698"/>
      <c r="Z52" s="698"/>
      <c r="AA52" s="698"/>
      <c r="AB52" s="698"/>
      <c r="AC52" s="698"/>
      <c r="AD52" s="698"/>
    </row>
    <row r="53" spans="1:30" x14ac:dyDescent="0.2">
      <c r="C53" s="765"/>
      <c r="D53" s="766"/>
      <c r="E53" s="766"/>
      <c r="F53" s="766"/>
      <c r="G53" s="766"/>
      <c r="H53" s="766"/>
      <c r="N53" s="917" t="s">
        <v>107</v>
      </c>
      <c r="O53" s="917">
        <f>SUM(O49:O51)</f>
        <v>26</v>
      </c>
      <c r="P53" s="917">
        <f t="shared" ref="P53:Q53" si="23">SUM(P49:P51)</f>
        <v>26</v>
      </c>
      <c r="Q53" s="917">
        <f t="shared" si="23"/>
        <v>26</v>
      </c>
    </row>
    <row r="54" spans="1:30" x14ac:dyDescent="0.2">
      <c r="C54" s="742"/>
      <c r="D54" s="174"/>
      <c r="E54" s="174"/>
      <c r="F54" s="174"/>
      <c r="G54" s="174"/>
      <c r="H54" s="174"/>
      <c r="N54" s="727"/>
      <c r="O54" s="727"/>
      <c r="P54" s="727"/>
      <c r="Q54" s="727"/>
    </row>
    <row r="55" spans="1:30" x14ac:dyDescent="0.2">
      <c r="C55" s="742"/>
      <c r="D55" s="174"/>
      <c r="E55" s="174"/>
      <c r="F55" s="174"/>
      <c r="G55" s="174"/>
      <c r="H55" s="174"/>
      <c r="N55" s="727"/>
      <c r="O55" s="727"/>
      <c r="P55" s="727"/>
      <c r="Q55" s="727"/>
    </row>
    <row r="56" spans="1:30" x14ac:dyDescent="0.2">
      <c r="C56" s="742"/>
      <c r="D56" s="174"/>
      <c r="E56" s="174"/>
      <c r="F56" s="174"/>
      <c r="G56" s="174"/>
      <c r="H56" s="174"/>
      <c r="N56" s="727"/>
      <c r="O56" s="727"/>
      <c r="P56" s="727"/>
      <c r="Q56" s="727"/>
    </row>
    <row r="57" spans="1:30" x14ac:dyDescent="0.2">
      <c r="C57" s="742"/>
      <c r="D57" s="174"/>
      <c r="E57" s="174"/>
      <c r="F57" s="174"/>
      <c r="G57" s="174"/>
      <c r="H57" s="174"/>
      <c r="N57" s="727"/>
      <c r="O57" s="727"/>
      <c r="P57" s="727"/>
      <c r="Q57" s="727"/>
    </row>
    <row r="58" spans="1:30" x14ac:dyDescent="0.2">
      <c r="C58" s="742"/>
      <c r="D58" s="174"/>
      <c r="E58" s="174"/>
      <c r="F58" s="174"/>
      <c r="G58" s="174"/>
      <c r="H58" s="174"/>
      <c r="N58" s="727"/>
      <c r="O58" s="727"/>
      <c r="P58" s="727"/>
      <c r="Q58" s="727"/>
    </row>
    <row r="59" spans="1:30" x14ac:dyDescent="0.2">
      <c r="C59" s="742"/>
      <c r="D59" s="174"/>
      <c r="E59" s="174"/>
      <c r="F59" s="174"/>
      <c r="G59" s="174"/>
      <c r="H59" s="174"/>
      <c r="N59" s="727"/>
      <c r="O59" s="727"/>
      <c r="P59" s="727"/>
      <c r="Q59" s="727"/>
    </row>
    <row r="60" spans="1:30" x14ac:dyDescent="0.2">
      <c r="C60" s="742"/>
      <c r="D60" s="174"/>
      <c r="E60" s="174"/>
      <c r="F60" s="174"/>
      <c r="G60" s="174"/>
      <c r="H60" s="174"/>
    </row>
    <row r="61" spans="1:30" x14ac:dyDescent="0.2">
      <c r="C61" s="742"/>
      <c r="D61" s="174"/>
      <c r="E61" s="174"/>
      <c r="F61" s="174"/>
      <c r="G61" s="174"/>
      <c r="H61" s="174"/>
    </row>
    <row r="62" spans="1:30" x14ac:dyDescent="0.2">
      <c r="C62" s="742"/>
      <c r="D62" s="174"/>
      <c r="E62" s="174"/>
      <c r="F62" s="174"/>
      <c r="G62" s="174"/>
      <c r="H62" s="174"/>
    </row>
    <row r="63" spans="1:30" x14ac:dyDescent="0.2">
      <c r="C63" s="742"/>
      <c r="D63" s="174"/>
      <c r="E63" s="174"/>
      <c r="F63" s="174"/>
      <c r="G63" s="174"/>
      <c r="H63" s="174"/>
    </row>
    <row r="64" spans="1:30" x14ac:dyDescent="0.2">
      <c r="C64" s="742"/>
      <c r="D64" s="174"/>
      <c r="E64" s="174"/>
      <c r="F64" s="174"/>
      <c r="G64" s="174"/>
      <c r="H64" s="174"/>
    </row>
    <row r="65" spans="3:8" x14ac:dyDescent="0.2">
      <c r="C65" s="742"/>
      <c r="D65" s="174"/>
      <c r="E65" s="174"/>
      <c r="F65" s="174"/>
      <c r="G65" s="174"/>
      <c r="H65" s="174"/>
    </row>
  </sheetData>
  <sheetProtection sheet="1" objects="1" scenarios="1"/>
  <mergeCells count="2">
    <mergeCell ref="D2:H2"/>
    <mergeCell ref="O2:Q6"/>
  </mergeCells>
  <phoneticPr fontId="9" type="noConversion"/>
  <conditionalFormatting sqref="C9:C44">
    <cfRule type="expression" dxfId="2580" priority="2656" stopIfTrue="1">
      <formula>$M9=""</formula>
    </cfRule>
    <cfRule type="expression" dxfId="2579" priority="2657" stopIfTrue="1">
      <formula>$M9="A+"</formula>
    </cfRule>
  </conditionalFormatting>
  <conditionalFormatting sqref="D41:H44 D39:F40">
    <cfRule type="cellIs" dxfId="2578" priority="2661" stopIfTrue="1" operator="between">
      <formula>0.1</formula>
      <formula>1.9</formula>
    </cfRule>
    <cfRule type="cellIs" dxfId="2577" priority="2662" stopIfTrue="1" operator="between">
      <formula>3</formula>
      <formula>3.9</formula>
    </cfRule>
    <cfRule type="cellIs" dxfId="2576" priority="2663" stopIfTrue="1" operator="between">
      <formula>4</formula>
      <formula>5</formula>
    </cfRule>
  </conditionalFormatting>
  <conditionalFormatting sqref="A8:A44">
    <cfRule type="cellIs" dxfId="2575" priority="2628" operator="greaterThan">
      <formula>0</formula>
    </cfRule>
  </conditionalFormatting>
  <conditionalFormatting sqref="D41:H44 D39:F40">
    <cfRule type="cellIs" dxfId="2574" priority="2585" operator="between">
      <formula>2</formula>
      <formula>2.9</formula>
    </cfRule>
  </conditionalFormatting>
  <conditionalFormatting sqref="M9:M44">
    <cfRule type="cellIs" dxfId="2573" priority="2373" stopIfTrue="1" operator="between">
      <formula>"D-3"</formula>
      <formula>"E-5"</formula>
    </cfRule>
    <cfRule type="cellIs" dxfId="2572" priority="2374" stopIfTrue="1" operator="between">
      <formula>"B-2"</formula>
      <formula>"B-3"</formula>
    </cfRule>
    <cfRule type="cellIs" dxfId="2571" priority="2375" stopIfTrue="1" operator="between">
      <formula>"A-1"</formula>
      <formula>"A-2"</formula>
    </cfRule>
  </conditionalFormatting>
  <conditionalFormatting sqref="L9:L44">
    <cfRule type="cellIs" dxfId="2570" priority="2395" stopIfTrue="1" operator="between">
      <formula>0.001</formula>
      <formula>1.999</formula>
    </cfRule>
    <cfRule type="cellIs" dxfId="2569" priority="2396" stopIfTrue="1" operator="between">
      <formula>3</formula>
      <formula>3.999</formula>
    </cfRule>
    <cfRule type="cellIs" dxfId="2568" priority="2397" stopIfTrue="1" operator="between">
      <formula>4</formula>
      <formula>5</formula>
    </cfRule>
  </conditionalFormatting>
  <conditionalFormatting sqref="M9:M44">
    <cfRule type="cellIs" dxfId="2567" priority="2371" operator="equal">
      <formula>"E-5-"</formula>
    </cfRule>
    <cfRule type="cellIs" dxfId="2566" priority="2372" operator="equal">
      <formula>"A-1+"</formula>
    </cfRule>
  </conditionalFormatting>
  <conditionalFormatting sqref="D41:H44 D39:F40">
    <cfRule type="cellIs" dxfId="2565" priority="2269" operator="equal">
      <formula>""</formula>
    </cfRule>
  </conditionalFormatting>
  <conditionalFormatting sqref="D38:F38">
    <cfRule type="cellIs" dxfId="2564" priority="1857" stopIfTrue="1" operator="between">
      <formula>0.1</formula>
      <formula>1.9</formula>
    </cfRule>
    <cfRule type="cellIs" dxfId="2563" priority="1858" stopIfTrue="1" operator="between">
      <formula>3</formula>
      <formula>3.9</formula>
    </cfRule>
    <cfRule type="cellIs" dxfId="2562" priority="1859" stopIfTrue="1" operator="between">
      <formula>4</formula>
      <formula>5</formula>
    </cfRule>
  </conditionalFormatting>
  <conditionalFormatting sqref="D38:F38">
    <cfRule type="cellIs" dxfId="2561" priority="1856" operator="between">
      <formula>2</formula>
      <formula>2.9</formula>
    </cfRule>
  </conditionalFormatting>
  <conditionalFormatting sqref="D38:F38">
    <cfRule type="cellIs" dxfId="2560" priority="1855" operator="equal">
      <formula>""</formula>
    </cfRule>
  </conditionalFormatting>
  <conditionalFormatting sqref="D37">
    <cfRule type="cellIs" dxfId="2559" priority="1852" stopIfTrue="1" operator="between">
      <formula>0.1</formula>
      <formula>1.9</formula>
    </cfRule>
    <cfRule type="cellIs" dxfId="2558" priority="1853" stopIfTrue="1" operator="between">
      <formula>3</formula>
      <formula>3.9</formula>
    </cfRule>
    <cfRule type="cellIs" dxfId="2557" priority="1854" stopIfTrue="1" operator="between">
      <formula>4</formula>
      <formula>5</formula>
    </cfRule>
  </conditionalFormatting>
  <conditionalFormatting sqref="D37">
    <cfRule type="cellIs" dxfId="2556" priority="1851" operator="between">
      <formula>2</formula>
      <formula>2.9</formula>
    </cfRule>
  </conditionalFormatting>
  <conditionalFormatting sqref="D36:D37">
    <cfRule type="cellIs" dxfId="2555" priority="1848" stopIfTrue="1" operator="between">
      <formula>0.1</formula>
      <formula>1.9</formula>
    </cfRule>
    <cfRule type="cellIs" dxfId="2554" priority="1849" stopIfTrue="1" operator="between">
      <formula>3</formula>
      <formula>3.9</formula>
    </cfRule>
    <cfRule type="cellIs" dxfId="2553" priority="1850" stopIfTrue="1" operator="between">
      <formula>4</formula>
      <formula>5</formula>
    </cfRule>
  </conditionalFormatting>
  <conditionalFormatting sqref="D36:D37">
    <cfRule type="cellIs" dxfId="2552" priority="1841" operator="between">
      <formula>2</formula>
      <formula>2.9</formula>
    </cfRule>
  </conditionalFormatting>
  <conditionalFormatting sqref="D36:D37">
    <cfRule type="cellIs" dxfId="2551" priority="1818" operator="equal">
      <formula>""</formula>
    </cfRule>
  </conditionalFormatting>
  <conditionalFormatting sqref="E37:F37">
    <cfRule type="cellIs" dxfId="2550" priority="1783" stopIfTrue="1" operator="between">
      <formula>0.1</formula>
      <formula>1.9</formula>
    </cfRule>
    <cfRule type="cellIs" dxfId="2549" priority="1784" stopIfTrue="1" operator="between">
      <formula>3</formula>
      <formula>3.9</formula>
    </cfRule>
    <cfRule type="cellIs" dxfId="2548" priority="1785" stopIfTrue="1" operator="between">
      <formula>4</formula>
      <formula>5</formula>
    </cfRule>
  </conditionalFormatting>
  <conditionalFormatting sqref="E37:F37">
    <cfRule type="cellIs" dxfId="2547" priority="1782" operator="between">
      <formula>2</formula>
      <formula>2.9</formula>
    </cfRule>
  </conditionalFormatting>
  <conditionalFormatting sqref="E36:E37">
    <cfRule type="cellIs" dxfId="2546" priority="1779" stopIfTrue="1" operator="between">
      <formula>0.1</formula>
      <formula>1.9</formula>
    </cfRule>
    <cfRule type="cellIs" dxfId="2545" priority="1780" stopIfTrue="1" operator="between">
      <formula>3</formula>
      <formula>3.9</formula>
    </cfRule>
    <cfRule type="cellIs" dxfId="2544" priority="1781" stopIfTrue="1" operator="between">
      <formula>4</formula>
      <formula>5</formula>
    </cfRule>
  </conditionalFormatting>
  <conditionalFormatting sqref="E36:E37">
    <cfRule type="cellIs" dxfId="2543" priority="1772" operator="between">
      <formula>2</formula>
      <formula>2.9</formula>
    </cfRule>
  </conditionalFormatting>
  <conditionalFormatting sqref="E37:F37 E36">
    <cfRule type="cellIs" dxfId="2542" priority="1737" operator="equal">
      <formula>""</formula>
    </cfRule>
  </conditionalFormatting>
  <conditionalFormatting sqref="F36:F37">
    <cfRule type="cellIs" dxfId="2541" priority="1720" stopIfTrue="1" operator="between">
      <formula>0.1</formula>
      <formula>1.9</formula>
    </cfRule>
    <cfRule type="cellIs" dxfId="2540" priority="1721" stopIfTrue="1" operator="between">
      <formula>3</formula>
      <formula>3.9</formula>
    </cfRule>
    <cfRule type="cellIs" dxfId="2539" priority="1722" stopIfTrue="1" operator="between">
      <formula>4</formula>
      <formula>5</formula>
    </cfRule>
  </conditionalFormatting>
  <conditionalFormatting sqref="F36:F37">
    <cfRule type="cellIs" dxfId="2538" priority="1716" operator="between">
      <formula>2</formula>
      <formula>2.9</formula>
    </cfRule>
  </conditionalFormatting>
  <conditionalFormatting sqref="F36:F37">
    <cfRule type="cellIs" dxfId="2537" priority="1693" operator="equal">
      <formula>""</formula>
    </cfRule>
  </conditionalFormatting>
  <conditionalFormatting sqref="H38:H40">
    <cfRule type="cellIs" dxfId="2536" priority="1619" stopIfTrue="1" operator="between">
      <formula>0.1</formula>
      <formula>1.9</formula>
    </cfRule>
    <cfRule type="cellIs" dxfId="2535" priority="1620" stopIfTrue="1" operator="between">
      <formula>3</formula>
      <formula>3.9</formula>
    </cfRule>
    <cfRule type="cellIs" dxfId="2534" priority="1621" stopIfTrue="1" operator="between">
      <formula>4</formula>
      <formula>5</formula>
    </cfRule>
  </conditionalFormatting>
  <conditionalFormatting sqref="H38:H40">
    <cfRule type="cellIs" dxfId="2533" priority="1618" operator="between">
      <formula>2</formula>
      <formula>2.9</formula>
    </cfRule>
  </conditionalFormatting>
  <conditionalFormatting sqref="H38:H40">
    <cfRule type="cellIs" dxfId="2532" priority="1617" operator="equal">
      <formula>""</formula>
    </cfRule>
  </conditionalFormatting>
  <conditionalFormatting sqref="H37">
    <cfRule type="cellIs" dxfId="2531" priority="1614" stopIfTrue="1" operator="between">
      <formula>0.1</formula>
      <formula>1.9</formula>
    </cfRule>
    <cfRule type="cellIs" dxfId="2530" priority="1615" stopIfTrue="1" operator="between">
      <formula>3</formula>
      <formula>3.9</formula>
    </cfRule>
    <cfRule type="cellIs" dxfId="2529" priority="1616" stopIfTrue="1" operator="between">
      <formula>4</formula>
      <formula>5</formula>
    </cfRule>
  </conditionalFormatting>
  <conditionalFormatting sqref="H37">
    <cfRule type="cellIs" dxfId="2528" priority="1613" operator="between">
      <formula>2</formula>
      <formula>2.9</formula>
    </cfRule>
  </conditionalFormatting>
  <conditionalFormatting sqref="H36:H37">
    <cfRule type="cellIs" dxfId="2527" priority="1610" stopIfTrue="1" operator="between">
      <formula>0.1</formula>
      <formula>1.9</formula>
    </cfRule>
    <cfRule type="cellIs" dxfId="2526" priority="1611" stopIfTrue="1" operator="between">
      <formula>3</formula>
      <formula>3.9</formula>
    </cfRule>
    <cfRule type="cellIs" dxfId="2525" priority="1612" stopIfTrue="1" operator="between">
      <formula>4</formula>
      <formula>5</formula>
    </cfRule>
  </conditionalFormatting>
  <conditionalFormatting sqref="H36:H37">
    <cfRule type="cellIs" dxfId="2524" priority="1606" operator="between">
      <formula>2</formula>
      <formula>2.9</formula>
    </cfRule>
  </conditionalFormatting>
  <conditionalFormatting sqref="H36:H37">
    <cfRule type="cellIs" dxfId="2523" priority="1571" operator="equal">
      <formula>""</formula>
    </cfRule>
  </conditionalFormatting>
  <conditionalFormatting sqref="G37:G40">
    <cfRule type="cellIs" dxfId="2522" priority="1521" stopIfTrue="1" operator="between">
      <formula>0.1</formula>
      <formula>1.9</formula>
    </cfRule>
    <cfRule type="cellIs" dxfId="2521" priority="1522" stopIfTrue="1" operator="between">
      <formula>3</formula>
      <formula>3.9</formula>
    </cfRule>
    <cfRule type="cellIs" dxfId="2520" priority="1523" stopIfTrue="1" operator="between">
      <formula>4</formula>
      <formula>5</formula>
    </cfRule>
  </conditionalFormatting>
  <conditionalFormatting sqref="G37:G40">
    <cfRule type="cellIs" dxfId="2519" priority="1520" operator="between">
      <formula>2</formula>
      <formula>2.9</formula>
    </cfRule>
  </conditionalFormatting>
  <conditionalFormatting sqref="G36:G37">
    <cfRule type="cellIs" dxfId="2518" priority="1517" stopIfTrue="1" operator="between">
      <formula>0.1</formula>
      <formula>1.9</formula>
    </cfRule>
    <cfRule type="cellIs" dxfId="2517" priority="1518" stopIfTrue="1" operator="between">
      <formula>3</formula>
      <formula>3.9</formula>
    </cfRule>
    <cfRule type="cellIs" dxfId="2516" priority="1519" stopIfTrue="1" operator="between">
      <formula>4</formula>
      <formula>5</formula>
    </cfRule>
  </conditionalFormatting>
  <conditionalFormatting sqref="G36:G37">
    <cfRule type="cellIs" dxfId="2515" priority="1510" operator="between">
      <formula>2</formula>
      <formula>2.9</formula>
    </cfRule>
  </conditionalFormatting>
  <conditionalFormatting sqref="G36:G40">
    <cfRule type="cellIs" dxfId="2514" priority="1487" operator="equal">
      <formula>""</formula>
    </cfRule>
  </conditionalFormatting>
  <conditionalFormatting sqref="AD9:AD44">
    <cfRule type="cellIs" dxfId="2513" priority="1417" operator="equal">
      <formula>""</formula>
    </cfRule>
    <cfRule type="cellIs" dxfId="2512" priority="1418" operator="lessThan">
      <formula>0.9</formula>
    </cfRule>
    <cfRule type="cellIs" dxfId="2511" priority="1419" operator="greaterThanOrEqual">
      <formula>1.1</formula>
    </cfRule>
  </conditionalFormatting>
  <conditionalFormatting sqref="T9:T44">
    <cfRule type="expression" dxfId="2510" priority="1441" stopIfTrue="1">
      <formula>$M9=""</formula>
    </cfRule>
    <cfRule type="expression" dxfId="2509" priority="1442" stopIfTrue="1">
      <formula>$M9="A+"</formula>
    </cfRule>
  </conditionalFormatting>
  <conditionalFormatting sqref="AC9:AC44">
    <cfRule type="cellIs" dxfId="2508" priority="1437" stopIfTrue="1" operator="between">
      <formula>0.001</formula>
      <formula>1.999</formula>
    </cfRule>
    <cfRule type="cellIs" dxfId="2507" priority="1438" stopIfTrue="1" operator="between">
      <formula>3</formula>
      <formula>3.999</formula>
    </cfRule>
    <cfRule type="cellIs" dxfId="2506" priority="1439" stopIfTrue="1" operator="between">
      <formula>4</formula>
      <formula>5</formula>
    </cfRule>
  </conditionalFormatting>
  <conditionalFormatting sqref="U9:U44">
    <cfRule type="expression" dxfId="2505" priority="1432">
      <formula>$U9=""</formula>
    </cfRule>
    <cfRule type="expression" dxfId="2504" priority="1433">
      <formula>$U9&lt;=$U$4</formula>
    </cfRule>
    <cfRule type="expression" dxfId="2503" priority="1434">
      <formula>$U9&gt;=$U$3</formula>
    </cfRule>
  </conditionalFormatting>
  <conditionalFormatting sqref="V9:V44">
    <cfRule type="expression" dxfId="2502" priority="1429">
      <formula>$V9=""</formula>
    </cfRule>
    <cfRule type="expression" dxfId="2501" priority="1430">
      <formula>$V9&lt;=$V$4</formula>
    </cfRule>
    <cfRule type="expression" dxfId="2500" priority="1431">
      <formula>$V9&gt;=$V$3</formula>
    </cfRule>
  </conditionalFormatting>
  <conditionalFormatting sqref="W9:W44">
    <cfRule type="expression" dxfId="2499" priority="1426">
      <formula>$W9=""</formula>
    </cfRule>
    <cfRule type="expression" dxfId="2498" priority="1427">
      <formula>$W9&lt;=$W$4</formula>
    </cfRule>
    <cfRule type="expression" dxfId="2497" priority="1428">
      <formula>$W9&gt;=$W$3</formula>
    </cfRule>
  </conditionalFormatting>
  <conditionalFormatting sqref="X9:X44">
    <cfRule type="expression" dxfId="2496" priority="1423">
      <formula>$X9=""</formula>
    </cfRule>
    <cfRule type="expression" dxfId="2495" priority="1424">
      <formula>$X9&lt;=$X$4</formula>
    </cfRule>
    <cfRule type="expression" dxfId="2494" priority="1425">
      <formula>$X9&gt;=$X$3</formula>
    </cfRule>
  </conditionalFormatting>
  <conditionalFormatting sqref="Y9:Y44">
    <cfRule type="expression" dxfId="2493" priority="1420">
      <formula>$Y9=""</formula>
    </cfRule>
    <cfRule type="expression" dxfId="2492" priority="1421">
      <formula>$Y9&lt;=$Y$4</formula>
    </cfRule>
    <cfRule type="expression" dxfId="2491" priority="1422">
      <formula>$Y9&gt;=$Y$3</formula>
    </cfRule>
  </conditionalFormatting>
  <conditionalFormatting sqref="D23:D30">
    <cfRule type="cellIs" dxfId="2490" priority="334" stopIfTrue="1" operator="between">
      <formula>0.1</formula>
      <formula>1.9</formula>
    </cfRule>
    <cfRule type="cellIs" dxfId="2489" priority="335" stopIfTrue="1" operator="between">
      <formula>3</formula>
      <formula>3.9</formula>
    </cfRule>
    <cfRule type="cellIs" dxfId="2488" priority="336" stopIfTrue="1" operator="between">
      <formula>4</formula>
      <formula>5</formula>
    </cfRule>
  </conditionalFormatting>
  <conditionalFormatting sqref="D25">
    <cfRule type="cellIs" dxfId="2487" priority="331" stopIfTrue="1" operator="between">
      <formula>0.1</formula>
      <formula>1.9</formula>
    </cfRule>
    <cfRule type="cellIs" dxfId="2486" priority="332" stopIfTrue="1" operator="between">
      <formula>3</formula>
      <formula>3.9</formula>
    </cfRule>
    <cfRule type="cellIs" dxfId="2485" priority="333" stopIfTrue="1" operator="between">
      <formula>4</formula>
      <formula>5</formula>
    </cfRule>
  </conditionalFormatting>
  <conditionalFormatting sqref="E27">
    <cfRule type="cellIs" dxfId="2484" priority="312" stopIfTrue="1" operator="between">
      <formula>0.1</formula>
      <formula>1.9</formula>
    </cfRule>
    <cfRule type="cellIs" dxfId="2483" priority="313" stopIfTrue="1" operator="between">
      <formula>3</formula>
      <formula>3.9</formula>
    </cfRule>
    <cfRule type="cellIs" dxfId="2482" priority="314" stopIfTrue="1" operator="between">
      <formula>4</formula>
      <formula>5</formula>
    </cfRule>
  </conditionalFormatting>
  <conditionalFormatting sqref="R8:R44">
    <cfRule type="cellIs" dxfId="2481" priority="690" operator="greaterThan">
      <formula>0</formula>
    </cfRule>
  </conditionalFormatting>
  <conditionalFormatting sqref="O9:Q44">
    <cfRule type="cellIs" dxfId="2480" priority="687" operator="equal">
      <formula>"2F/1S"</formula>
    </cfRule>
    <cfRule type="cellIs" dxfId="2479" priority="688" operator="equal">
      <formula>"1F"</formula>
    </cfRule>
    <cfRule type="cellIs" dxfId="2478" priority="689" operator="equal">
      <formula>"&lt;1F"</formula>
    </cfRule>
  </conditionalFormatting>
  <conditionalFormatting sqref="E20:F20">
    <cfRule type="cellIs" dxfId="2477" priority="270" stopIfTrue="1" operator="between">
      <formula>0.1</formula>
      <formula>1.9</formula>
    </cfRule>
    <cfRule type="cellIs" dxfId="2476" priority="271" stopIfTrue="1" operator="between">
      <formula>3</formula>
      <formula>3.9</formula>
    </cfRule>
    <cfRule type="cellIs" dxfId="2475" priority="272" stopIfTrue="1" operator="between">
      <formula>4</formula>
      <formula>5</formula>
    </cfRule>
  </conditionalFormatting>
  <conditionalFormatting sqref="D20">
    <cfRule type="cellIs" dxfId="2474" priority="267" stopIfTrue="1" operator="between">
      <formula>0.1</formula>
      <formula>1.9</formula>
    </cfRule>
    <cfRule type="cellIs" dxfId="2473" priority="268" stopIfTrue="1" operator="between">
      <formula>3</formula>
      <formula>3.9</formula>
    </cfRule>
    <cfRule type="cellIs" dxfId="2472" priority="269" stopIfTrue="1" operator="between">
      <formula>4</formula>
      <formula>5</formula>
    </cfRule>
  </conditionalFormatting>
  <conditionalFormatting sqref="D27">
    <cfRule type="cellIs" dxfId="2471" priority="248" stopIfTrue="1" operator="between">
      <formula>0.1</formula>
      <formula>1.9</formula>
    </cfRule>
    <cfRule type="cellIs" dxfId="2470" priority="249" stopIfTrue="1" operator="between">
      <formula>3</formula>
      <formula>3.9</formula>
    </cfRule>
    <cfRule type="cellIs" dxfId="2469" priority="250" stopIfTrue="1" operator="between">
      <formula>4</formula>
      <formula>5</formula>
    </cfRule>
  </conditionalFormatting>
  <conditionalFormatting sqref="E28">
    <cfRule type="cellIs" dxfId="2468" priority="245" stopIfTrue="1" operator="between">
      <formula>0.1</formula>
      <formula>1.9</formula>
    </cfRule>
    <cfRule type="cellIs" dxfId="2467" priority="246" stopIfTrue="1" operator="between">
      <formula>3</formula>
      <formula>3.9</formula>
    </cfRule>
    <cfRule type="cellIs" dxfId="2466" priority="247" stopIfTrue="1" operator="between">
      <formula>4</formula>
      <formula>5</formula>
    </cfRule>
  </conditionalFormatting>
  <conditionalFormatting sqref="E25:F25">
    <cfRule type="cellIs" dxfId="2465" priority="242" stopIfTrue="1" operator="between">
      <formula>0.1</formula>
      <formula>1.9</formula>
    </cfRule>
    <cfRule type="cellIs" dxfId="2464" priority="243" stopIfTrue="1" operator="between">
      <formula>3</formula>
      <formula>3.9</formula>
    </cfRule>
    <cfRule type="cellIs" dxfId="2463" priority="244" stopIfTrue="1" operator="between">
      <formula>4</formula>
      <formula>5</formula>
    </cfRule>
  </conditionalFormatting>
  <conditionalFormatting sqref="D20">
    <cfRule type="cellIs" dxfId="2462" priority="221" stopIfTrue="1" operator="between">
      <formula>0.1</formula>
      <formula>1.9</formula>
    </cfRule>
    <cfRule type="cellIs" dxfId="2461" priority="222" stopIfTrue="1" operator="between">
      <formula>3</formula>
      <formula>3.9</formula>
    </cfRule>
    <cfRule type="cellIs" dxfId="2460" priority="223" stopIfTrue="1" operator="between">
      <formula>4</formula>
      <formula>5</formula>
    </cfRule>
  </conditionalFormatting>
  <conditionalFormatting sqref="E21:F21">
    <cfRule type="cellIs" dxfId="2459" priority="218" stopIfTrue="1" operator="between">
      <formula>0.1</formula>
      <formula>1.9</formula>
    </cfRule>
    <cfRule type="cellIs" dxfId="2458" priority="219" stopIfTrue="1" operator="between">
      <formula>3</formula>
      <formula>3.9</formula>
    </cfRule>
    <cfRule type="cellIs" dxfId="2457" priority="220" stopIfTrue="1" operator="between">
      <formula>4</formula>
      <formula>5</formula>
    </cfRule>
  </conditionalFormatting>
  <conditionalFormatting sqref="D21">
    <cfRule type="cellIs" dxfId="2456" priority="215" stopIfTrue="1" operator="between">
      <formula>0.1</formula>
      <formula>1.9</formula>
    </cfRule>
    <cfRule type="cellIs" dxfId="2455" priority="216" stopIfTrue="1" operator="between">
      <formula>3</formula>
      <formula>3.9</formula>
    </cfRule>
    <cfRule type="cellIs" dxfId="2454" priority="217" stopIfTrue="1" operator="between">
      <formula>4</formula>
      <formula>5</formula>
    </cfRule>
  </conditionalFormatting>
  <conditionalFormatting sqref="E16:F16">
    <cfRule type="cellIs" dxfId="2453" priority="212" stopIfTrue="1" operator="between">
      <formula>0.1</formula>
      <formula>1.9</formula>
    </cfRule>
    <cfRule type="cellIs" dxfId="2452" priority="213" stopIfTrue="1" operator="between">
      <formula>3</formula>
      <formula>3.9</formula>
    </cfRule>
    <cfRule type="cellIs" dxfId="2451" priority="214" stopIfTrue="1" operator="between">
      <formula>4</formula>
      <formula>5</formula>
    </cfRule>
  </conditionalFormatting>
  <conditionalFormatting sqref="E16:F16">
    <cfRule type="cellIs" dxfId="2450" priority="209" stopIfTrue="1" operator="between">
      <formula>0.1</formula>
      <formula>1.9</formula>
    </cfRule>
    <cfRule type="cellIs" dxfId="2449" priority="210" stopIfTrue="1" operator="between">
      <formula>3</formula>
      <formula>3.9</formula>
    </cfRule>
    <cfRule type="cellIs" dxfId="2448" priority="211" stopIfTrue="1" operator="between">
      <formula>4</formula>
      <formula>5</formula>
    </cfRule>
  </conditionalFormatting>
  <conditionalFormatting sqref="E16:F16">
    <cfRule type="cellIs" dxfId="2447" priority="197" stopIfTrue="1" operator="between">
      <formula>0.1</formula>
      <formula>1.9</formula>
    </cfRule>
    <cfRule type="cellIs" dxfId="2446" priority="198" stopIfTrue="1" operator="between">
      <formula>3</formula>
      <formula>3.9</formula>
    </cfRule>
    <cfRule type="cellIs" dxfId="2445" priority="199" stopIfTrue="1" operator="between">
      <formula>4</formula>
      <formula>5</formula>
    </cfRule>
  </conditionalFormatting>
  <conditionalFormatting sqref="E32">
    <cfRule type="cellIs" dxfId="2444" priority="188" stopIfTrue="1" operator="between">
      <formula>0.1</formula>
      <formula>1.9</formula>
    </cfRule>
    <cfRule type="cellIs" dxfId="2443" priority="189" stopIfTrue="1" operator="between">
      <formula>3</formula>
      <formula>3.9</formula>
    </cfRule>
    <cfRule type="cellIs" dxfId="2442" priority="190" stopIfTrue="1" operator="between">
      <formula>4</formula>
      <formula>5</formula>
    </cfRule>
  </conditionalFormatting>
  <conditionalFormatting sqref="E29">
    <cfRule type="cellIs" dxfId="2441" priority="185" stopIfTrue="1" operator="between">
      <formula>0.1</formula>
      <formula>1.9</formula>
    </cfRule>
    <cfRule type="cellIs" dxfId="2440" priority="186" stopIfTrue="1" operator="between">
      <formula>3</formula>
      <formula>3.9</formula>
    </cfRule>
    <cfRule type="cellIs" dxfId="2439" priority="187" stopIfTrue="1" operator="between">
      <formula>4</formula>
      <formula>5</formula>
    </cfRule>
  </conditionalFormatting>
  <conditionalFormatting sqref="E29:F29">
    <cfRule type="cellIs" dxfId="2438" priority="182" stopIfTrue="1" operator="between">
      <formula>0.1</formula>
      <formula>1.9</formula>
    </cfRule>
    <cfRule type="cellIs" dxfId="2437" priority="183" stopIfTrue="1" operator="between">
      <formula>3</formula>
      <formula>3.9</formula>
    </cfRule>
    <cfRule type="cellIs" dxfId="2436" priority="184" stopIfTrue="1" operator="between">
      <formula>4</formula>
      <formula>5</formula>
    </cfRule>
  </conditionalFormatting>
  <conditionalFormatting sqref="H23:H30">
    <cfRule type="cellIs" dxfId="2435" priority="140" stopIfTrue="1" operator="between">
      <formula>0.1</formula>
      <formula>1.9</formula>
    </cfRule>
    <cfRule type="cellIs" dxfId="2434" priority="141" stopIfTrue="1" operator="between">
      <formula>3</formula>
      <formula>3.9</formula>
    </cfRule>
    <cfRule type="cellIs" dxfId="2433" priority="142" stopIfTrue="1" operator="between">
      <formula>4</formula>
      <formula>5</formula>
    </cfRule>
  </conditionalFormatting>
  <conditionalFormatting sqref="G23:G30">
    <cfRule type="cellIs" dxfId="2432" priority="137" stopIfTrue="1" operator="between">
      <formula>0.1</formula>
      <formula>1.9</formula>
    </cfRule>
    <cfRule type="cellIs" dxfId="2431" priority="138" stopIfTrue="1" operator="between">
      <formula>3</formula>
      <formula>3.9</formula>
    </cfRule>
    <cfRule type="cellIs" dxfId="2430" priority="139" stopIfTrue="1" operator="between">
      <formula>4</formula>
      <formula>5</formula>
    </cfRule>
  </conditionalFormatting>
  <conditionalFormatting sqref="G25:H25">
    <cfRule type="cellIs" dxfId="2429" priority="134" stopIfTrue="1" operator="between">
      <formula>0.1</formula>
      <formula>1.9</formula>
    </cfRule>
    <cfRule type="cellIs" dxfId="2428" priority="135" stopIfTrue="1" operator="between">
      <formula>3</formula>
      <formula>3.9</formula>
    </cfRule>
    <cfRule type="cellIs" dxfId="2427" priority="136" stopIfTrue="1" operator="between">
      <formula>4</formula>
      <formula>5</formula>
    </cfRule>
  </conditionalFormatting>
  <conditionalFormatting sqref="G23:H27 H28">
    <cfRule type="cellIs" dxfId="2426" priority="131" stopIfTrue="1" operator="between">
      <formula>0.1</formula>
      <formula>1.9</formula>
    </cfRule>
    <cfRule type="cellIs" dxfId="2425" priority="132" stopIfTrue="1" operator="between">
      <formula>3</formula>
      <formula>3.9</formula>
    </cfRule>
    <cfRule type="cellIs" dxfId="2424" priority="133" stopIfTrue="1" operator="between">
      <formula>4</formula>
      <formula>5</formula>
    </cfRule>
  </conditionalFormatting>
  <conditionalFormatting sqref="G25:H30">
    <cfRule type="cellIs" dxfId="2423" priority="128" stopIfTrue="1" operator="between">
      <formula>0.1</formula>
      <formula>1.9</formula>
    </cfRule>
    <cfRule type="cellIs" dxfId="2422" priority="129" stopIfTrue="1" operator="between">
      <formula>3</formula>
      <formula>3.9</formula>
    </cfRule>
    <cfRule type="cellIs" dxfId="2421" priority="130" stopIfTrue="1" operator="between">
      <formula>4</formula>
      <formula>5</formula>
    </cfRule>
  </conditionalFormatting>
  <conditionalFormatting sqref="G24:H24">
    <cfRule type="cellIs" dxfId="2420" priority="115" stopIfTrue="1" operator="between">
      <formula>0.1</formula>
      <formula>1.9</formula>
    </cfRule>
    <cfRule type="cellIs" dxfId="2419" priority="116" stopIfTrue="1" operator="between">
      <formula>3</formula>
      <formula>3.9</formula>
    </cfRule>
    <cfRule type="cellIs" dxfId="2418" priority="117" stopIfTrue="1" operator="between">
      <formula>4</formula>
      <formula>5</formula>
    </cfRule>
  </conditionalFormatting>
  <conditionalFormatting sqref="H25">
    <cfRule type="cellIs" dxfId="2417" priority="112" stopIfTrue="1" operator="between">
      <formula>0.1</formula>
      <formula>1.9</formula>
    </cfRule>
    <cfRule type="cellIs" dxfId="2416" priority="113" stopIfTrue="1" operator="between">
      <formula>3</formula>
      <formula>3.9</formula>
    </cfRule>
    <cfRule type="cellIs" dxfId="2415" priority="114" stopIfTrue="1" operator="between">
      <formula>4</formula>
      <formula>5</formula>
    </cfRule>
  </conditionalFormatting>
  <conditionalFormatting sqref="G25:H25">
    <cfRule type="cellIs" dxfId="2414" priority="109" stopIfTrue="1" operator="between">
      <formula>0.1</formula>
      <formula>1.9</formula>
    </cfRule>
    <cfRule type="cellIs" dxfId="2413" priority="110" stopIfTrue="1" operator="between">
      <formula>3</formula>
      <formula>3.9</formula>
    </cfRule>
    <cfRule type="cellIs" dxfId="2412" priority="111" stopIfTrue="1" operator="between">
      <formula>4</formula>
      <formula>5</formula>
    </cfRule>
  </conditionalFormatting>
  <conditionalFormatting sqref="H26">
    <cfRule type="cellIs" dxfId="2411" priority="106" stopIfTrue="1" operator="between">
      <formula>0.1</formula>
      <formula>1.9</formula>
    </cfRule>
    <cfRule type="cellIs" dxfId="2410" priority="107" stopIfTrue="1" operator="between">
      <formula>3</formula>
      <formula>3.9</formula>
    </cfRule>
    <cfRule type="cellIs" dxfId="2409" priority="108" stopIfTrue="1" operator="between">
      <formula>4</formula>
      <formula>5</formula>
    </cfRule>
  </conditionalFormatting>
  <conditionalFormatting sqref="G20:H23">
    <cfRule type="cellIs" dxfId="2408" priority="93" stopIfTrue="1" operator="between">
      <formula>0.1</formula>
      <formula>1.9</formula>
    </cfRule>
    <cfRule type="cellIs" dxfId="2407" priority="94" stopIfTrue="1" operator="between">
      <formula>3</formula>
      <formula>3.9</formula>
    </cfRule>
    <cfRule type="cellIs" dxfId="2406" priority="95" stopIfTrue="1" operator="between">
      <formula>4</formula>
      <formula>5</formula>
    </cfRule>
  </conditionalFormatting>
  <conditionalFormatting sqref="G27:H27">
    <cfRule type="cellIs" dxfId="2405" priority="76" stopIfTrue="1" operator="between">
      <formula>0.1</formula>
      <formula>1.9</formula>
    </cfRule>
    <cfRule type="cellIs" dxfId="2404" priority="77" stopIfTrue="1" operator="between">
      <formula>3</formula>
      <formula>3.9</formula>
    </cfRule>
    <cfRule type="cellIs" dxfId="2403" priority="78" stopIfTrue="1" operator="between">
      <formula>4</formula>
      <formula>5</formula>
    </cfRule>
  </conditionalFormatting>
  <conditionalFormatting sqref="H28">
    <cfRule type="cellIs" dxfId="2402" priority="73" stopIfTrue="1" operator="between">
      <formula>0.1</formula>
      <formula>1.9</formula>
    </cfRule>
    <cfRule type="cellIs" dxfId="2401" priority="74" stopIfTrue="1" operator="between">
      <formula>3</formula>
      <formula>3.9</formula>
    </cfRule>
    <cfRule type="cellIs" dxfId="2400" priority="75" stopIfTrue="1" operator="between">
      <formula>4</formula>
      <formula>5</formula>
    </cfRule>
  </conditionalFormatting>
  <conditionalFormatting sqref="G25:H25">
    <cfRule type="cellIs" dxfId="2399" priority="70" stopIfTrue="1" operator="between">
      <formula>0.1</formula>
      <formula>1.9</formula>
    </cfRule>
    <cfRule type="cellIs" dxfId="2398" priority="71" stopIfTrue="1" operator="between">
      <formula>3</formula>
      <formula>3.9</formula>
    </cfRule>
    <cfRule type="cellIs" dxfId="2397" priority="72" stopIfTrue="1" operator="between">
      <formula>4</formula>
      <formula>5</formula>
    </cfRule>
  </conditionalFormatting>
  <conditionalFormatting sqref="H26">
    <cfRule type="cellIs" dxfId="2396" priority="67" stopIfTrue="1" operator="between">
      <formula>0.1</formula>
      <formula>1.9</formula>
    </cfRule>
    <cfRule type="cellIs" dxfId="2395" priority="68" stopIfTrue="1" operator="between">
      <formula>3</formula>
      <formula>3.9</formula>
    </cfRule>
    <cfRule type="cellIs" dxfId="2394" priority="69" stopIfTrue="1" operator="between">
      <formula>4</formula>
      <formula>5</formula>
    </cfRule>
  </conditionalFormatting>
  <conditionalFormatting sqref="G26:H26">
    <cfRule type="cellIs" dxfId="2393" priority="64" stopIfTrue="1" operator="between">
      <formula>0.1</formula>
      <formula>1.9</formula>
    </cfRule>
    <cfRule type="cellIs" dxfId="2392" priority="65" stopIfTrue="1" operator="between">
      <formula>3</formula>
      <formula>3.9</formula>
    </cfRule>
    <cfRule type="cellIs" dxfId="2391" priority="66" stopIfTrue="1" operator="between">
      <formula>4</formula>
      <formula>5</formula>
    </cfRule>
  </conditionalFormatting>
  <conditionalFormatting sqref="H27">
    <cfRule type="cellIs" dxfId="2390" priority="61" stopIfTrue="1" operator="between">
      <formula>0.1</formula>
      <formula>1.9</formula>
    </cfRule>
    <cfRule type="cellIs" dxfId="2389" priority="62" stopIfTrue="1" operator="between">
      <formula>3</formula>
      <formula>3.9</formula>
    </cfRule>
    <cfRule type="cellIs" dxfId="2388" priority="63" stopIfTrue="1" operator="between">
      <formula>4</formula>
      <formula>5</formula>
    </cfRule>
  </conditionalFormatting>
  <conditionalFormatting sqref="G20:H20">
    <cfRule type="cellIs" dxfId="2387" priority="58" stopIfTrue="1" operator="between">
      <formula>0.1</formula>
      <formula>1.9</formula>
    </cfRule>
    <cfRule type="cellIs" dxfId="2386" priority="59" stopIfTrue="1" operator="between">
      <formula>3</formula>
      <formula>3.9</formula>
    </cfRule>
    <cfRule type="cellIs" dxfId="2385" priority="60" stopIfTrue="1" operator="between">
      <formula>4</formula>
      <formula>5</formula>
    </cfRule>
  </conditionalFormatting>
  <conditionalFormatting sqref="G21:H21">
    <cfRule type="cellIs" dxfId="2384" priority="55" stopIfTrue="1" operator="between">
      <formula>0.1</formula>
      <formula>1.9</formula>
    </cfRule>
    <cfRule type="cellIs" dxfId="2383" priority="56" stopIfTrue="1" operator="between">
      <formula>3</formula>
      <formula>3.9</formula>
    </cfRule>
    <cfRule type="cellIs" dxfId="2382" priority="57" stopIfTrue="1" operator="between">
      <formula>4</formula>
      <formula>5</formula>
    </cfRule>
  </conditionalFormatting>
  <conditionalFormatting sqref="H16">
    <cfRule type="cellIs" dxfId="2381" priority="52" stopIfTrue="1" operator="between">
      <formula>0.1</formula>
      <formula>1.9</formula>
    </cfRule>
    <cfRule type="cellIs" dxfId="2380" priority="53" stopIfTrue="1" operator="between">
      <formula>3</formula>
      <formula>3.9</formula>
    </cfRule>
    <cfRule type="cellIs" dxfId="2379" priority="54" stopIfTrue="1" operator="between">
      <formula>4</formula>
      <formula>5</formula>
    </cfRule>
  </conditionalFormatting>
  <conditionalFormatting sqref="H16">
    <cfRule type="cellIs" dxfId="2378" priority="49" stopIfTrue="1" operator="between">
      <formula>0.1</formula>
      <formula>1.9</formula>
    </cfRule>
    <cfRule type="cellIs" dxfId="2377" priority="50" stopIfTrue="1" operator="between">
      <formula>3</formula>
      <formula>3.9</formula>
    </cfRule>
    <cfRule type="cellIs" dxfId="2376" priority="51" stopIfTrue="1" operator="between">
      <formula>4</formula>
      <formula>5</formula>
    </cfRule>
  </conditionalFormatting>
  <conditionalFormatting sqref="G29">
    <cfRule type="cellIs" dxfId="2375" priority="23" stopIfTrue="1" operator="between">
      <formula>0.1</formula>
      <formula>1.9</formula>
    </cfRule>
    <cfRule type="cellIs" dxfId="2374" priority="24" stopIfTrue="1" operator="between">
      <formula>3</formula>
      <formula>3.9</formula>
    </cfRule>
    <cfRule type="cellIs" dxfId="2373" priority="25" stopIfTrue="1" operator="between">
      <formula>4</formula>
      <formula>5</formula>
    </cfRule>
  </conditionalFormatting>
  <conditionalFormatting sqref="G29:H29">
    <cfRule type="cellIs" dxfId="2372" priority="20" stopIfTrue="1" operator="between">
      <formula>0.1</formula>
      <formula>1.9</formula>
    </cfRule>
    <cfRule type="cellIs" dxfId="2371" priority="21" stopIfTrue="1" operator="between">
      <formula>3</formula>
      <formula>3.9</formula>
    </cfRule>
    <cfRule type="cellIs" dxfId="2370" priority="22" stopIfTrue="1" operator="between">
      <formula>4</formula>
      <formula>5</formula>
    </cfRule>
  </conditionalFormatting>
  <conditionalFormatting sqref="D46:L46">
    <cfRule type="cellIs" dxfId="2369" priority="384" stopIfTrue="1" operator="between">
      <formula>"D-3"</formula>
      <formula>"E-5"</formula>
    </cfRule>
    <cfRule type="cellIs" dxfId="2368" priority="385" stopIfTrue="1" operator="between">
      <formula>"B-2"</formula>
      <formula>"B-3"</formula>
    </cfRule>
    <cfRule type="cellIs" dxfId="2367" priority="386" stopIfTrue="1" operator="between">
      <formula>"A-1"</formula>
      <formula>"A-2"</formula>
    </cfRule>
  </conditionalFormatting>
  <conditionalFormatting sqref="D45:L45">
    <cfRule type="cellIs" dxfId="2366" priority="387" stopIfTrue="1" operator="between">
      <formula>0.001</formula>
      <formula>1.999</formula>
    </cfRule>
    <cfRule type="cellIs" dxfId="2365" priority="388" stopIfTrue="1" operator="between">
      <formula>3</formula>
      <formula>3.999</formula>
    </cfRule>
    <cfRule type="cellIs" dxfId="2364" priority="389" stopIfTrue="1" operator="between">
      <formula>4</formula>
      <formula>5</formula>
    </cfRule>
  </conditionalFormatting>
  <conditionalFormatting sqref="D46:H46">
    <cfRule type="cellIs" dxfId="2363" priority="382" operator="equal">
      <formula>"E-5-"</formula>
    </cfRule>
    <cfRule type="cellIs" dxfId="2362" priority="383" operator="equal">
      <formula>"A-1+"</formula>
    </cfRule>
  </conditionalFormatting>
  <conditionalFormatting sqref="L46">
    <cfRule type="cellIs" dxfId="2361" priority="380" operator="equal">
      <formula>"E-5-"</formula>
    </cfRule>
    <cfRule type="cellIs" dxfId="2360" priority="381" operator="equal">
      <formula>"A-1+"</formula>
    </cfRule>
  </conditionalFormatting>
  <conditionalFormatting sqref="H35">
    <cfRule type="cellIs" dxfId="2359" priority="377" stopIfTrue="1" operator="between">
      <formula>0.1</formula>
      <formula>1.9</formula>
    </cfRule>
    <cfRule type="cellIs" dxfId="2358" priority="378" stopIfTrue="1" operator="between">
      <formula>3</formula>
      <formula>3.9</formula>
    </cfRule>
    <cfRule type="cellIs" dxfId="2357" priority="379" stopIfTrue="1" operator="between">
      <formula>4</formula>
      <formula>5</formula>
    </cfRule>
  </conditionalFormatting>
  <conditionalFormatting sqref="H35">
    <cfRule type="cellIs" dxfId="2356" priority="376" operator="between">
      <formula>2</formula>
      <formula>2.9</formula>
    </cfRule>
  </conditionalFormatting>
  <conditionalFormatting sqref="H35">
    <cfRule type="cellIs" dxfId="2355" priority="375" operator="equal">
      <formula>""</formula>
    </cfRule>
  </conditionalFormatting>
  <conditionalFormatting sqref="G35">
    <cfRule type="cellIs" dxfId="2354" priority="372" stopIfTrue="1" operator="between">
      <formula>0.1</formula>
      <formula>1.9</formula>
    </cfRule>
    <cfRule type="cellIs" dxfId="2353" priority="373" stopIfTrue="1" operator="between">
      <formula>3</formula>
      <formula>3.9</formula>
    </cfRule>
    <cfRule type="cellIs" dxfId="2352" priority="374" stopIfTrue="1" operator="between">
      <formula>4</formula>
      <formula>5</formula>
    </cfRule>
  </conditionalFormatting>
  <conditionalFormatting sqref="G35">
    <cfRule type="cellIs" dxfId="2351" priority="371" operator="between">
      <formula>2</formula>
      <formula>2.9</formula>
    </cfRule>
  </conditionalFormatting>
  <conditionalFormatting sqref="G35">
    <cfRule type="cellIs" dxfId="2350" priority="370" operator="equal">
      <formula>""</formula>
    </cfRule>
  </conditionalFormatting>
  <conditionalFormatting sqref="E31:F35">
    <cfRule type="cellIs" dxfId="2349" priority="367" stopIfTrue="1" operator="between">
      <formula>0.1</formula>
      <formula>1.9</formula>
    </cfRule>
    <cfRule type="cellIs" dxfId="2348" priority="368" stopIfTrue="1" operator="between">
      <formula>3</formula>
      <formula>3.9</formula>
    </cfRule>
    <cfRule type="cellIs" dxfId="2347" priority="369" stopIfTrue="1" operator="between">
      <formula>4</formula>
      <formula>5</formula>
    </cfRule>
  </conditionalFormatting>
  <conditionalFormatting sqref="E30">
    <cfRule type="cellIs" dxfId="2346" priority="364" stopIfTrue="1" operator="between">
      <formula>0.1</formula>
      <formula>1.9</formula>
    </cfRule>
    <cfRule type="cellIs" dxfId="2345" priority="365" stopIfTrue="1" operator="between">
      <formula>3</formula>
      <formula>3.9</formula>
    </cfRule>
    <cfRule type="cellIs" dxfId="2344" priority="366" stopIfTrue="1" operator="between">
      <formula>4</formula>
      <formula>5</formula>
    </cfRule>
  </conditionalFormatting>
  <conditionalFormatting sqref="E30:F34">
    <cfRule type="cellIs" dxfId="2343" priority="361" stopIfTrue="1" operator="between">
      <formula>0.1</formula>
      <formula>1.9</formula>
    </cfRule>
    <cfRule type="cellIs" dxfId="2342" priority="362" stopIfTrue="1" operator="between">
      <formula>3</formula>
      <formula>3.9</formula>
    </cfRule>
    <cfRule type="cellIs" dxfId="2341" priority="363" stopIfTrue="1" operator="between">
      <formula>4</formula>
      <formula>5</formula>
    </cfRule>
  </conditionalFormatting>
  <conditionalFormatting sqref="E30:F35">
    <cfRule type="cellIs" dxfId="2340" priority="360" operator="between">
      <formula>2</formula>
      <formula>2.9</formula>
    </cfRule>
  </conditionalFormatting>
  <conditionalFormatting sqref="D31:D35">
    <cfRule type="cellIs" dxfId="2339" priority="357" stopIfTrue="1" operator="between">
      <formula>0.1</formula>
      <formula>1.9</formula>
    </cfRule>
    <cfRule type="cellIs" dxfId="2338" priority="358" stopIfTrue="1" operator="between">
      <formula>3</formula>
      <formula>3.9</formula>
    </cfRule>
    <cfRule type="cellIs" dxfId="2337" priority="359" stopIfTrue="1" operator="between">
      <formula>4</formula>
      <formula>5</formula>
    </cfRule>
  </conditionalFormatting>
  <conditionalFormatting sqref="D30:D34">
    <cfRule type="cellIs" dxfId="2336" priority="354" stopIfTrue="1" operator="between">
      <formula>0.1</formula>
      <formula>1.9</formula>
    </cfRule>
    <cfRule type="cellIs" dxfId="2335" priority="355" stopIfTrue="1" operator="between">
      <formula>3</formula>
      <formula>3.9</formula>
    </cfRule>
    <cfRule type="cellIs" dxfId="2334" priority="356" stopIfTrue="1" operator="between">
      <formula>4</formula>
      <formula>5</formula>
    </cfRule>
  </conditionalFormatting>
  <conditionalFormatting sqref="D30:D34">
    <cfRule type="cellIs" dxfId="2333" priority="351" stopIfTrue="1" operator="between">
      <formula>0.1</formula>
      <formula>1.9</formula>
    </cfRule>
    <cfRule type="cellIs" dxfId="2332" priority="352" stopIfTrue="1" operator="between">
      <formula>3</formula>
      <formula>3.9</formula>
    </cfRule>
    <cfRule type="cellIs" dxfId="2331" priority="353" stopIfTrue="1" operator="between">
      <formula>4</formula>
      <formula>5</formula>
    </cfRule>
  </conditionalFormatting>
  <conditionalFormatting sqref="D30:D35">
    <cfRule type="cellIs" dxfId="2330" priority="350" operator="between">
      <formula>2</formula>
      <formula>2.9</formula>
    </cfRule>
  </conditionalFormatting>
  <conditionalFormatting sqref="F23:F25 E23:E30">
    <cfRule type="cellIs" dxfId="2329" priority="347" stopIfTrue="1" operator="between">
      <formula>0.1</formula>
      <formula>1.9</formula>
    </cfRule>
    <cfRule type="cellIs" dxfId="2328" priority="348" stopIfTrue="1" operator="between">
      <formula>3</formula>
      <formula>3.9</formula>
    </cfRule>
    <cfRule type="cellIs" dxfId="2327" priority="349" stopIfTrue="1" operator="between">
      <formula>4</formula>
      <formula>5</formula>
    </cfRule>
  </conditionalFormatting>
  <conditionalFormatting sqref="E25:F25">
    <cfRule type="cellIs" dxfId="2326" priority="344" stopIfTrue="1" operator="between">
      <formula>0.1</formula>
      <formula>1.9</formula>
    </cfRule>
    <cfRule type="cellIs" dxfId="2325" priority="345" stopIfTrue="1" operator="between">
      <formula>3</formula>
      <formula>3.9</formula>
    </cfRule>
    <cfRule type="cellIs" dxfId="2324" priority="346" stopIfTrue="1" operator="between">
      <formula>4</formula>
      <formula>5</formula>
    </cfRule>
  </conditionalFormatting>
  <conditionalFormatting sqref="E23:F27 E28">
    <cfRule type="cellIs" dxfId="2323" priority="341" stopIfTrue="1" operator="between">
      <formula>0.1</formula>
      <formula>1.9</formula>
    </cfRule>
    <cfRule type="cellIs" dxfId="2322" priority="342" stopIfTrue="1" operator="between">
      <formula>3</formula>
      <formula>3.9</formula>
    </cfRule>
    <cfRule type="cellIs" dxfId="2321" priority="343" stopIfTrue="1" operator="between">
      <formula>4</formula>
      <formula>5</formula>
    </cfRule>
  </conditionalFormatting>
  <conditionalFormatting sqref="E25:F30">
    <cfRule type="cellIs" dxfId="2320" priority="338" stopIfTrue="1" operator="between">
      <formula>0.1</formula>
      <formula>1.9</formula>
    </cfRule>
    <cfRule type="cellIs" dxfId="2319" priority="339" stopIfTrue="1" operator="between">
      <formula>3</formula>
      <formula>3.9</formula>
    </cfRule>
    <cfRule type="cellIs" dxfId="2318" priority="340" stopIfTrue="1" operator="between">
      <formula>4</formula>
      <formula>5</formula>
    </cfRule>
  </conditionalFormatting>
  <conditionalFormatting sqref="E23:F30">
    <cfRule type="cellIs" dxfId="2317" priority="337" operator="between">
      <formula>2</formula>
      <formula>2.9</formula>
    </cfRule>
  </conditionalFormatting>
  <conditionalFormatting sqref="D23:D27">
    <cfRule type="cellIs" dxfId="2316" priority="328" stopIfTrue="1" operator="between">
      <formula>0.1</formula>
      <formula>1.9</formula>
    </cfRule>
    <cfRule type="cellIs" dxfId="2315" priority="329" stopIfTrue="1" operator="between">
      <formula>3</formula>
      <formula>3.9</formula>
    </cfRule>
    <cfRule type="cellIs" dxfId="2314" priority="330" stopIfTrue="1" operator="between">
      <formula>4</formula>
      <formula>5</formula>
    </cfRule>
  </conditionalFormatting>
  <conditionalFormatting sqref="D25:D30">
    <cfRule type="cellIs" dxfId="2313" priority="325" stopIfTrue="1" operator="between">
      <formula>0.1</formula>
      <formula>1.9</formula>
    </cfRule>
    <cfRule type="cellIs" dxfId="2312" priority="326" stopIfTrue="1" operator="between">
      <formula>3</formula>
      <formula>3.9</formula>
    </cfRule>
    <cfRule type="cellIs" dxfId="2311" priority="327" stopIfTrue="1" operator="between">
      <formula>4</formula>
      <formula>5</formula>
    </cfRule>
  </conditionalFormatting>
  <conditionalFormatting sqref="D23:D30">
    <cfRule type="cellIs" dxfId="2310" priority="324" operator="between">
      <formula>2</formula>
      <formula>2.9</formula>
    </cfRule>
  </conditionalFormatting>
  <conditionalFormatting sqref="E26">
    <cfRule type="cellIs" dxfId="2309" priority="321" stopIfTrue="1" operator="between">
      <formula>0.1</formula>
      <formula>1.9</formula>
    </cfRule>
    <cfRule type="cellIs" dxfId="2308" priority="322" stopIfTrue="1" operator="between">
      <formula>3</formula>
      <formula>3.9</formula>
    </cfRule>
    <cfRule type="cellIs" dxfId="2307" priority="323" stopIfTrue="1" operator="between">
      <formula>4</formula>
      <formula>5</formula>
    </cfRule>
  </conditionalFormatting>
  <conditionalFormatting sqref="E26:F26">
    <cfRule type="cellIs" dxfId="2306" priority="318" stopIfTrue="1" operator="between">
      <formula>0.1</formula>
      <formula>1.9</formula>
    </cfRule>
    <cfRule type="cellIs" dxfId="2305" priority="319" stopIfTrue="1" operator="between">
      <formula>3</formula>
      <formula>3.9</formula>
    </cfRule>
    <cfRule type="cellIs" dxfId="2304" priority="320" stopIfTrue="1" operator="between">
      <formula>4</formula>
      <formula>5</formula>
    </cfRule>
  </conditionalFormatting>
  <conditionalFormatting sqref="D26">
    <cfRule type="cellIs" dxfId="2303" priority="315" stopIfTrue="1" operator="between">
      <formula>0.1</formula>
      <formula>1.9</formula>
    </cfRule>
    <cfRule type="cellIs" dxfId="2302" priority="316" stopIfTrue="1" operator="between">
      <formula>3</formula>
      <formula>3.9</formula>
    </cfRule>
    <cfRule type="cellIs" dxfId="2301" priority="317" stopIfTrue="1" operator="between">
      <formula>4</formula>
      <formula>5</formula>
    </cfRule>
  </conditionalFormatting>
  <conditionalFormatting sqref="E24:F24">
    <cfRule type="cellIs" dxfId="2300" priority="309" stopIfTrue="1" operator="between">
      <formula>0.1</formula>
      <formula>1.9</formula>
    </cfRule>
    <cfRule type="cellIs" dxfId="2299" priority="310" stopIfTrue="1" operator="between">
      <formula>3</formula>
      <formula>3.9</formula>
    </cfRule>
    <cfRule type="cellIs" dxfId="2298" priority="311" stopIfTrue="1" operator="between">
      <formula>4</formula>
      <formula>5</formula>
    </cfRule>
  </conditionalFormatting>
  <conditionalFormatting sqref="D24">
    <cfRule type="cellIs" dxfId="2297" priority="306" stopIfTrue="1" operator="between">
      <formula>0.1</formula>
      <formula>1.9</formula>
    </cfRule>
    <cfRule type="cellIs" dxfId="2296" priority="307" stopIfTrue="1" operator="between">
      <formula>3</formula>
      <formula>3.9</formula>
    </cfRule>
    <cfRule type="cellIs" dxfId="2295" priority="308" stopIfTrue="1" operator="between">
      <formula>4</formula>
      <formula>5</formula>
    </cfRule>
  </conditionalFormatting>
  <conditionalFormatting sqref="E25">
    <cfRule type="cellIs" dxfId="2294" priority="303" stopIfTrue="1" operator="between">
      <formula>0.1</formula>
      <formula>1.9</formula>
    </cfRule>
    <cfRule type="cellIs" dxfId="2293" priority="304" stopIfTrue="1" operator="between">
      <formula>3</formula>
      <formula>3.9</formula>
    </cfRule>
    <cfRule type="cellIs" dxfId="2292" priority="305" stopIfTrue="1" operator="between">
      <formula>4</formula>
      <formula>5</formula>
    </cfRule>
  </conditionalFormatting>
  <conditionalFormatting sqref="E25:F25">
    <cfRule type="cellIs" dxfId="2291" priority="300" stopIfTrue="1" operator="between">
      <formula>0.1</formula>
      <formula>1.9</formula>
    </cfRule>
    <cfRule type="cellIs" dxfId="2290" priority="301" stopIfTrue="1" operator="between">
      <formula>3</formula>
      <formula>3.9</formula>
    </cfRule>
    <cfRule type="cellIs" dxfId="2289" priority="302" stopIfTrue="1" operator="between">
      <formula>4</formula>
      <formula>5</formula>
    </cfRule>
  </conditionalFormatting>
  <conditionalFormatting sqref="D25">
    <cfRule type="cellIs" dxfId="2288" priority="297" stopIfTrue="1" operator="between">
      <formula>0.1</formula>
      <formula>1.9</formula>
    </cfRule>
    <cfRule type="cellIs" dxfId="2287" priority="298" stopIfTrue="1" operator="between">
      <formula>3</formula>
      <formula>3.9</formula>
    </cfRule>
    <cfRule type="cellIs" dxfId="2286" priority="299" stopIfTrue="1" operator="between">
      <formula>4</formula>
      <formula>5</formula>
    </cfRule>
  </conditionalFormatting>
  <conditionalFormatting sqref="E26">
    <cfRule type="cellIs" dxfId="2285" priority="294" stopIfTrue="1" operator="between">
      <formula>0.1</formula>
      <formula>1.9</formula>
    </cfRule>
    <cfRule type="cellIs" dxfId="2284" priority="295" stopIfTrue="1" operator="between">
      <formula>3</formula>
      <formula>3.9</formula>
    </cfRule>
    <cfRule type="cellIs" dxfId="2283" priority="296" stopIfTrue="1" operator="between">
      <formula>4</formula>
      <formula>5</formula>
    </cfRule>
  </conditionalFormatting>
  <conditionalFormatting sqref="D23:F35">
    <cfRule type="cellIs" dxfId="2282" priority="293" operator="equal">
      <formula>""</formula>
    </cfRule>
  </conditionalFormatting>
  <conditionalFormatting sqref="E19:F19">
    <cfRule type="cellIs" dxfId="2281" priority="290" stopIfTrue="1" operator="between">
      <formula>0.1</formula>
      <formula>1.9</formula>
    </cfRule>
    <cfRule type="cellIs" dxfId="2280" priority="291" stopIfTrue="1" operator="between">
      <formula>3</formula>
      <formula>3.9</formula>
    </cfRule>
    <cfRule type="cellIs" dxfId="2279" priority="292" stopIfTrue="1" operator="between">
      <formula>4</formula>
      <formula>5</formula>
    </cfRule>
  </conditionalFormatting>
  <conditionalFormatting sqref="E9:F15 E17:F23">
    <cfRule type="cellIs" dxfId="2278" priority="287" stopIfTrue="1" operator="between">
      <formula>0.1</formula>
      <formula>1.9</formula>
    </cfRule>
    <cfRule type="cellIs" dxfId="2277" priority="288" stopIfTrue="1" operator="between">
      <formula>3</formula>
      <formula>3.9</formula>
    </cfRule>
    <cfRule type="cellIs" dxfId="2276" priority="289" stopIfTrue="1" operator="between">
      <formula>4</formula>
      <formula>5</formula>
    </cfRule>
  </conditionalFormatting>
  <conditionalFormatting sqref="E20:F23">
    <cfRule type="cellIs" dxfId="2275" priority="284" stopIfTrue="1" operator="between">
      <formula>0.1</formula>
      <formula>1.9</formula>
    </cfRule>
    <cfRule type="cellIs" dxfId="2274" priority="285" stopIfTrue="1" operator="between">
      <formula>3</formula>
      <formula>3.9</formula>
    </cfRule>
    <cfRule type="cellIs" dxfId="2273" priority="286" stopIfTrue="1" operator="between">
      <formula>4</formula>
      <formula>5</formula>
    </cfRule>
  </conditionalFormatting>
  <conditionalFormatting sqref="E9:F15 E17:F23">
    <cfRule type="cellIs" dxfId="2272" priority="283" operator="between">
      <formula>2</formula>
      <formula>2.9</formula>
    </cfRule>
  </conditionalFormatting>
  <conditionalFormatting sqref="D19">
    <cfRule type="cellIs" dxfId="2271" priority="280" stopIfTrue="1" operator="between">
      <formula>0.1</formula>
      <formula>1.9</formula>
    </cfRule>
    <cfRule type="cellIs" dxfId="2270" priority="281" stopIfTrue="1" operator="between">
      <formula>3</formula>
      <formula>3.9</formula>
    </cfRule>
    <cfRule type="cellIs" dxfId="2269" priority="282" stopIfTrue="1" operator="between">
      <formula>4</formula>
      <formula>5</formula>
    </cfRule>
  </conditionalFormatting>
  <conditionalFormatting sqref="D9:D15 D17:D23">
    <cfRule type="cellIs" dxfId="2268" priority="277" stopIfTrue="1" operator="between">
      <formula>0.1</formula>
      <formula>1.9</formula>
    </cfRule>
    <cfRule type="cellIs" dxfId="2267" priority="278" stopIfTrue="1" operator="between">
      <formula>3</formula>
      <formula>3.9</formula>
    </cfRule>
    <cfRule type="cellIs" dxfId="2266" priority="279" stopIfTrue="1" operator="between">
      <formula>4</formula>
      <formula>5</formula>
    </cfRule>
  </conditionalFormatting>
  <conditionalFormatting sqref="D20:D23">
    <cfRule type="cellIs" dxfId="2265" priority="274" stopIfTrue="1" operator="between">
      <formula>0.1</formula>
      <formula>1.9</formula>
    </cfRule>
    <cfRule type="cellIs" dxfId="2264" priority="275" stopIfTrue="1" operator="between">
      <formula>3</formula>
      <formula>3.9</formula>
    </cfRule>
    <cfRule type="cellIs" dxfId="2263" priority="276" stopIfTrue="1" operator="between">
      <formula>4</formula>
      <formula>5</formula>
    </cfRule>
  </conditionalFormatting>
  <conditionalFormatting sqref="D9:D15 D17:D23">
    <cfRule type="cellIs" dxfId="2262" priority="273" operator="between">
      <formula>2</formula>
      <formula>2.9</formula>
    </cfRule>
  </conditionalFormatting>
  <conditionalFormatting sqref="D9:F15 D17:F23">
    <cfRule type="cellIs" dxfId="2261" priority="266" operator="equal">
      <formula>""</formula>
    </cfRule>
  </conditionalFormatting>
  <conditionalFormatting sqref="E31">
    <cfRule type="cellIs" dxfId="2260" priority="263" stopIfTrue="1" operator="between">
      <formula>0.1</formula>
      <formula>1.9</formula>
    </cfRule>
    <cfRule type="cellIs" dxfId="2259" priority="264" stopIfTrue="1" operator="between">
      <formula>3</formula>
      <formula>3.9</formula>
    </cfRule>
    <cfRule type="cellIs" dxfId="2258" priority="265" stopIfTrue="1" operator="between">
      <formula>4</formula>
      <formula>5</formula>
    </cfRule>
  </conditionalFormatting>
  <conditionalFormatting sqref="E26:F26">
    <cfRule type="cellIs" dxfId="2257" priority="260" stopIfTrue="1" operator="between">
      <formula>0.1</formula>
      <formula>1.9</formula>
    </cfRule>
    <cfRule type="cellIs" dxfId="2256" priority="261" stopIfTrue="1" operator="between">
      <formula>3</formula>
      <formula>3.9</formula>
    </cfRule>
    <cfRule type="cellIs" dxfId="2255" priority="262" stopIfTrue="1" operator="between">
      <formula>4</formula>
      <formula>5</formula>
    </cfRule>
  </conditionalFormatting>
  <conditionalFormatting sqref="D26">
    <cfRule type="cellIs" dxfId="2254" priority="257" stopIfTrue="1" operator="between">
      <formula>0.1</formula>
      <formula>1.9</formula>
    </cfRule>
    <cfRule type="cellIs" dxfId="2253" priority="258" stopIfTrue="1" operator="between">
      <formula>3</formula>
      <formula>3.9</formula>
    </cfRule>
    <cfRule type="cellIs" dxfId="2252" priority="259" stopIfTrue="1" operator="between">
      <formula>4</formula>
      <formula>5</formula>
    </cfRule>
  </conditionalFormatting>
  <conditionalFormatting sqref="E27">
    <cfRule type="cellIs" dxfId="2251" priority="254" stopIfTrue="1" operator="between">
      <formula>0.1</formula>
      <formula>1.9</formula>
    </cfRule>
    <cfRule type="cellIs" dxfId="2250" priority="255" stopIfTrue="1" operator="between">
      <formula>3</formula>
      <formula>3.9</formula>
    </cfRule>
    <cfRule type="cellIs" dxfId="2249" priority="256" stopIfTrue="1" operator="between">
      <formula>4</formula>
      <formula>5</formula>
    </cfRule>
  </conditionalFormatting>
  <conditionalFormatting sqref="E27:F27">
    <cfRule type="cellIs" dxfId="2248" priority="251" stopIfTrue="1" operator="between">
      <formula>0.1</formula>
      <formula>1.9</formula>
    </cfRule>
    <cfRule type="cellIs" dxfId="2247" priority="252" stopIfTrue="1" operator="between">
      <formula>3</formula>
      <formula>3.9</formula>
    </cfRule>
    <cfRule type="cellIs" dxfId="2246" priority="253" stopIfTrue="1" operator="between">
      <formula>4</formula>
      <formula>5</formula>
    </cfRule>
  </conditionalFormatting>
  <conditionalFormatting sqref="D25">
    <cfRule type="cellIs" dxfId="2245" priority="239" stopIfTrue="1" operator="between">
      <formula>0.1</formula>
      <formula>1.9</formula>
    </cfRule>
    <cfRule type="cellIs" dxfId="2244" priority="240" stopIfTrue="1" operator="between">
      <formula>3</formula>
      <formula>3.9</formula>
    </cfRule>
    <cfRule type="cellIs" dxfId="2243" priority="241" stopIfTrue="1" operator="between">
      <formula>4</formula>
      <formula>5</formula>
    </cfRule>
  </conditionalFormatting>
  <conditionalFormatting sqref="E26">
    <cfRule type="cellIs" dxfId="2242" priority="236" stopIfTrue="1" operator="between">
      <formula>0.1</formula>
      <formula>1.9</formula>
    </cfRule>
    <cfRule type="cellIs" dxfId="2241" priority="237" stopIfTrue="1" operator="between">
      <formula>3</formula>
      <formula>3.9</formula>
    </cfRule>
    <cfRule type="cellIs" dxfId="2240" priority="238" stopIfTrue="1" operator="between">
      <formula>4</formula>
      <formula>5</formula>
    </cfRule>
  </conditionalFormatting>
  <conditionalFormatting sqref="E26:F26">
    <cfRule type="cellIs" dxfId="2239" priority="233" stopIfTrue="1" operator="between">
      <formula>0.1</formula>
      <formula>1.9</formula>
    </cfRule>
    <cfRule type="cellIs" dxfId="2238" priority="234" stopIfTrue="1" operator="between">
      <formula>3</formula>
      <formula>3.9</formula>
    </cfRule>
    <cfRule type="cellIs" dxfId="2237" priority="235" stopIfTrue="1" operator="between">
      <formula>4</formula>
      <formula>5</formula>
    </cfRule>
  </conditionalFormatting>
  <conditionalFormatting sqref="D26">
    <cfRule type="cellIs" dxfId="2236" priority="230" stopIfTrue="1" operator="between">
      <formula>0.1</formula>
      <formula>1.9</formula>
    </cfRule>
    <cfRule type="cellIs" dxfId="2235" priority="231" stopIfTrue="1" operator="between">
      <formula>3</formula>
      <formula>3.9</formula>
    </cfRule>
    <cfRule type="cellIs" dxfId="2234" priority="232" stopIfTrue="1" operator="between">
      <formula>4</formula>
      <formula>5</formula>
    </cfRule>
  </conditionalFormatting>
  <conditionalFormatting sqref="E27">
    <cfRule type="cellIs" dxfId="2233" priority="227" stopIfTrue="1" operator="between">
      <formula>0.1</formula>
      <formula>1.9</formula>
    </cfRule>
    <cfRule type="cellIs" dxfId="2232" priority="228" stopIfTrue="1" operator="between">
      <formula>3</formula>
      <formula>3.9</formula>
    </cfRule>
    <cfRule type="cellIs" dxfId="2231" priority="229" stopIfTrue="1" operator="between">
      <formula>4</formula>
      <formula>5</formula>
    </cfRule>
  </conditionalFormatting>
  <conditionalFormatting sqref="E20:F20">
    <cfRule type="cellIs" dxfId="2230" priority="224" stopIfTrue="1" operator="between">
      <formula>0.1</formula>
      <formula>1.9</formula>
    </cfRule>
    <cfRule type="cellIs" dxfId="2229" priority="225" stopIfTrue="1" operator="between">
      <formula>3</formula>
      <formula>3.9</formula>
    </cfRule>
    <cfRule type="cellIs" dxfId="2228" priority="226" stopIfTrue="1" operator="between">
      <formula>4</formula>
      <formula>5</formula>
    </cfRule>
  </conditionalFormatting>
  <conditionalFormatting sqref="E16:F16">
    <cfRule type="cellIs" dxfId="2227" priority="208" operator="between">
      <formula>2</formula>
      <formula>2.9</formula>
    </cfRule>
  </conditionalFormatting>
  <conditionalFormatting sqref="D16">
    <cfRule type="cellIs" dxfId="2226" priority="205" stopIfTrue="1" operator="between">
      <formula>0.1</formula>
      <formula>1.9</formula>
    </cfRule>
    <cfRule type="cellIs" dxfId="2225" priority="206" stopIfTrue="1" operator="between">
      <formula>3</formula>
      <formula>3.9</formula>
    </cfRule>
    <cfRule type="cellIs" dxfId="2224" priority="207" stopIfTrue="1" operator="between">
      <formula>4</formula>
      <formula>5</formula>
    </cfRule>
  </conditionalFormatting>
  <conditionalFormatting sqref="D16">
    <cfRule type="cellIs" dxfId="2223" priority="202" stopIfTrue="1" operator="between">
      <formula>0.1</formula>
      <formula>1.9</formula>
    </cfRule>
    <cfRule type="cellIs" dxfId="2222" priority="203" stopIfTrue="1" operator="between">
      <formula>3</formula>
      <formula>3.9</formula>
    </cfRule>
    <cfRule type="cellIs" dxfId="2221" priority="204" stopIfTrue="1" operator="between">
      <formula>4</formula>
      <formula>5</formula>
    </cfRule>
  </conditionalFormatting>
  <conditionalFormatting sqref="D16">
    <cfRule type="cellIs" dxfId="2220" priority="201" operator="between">
      <formula>2</formula>
      <formula>2.9</formula>
    </cfRule>
  </conditionalFormatting>
  <conditionalFormatting sqref="D16:F16">
    <cfRule type="cellIs" dxfId="2219" priority="200" operator="equal">
      <formula>""</formula>
    </cfRule>
  </conditionalFormatting>
  <conditionalFormatting sqref="E16:F16">
    <cfRule type="cellIs" dxfId="2218" priority="196" operator="between">
      <formula>2</formula>
      <formula>2.9</formula>
    </cfRule>
  </conditionalFormatting>
  <conditionalFormatting sqref="D16">
    <cfRule type="cellIs" dxfId="2217" priority="193" stopIfTrue="1" operator="between">
      <formula>0.1</formula>
      <formula>1.9</formula>
    </cfRule>
    <cfRule type="cellIs" dxfId="2216" priority="194" stopIfTrue="1" operator="between">
      <formula>3</formula>
      <formula>3.9</formula>
    </cfRule>
    <cfRule type="cellIs" dxfId="2215" priority="195" stopIfTrue="1" operator="between">
      <formula>4</formula>
      <formula>5</formula>
    </cfRule>
  </conditionalFormatting>
  <conditionalFormatting sqref="D16">
    <cfRule type="cellIs" dxfId="2214" priority="192" operator="between">
      <formula>2</formula>
      <formula>2.9</formula>
    </cfRule>
  </conditionalFormatting>
  <conditionalFormatting sqref="D16:F16">
    <cfRule type="cellIs" dxfId="2213" priority="191" operator="equal">
      <formula>""</formula>
    </cfRule>
  </conditionalFormatting>
  <conditionalFormatting sqref="E29:F29">
    <cfRule type="cellIs" dxfId="2212" priority="181" operator="between">
      <formula>2</formula>
      <formula>2.9</formula>
    </cfRule>
  </conditionalFormatting>
  <conditionalFormatting sqref="D29">
    <cfRule type="cellIs" dxfId="2211" priority="178" stopIfTrue="1" operator="between">
      <formula>0.1</formula>
      <formula>1.9</formula>
    </cfRule>
    <cfRule type="cellIs" dxfId="2210" priority="179" stopIfTrue="1" operator="between">
      <formula>3</formula>
      <formula>3.9</formula>
    </cfRule>
    <cfRule type="cellIs" dxfId="2209" priority="180" stopIfTrue="1" operator="between">
      <formula>4</formula>
      <formula>5</formula>
    </cfRule>
  </conditionalFormatting>
  <conditionalFormatting sqref="D29">
    <cfRule type="cellIs" dxfId="2208" priority="175" stopIfTrue="1" operator="between">
      <formula>0.1</formula>
      <formula>1.9</formula>
    </cfRule>
    <cfRule type="cellIs" dxfId="2207" priority="176" stopIfTrue="1" operator="between">
      <formula>3</formula>
      <formula>3.9</formula>
    </cfRule>
    <cfRule type="cellIs" dxfId="2206" priority="177" stopIfTrue="1" operator="between">
      <formula>4</formula>
      <formula>5</formula>
    </cfRule>
  </conditionalFormatting>
  <conditionalFormatting sqref="D29">
    <cfRule type="cellIs" dxfId="2205" priority="174" operator="between">
      <formula>2</formula>
      <formula>2.9</formula>
    </cfRule>
  </conditionalFormatting>
  <conditionalFormatting sqref="E26">
    <cfRule type="cellIs" dxfId="2204" priority="171" stopIfTrue="1" operator="between">
      <formula>0.1</formula>
      <formula>1.9</formula>
    </cfRule>
    <cfRule type="cellIs" dxfId="2203" priority="172" stopIfTrue="1" operator="between">
      <formula>3</formula>
      <formula>3.9</formula>
    </cfRule>
    <cfRule type="cellIs" dxfId="2202" priority="173" stopIfTrue="1" operator="between">
      <formula>4</formula>
      <formula>5</formula>
    </cfRule>
  </conditionalFormatting>
  <conditionalFormatting sqref="E26">
    <cfRule type="cellIs" dxfId="2201" priority="168" stopIfTrue="1" operator="between">
      <formula>0.1</formula>
      <formula>1.9</formula>
    </cfRule>
    <cfRule type="cellIs" dxfId="2200" priority="169" stopIfTrue="1" operator="between">
      <formula>3</formula>
      <formula>3.9</formula>
    </cfRule>
    <cfRule type="cellIs" dxfId="2199" priority="170" stopIfTrue="1" operator="between">
      <formula>4</formula>
      <formula>5</formula>
    </cfRule>
  </conditionalFormatting>
  <conditionalFormatting sqref="E26:F26">
    <cfRule type="cellIs" dxfId="2198" priority="165" stopIfTrue="1" operator="between">
      <formula>0.1</formula>
      <formula>1.9</formula>
    </cfRule>
    <cfRule type="cellIs" dxfId="2197" priority="166" stopIfTrue="1" operator="between">
      <formula>3</formula>
      <formula>3.9</formula>
    </cfRule>
    <cfRule type="cellIs" dxfId="2196" priority="167" stopIfTrue="1" operator="between">
      <formula>4</formula>
      <formula>5</formula>
    </cfRule>
  </conditionalFormatting>
  <conditionalFormatting sqref="D26">
    <cfRule type="cellIs" dxfId="2195" priority="162" stopIfTrue="1" operator="between">
      <formula>0.1</formula>
      <formula>1.9</formula>
    </cfRule>
    <cfRule type="cellIs" dxfId="2194" priority="163" stopIfTrue="1" operator="between">
      <formula>3</formula>
      <formula>3.9</formula>
    </cfRule>
    <cfRule type="cellIs" dxfId="2193" priority="164" stopIfTrue="1" operator="between">
      <formula>4</formula>
      <formula>5</formula>
    </cfRule>
  </conditionalFormatting>
  <conditionalFormatting sqref="E27">
    <cfRule type="cellIs" dxfId="2192" priority="159" stopIfTrue="1" operator="between">
      <formula>0.1</formula>
      <formula>1.9</formula>
    </cfRule>
    <cfRule type="cellIs" dxfId="2191" priority="160" stopIfTrue="1" operator="between">
      <formula>3</formula>
      <formula>3.9</formula>
    </cfRule>
    <cfRule type="cellIs" dxfId="2190" priority="161" stopIfTrue="1" operator="between">
      <formula>4</formula>
      <formula>5</formula>
    </cfRule>
  </conditionalFormatting>
  <conditionalFormatting sqref="E26">
    <cfRule type="cellIs" dxfId="2189" priority="156" stopIfTrue="1" operator="between">
      <formula>0.1</formula>
      <formula>1.9</formula>
    </cfRule>
    <cfRule type="cellIs" dxfId="2188" priority="157" stopIfTrue="1" operator="between">
      <formula>3</formula>
      <formula>3.9</formula>
    </cfRule>
    <cfRule type="cellIs" dxfId="2187" priority="158" stopIfTrue="1" operator="between">
      <formula>4</formula>
      <formula>5</formula>
    </cfRule>
  </conditionalFormatting>
  <conditionalFormatting sqref="E30">
    <cfRule type="cellIs" dxfId="2186" priority="153" stopIfTrue="1" operator="between">
      <formula>0.1</formula>
      <formula>1.9</formula>
    </cfRule>
    <cfRule type="cellIs" dxfId="2185" priority="154" stopIfTrue="1" operator="between">
      <formula>3</formula>
      <formula>3.9</formula>
    </cfRule>
    <cfRule type="cellIs" dxfId="2184" priority="155" stopIfTrue="1" operator="between">
      <formula>4</formula>
      <formula>5</formula>
    </cfRule>
  </conditionalFormatting>
  <conditionalFormatting sqref="G31:H34 H30">
    <cfRule type="cellIs" dxfId="2183" priority="150" stopIfTrue="1" operator="between">
      <formula>0.1</formula>
      <formula>1.9</formula>
    </cfRule>
    <cfRule type="cellIs" dxfId="2182" priority="151" stopIfTrue="1" operator="between">
      <formula>3</formula>
      <formula>3.9</formula>
    </cfRule>
    <cfRule type="cellIs" dxfId="2181" priority="152" stopIfTrue="1" operator="between">
      <formula>4</formula>
      <formula>5</formula>
    </cfRule>
  </conditionalFormatting>
  <conditionalFormatting sqref="G30">
    <cfRule type="cellIs" dxfId="2180" priority="147" stopIfTrue="1" operator="between">
      <formula>0.1</formula>
      <formula>1.9</formula>
    </cfRule>
    <cfRule type="cellIs" dxfId="2179" priority="148" stopIfTrue="1" operator="between">
      <formula>3</formula>
      <formula>3.9</formula>
    </cfRule>
    <cfRule type="cellIs" dxfId="2178" priority="149" stopIfTrue="1" operator="between">
      <formula>4</formula>
      <formula>5</formula>
    </cfRule>
  </conditionalFormatting>
  <conditionalFormatting sqref="G30:H34">
    <cfRule type="cellIs" dxfId="2177" priority="144" stopIfTrue="1" operator="between">
      <formula>0.1</formula>
      <formula>1.9</formula>
    </cfRule>
    <cfRule type="cellIs" dxfId="2176" priority="145" stopIfTrue="1" operator="between">
      <formula>3</formula>
      <formula>3.9</formula>
    </cfRule>
    <cfRule type="cellIs" dxfId="2175" priority="146" stopIfTrue="1" operator="between">
      <formula>4</formula>
      <formula>5</formula>
    </cfRule>
  </conditionalFormatting>
  <conditionalFormatting sqref="G30:H34">
    <cfRule type="cellIs" dxfId="2174" priority="143" operator="between">
      <formula>2</formula>
      <formula>2.9</formula>
    </cfRule>
  </conditionalFormatting>
  <conditionalFormatting sqref="G23:H30">
    <cfRule type="cellIs" dxfId="2173" priority="127" operator="between">
      <formula>2</formula>
      <formula>2.9</formula>
    </cfRule>
  </conditionalFormatting>
  <conditionalFormatting sqref="H26">
    <cfRule type="cellIs" dxfId="2172" priority="124" stopIfTrue="1" operator="between">
      <formula>0.1</formula>
      <formula>1.9</formula>
    </cfRule>
    <cfRule type="cellIs" dxfId="2171" priority="125" stopIfTrue="1" operator="between">
      <formula>3</formula>
      <formula>3.9</formula>
    </cfRule>
    <cfRule type="cellIs" dxfId="2170" priority="126" stopIfTrue="1" operator="between">
      <formula>4</formula>
      <formula>5</formula>
    </cfRule>
  </conditionalFormatting>
  <conditionalFormatting sqref="G26:H26">
    <cfRule type="cellIs" dxfId="2169" priority="121" stopIfTrue="1" operator="between">
      <formula>0.1</formula>
      <formula>1.9</formula>
    </cfRule>
    <cfRule type="cellIs" dxfId="2168" priority="122" stopIfTrue="1" operator="between">
      <formula>3</formula>
      <formula>3.9</formula>
    </cfRule>
    <cfRule type="cellIs" dxfId="2167" priority="123" stopIfTrue="1" operator="between">
      <formula>4</formula>
      <formula>5</formula>
    </cfRule>
  </conditionalFormatting>
  <conditionalFormatting sqref="H27">
    <cfRule type="cellIs" dxfId="2166" priority="118" stopIfTrue="1" operator="between">
      <formula>0.1</formula>
      <formula>1.9</formula>
    </cfRule>
    <cfRule type="cellIs" dxfId="2165" priority="119" stopIfTrue="1" operator="between">
      <formula>3</formula>
      <formula>3.9</formula>
    </cfRule>
    <cfRule type="cellIs" dxfId="2164" priority="120" stopIfTrue="1" operator="between">
      <formula>4</formula>
      <formula>5</formula>
    </cfRule>
  </conditionalFormatting>
  <conditionalFormatting sqref="G23:H34">
    <cfRule type="cellIs" dxfId="2163" priority="105" operator="equal">
      <formula>""</formula>
    </cfRule>
  </conditionalFormatting>
  <conditionalFormatting sqref="H9:H15 H17:H23">
    <cfRule type="cellIs" dxfId="2162" priority="102" stopIfTrue="1" operator="between">
      <formula>0.1</formula>
      <formula>1.9</formula>
    </cfRule>
    <cfRule type="cellIs" dxfId="2161" priority="103" stopIfTrue="1" operator="between">
      <formula>3</formula>
      <formula>3.9</formula>
    </cfRule>
    <cfRule type="cellIs" dxfId="2160" priority="104" stopIfTrue="1" operator="between">
      <formula>4</formula>
      <formula>5</formula>
    </cfRule>
  </conditionalFormatting>
  <conditionalFormatting sqref="G19:H19">
    <cfRule type="cellIs" dxfId="2159" priority="99" stopIfTrue="1" operator="between">
      <formula>0.1</formula>
      <formula>1.9</formula>
    </cfRule>
    <cfRule type="cellIs" dxfId="2158" priority="100" stopIfTrue="1" operator="between">
      <formula>3</formula>
      <formula>3.9</formula>
    </cfRule>
    <cfRule type="cellIs" dxfId="2157" priority="101" stopIfTrue="1" operator="between">
      <formula>4</formula>
      <formula>5</formula>
    </cfRule>
  </conditionalFormatting>
  <conditionalFormatting sqref="G9:H15 G17:G23 H17:H21">
    <cfRule type="cellIs" dxfId="2156" priority="96" stopIfTrue="1" operator="between">
      <formula>0.1</formula>
      <formula>1.9</formula>
    </cfRule>
    <cfRule type="cellIs" dxfId="2155" priority="97" stopIfTrue="1" operator="between">
      <formula>3</formula>
      <formula>3.9</formula>
    </cfRule>
    <cfRule type="cellIs" dxfId="2154" priority="98" stopIfTrue="1" operator="between">
      <formula>4</formula>
      <formula>5</formula>
    </cfRule>
  </conditionalFormatting>
  <conditionalFormatting sqref="G9:H15 G17:H23">
    <cfRule type="cellIs" dxfId="2153" priority="92" operator="between">
      <formula>2</formula>
      <formula>2.9</formula>
    </cfRule>
  </conditionalFormatting>
  <conditionalFormatting sqref="G20:H20">
    <cfRule type="cellIs" dxfId="2152" priority="89" stopIfTrue="1" operator="between">
      <formula>0.1</formula>
      <formula>1.9</formula>
    </cfRule>
    <cfRule type="cellIs" dxfId="2151" priority="90" stopIfTrue="1" operator="between">
      <formula>3</formula>
      <formula>3.9</formula>
    </cfRule>
    <cfRule type="cellIs" dxfId="2150" priority="91" stopIfTrue="1" operator="between">
      <formula>4</formula>
      <formula>5</formula>
    </cfRule>
  </conditionalFormatting>
  <conditionalFormatting sqref="G9:H15 G17:H23">
    <cfRule type="cellIs" dxfId="2149" priority="88" operator="equal">
      <formula>""</formula>
    </cfRule>
  </conditionalFormatting>
  <conditionalFormatting sqref="G31">
    <cfRule type="cellIs" dxfId="2148" priority="85" stopIfTrue="1" operator="between">
      <formula>0.1</formula>
      <formula>1.9</formula>
    </cfRule>
    <cfRule type="cellIs" dxfId="2147" priority="86" stopIfTrue="1" operator="between">
      <formula>3</formula>
      <formula>3.9</formula>
    </cfRule>
    <cfRule type="cellIs" dxfId="2146" priority="87" stopIfTrue="1" operator="between">
      <formula>4</formula>
      <formula>5</formula>
    </cfRule>
  </conditionalFormatting>
  <conditionalFormatting sqref="G26:H26">
    <cfRule type="cellIs" dxfId="2145" priority="82" stopIfTrue="1" operator="between">
      <formula>0.1</formula>
      <formula>1.9</formula>
    </cfRule>
    <cfRule type="cellIs" dxfId="2144" priority="83" stopIfTrue="1" operator="between">
      <formula>3</formula>
      <formula>3.9</formula>
    </cfRule>
    <cfRule type="cellIs" dxfId="2143" priority="84" stopIfTrue="1" operator="between">
      <formula>4</formula>
      <formula>5</formula>
    </cfRule>
  </conditionalFormatting>
  <conditionalFormatting sqref="H27">
    <cfRule type="cellIs" dxfId="2142" priority="79" stopIfTrue="1" operator="between">
      <formula>0.1</formula>
      <formula>1.9</formula>
    </cfRule>
    <cfRule type="cellIs" dxfId="2141" priority="80" stopIfTrue="1" operator="between">
      <formula>3</formula>
      <formula>3.9</formula>
    </cfRule>
    <cfRule type="cellIs" dxfId="2140" priority="81" stopIfTrue="1" operator="between">
      <formula>4</formula>
      <formula>5</formula>
    </cfRule>
  </conditionalFormatting>
  <conditionalFormatting sqref="H16">
    <cfRule type="cellIs" dxfId="2139" priority="48" operator="between">
      <formula>2</formula>
      <formula>2.9</formula>
    </cfRule>
  </conditionalFormatting>
  <conditionalFormatting sqref="H16">
    <cfRule type="cellIs" dxfId="2138" priority="47" operator="equal">
      <formula>""</formula>
    </cfRule>
  </conditionalFormatting>
  <conditionalFormatting sqref="G16">
    <cfRule type="cellIs" dxfId="2137" priority="44" stopIfTrue="1" operator="between">
      <formula>0.1</formula>
      <formula>1.9</formula>
    </cfRule>
    <cfRule type="cellIs" dxfId="2136" priority="45" stopIfTrue="1" operator="between">
      <formula>3</formula>
      <formula>3.9</formula>
    </cfRule>
    <cfRule type="cellIs" dxfId="2135" priority="46" stopIfTrue="1" operator="between">
      <formula>4</formula>
      <formula>5</formula>
    </cfRule>
  </conditionalFormatting>
  <conditionalFormatting sqref="G16">
    <cfRule type="cellIs" dxfId="2134" priority="41" stopIfTrue="1" operator="between">
      <formula>0.1</formula>
      <formula>1.9</formula>
    </cfRule>
    <cfRule type="cellIs" dxfId="2133" priority="42" stopIfTrue="1" operator="between">
      <formula>3</formula>
      <formula>3.9</formula>
    </cfRule>
    <cfRule type="cellIs" dxfId="2132" priority="43" stopIfTrue="1" operator="between">
      <formula>4</formula>
      <formula>5</formula>
    </cfRule>
  </conditionalFormatting>
  <conditionalFormatting sqref="G16">
    <cfRule type="cellIs" dxfId="2131" priority="40" operator="between">
      <formula>2</formula>
      <formula>2.9</formula>
    </cfRule>
  </conditionalFormatting>
  <conditionalFormatting sqref="H16">
    <cfRule type="cellIs" dxfId="2130" priority="37" stopIfTrue="1" operator="between">
      <formula>0.1</formula>
      <formula>1.9</formula>
    </cfRule>
    <cfRule type="cellIs" dxfId="2129" priority="38" stopIfTrue="1" operator="between">
      <formula>3</formula>
      <formula>3.9</formula>
    </cfRule>
    <cfRule type="cellIs" dxfId="2128" priority="39" stopIfTrue="1" operator="between">
      <formula>4</formula>
      <formula>5</formula>
    </cfRule>
  </conditionalFormatting>
  <conditionalFormatting sqref="G16:H16">
    <cfRule type="cellIs" dxfId="2127" priority="34" stopIfTrue="1" operator="between">
      <formula>0.1</formula>
      <formula>1.9</formula>
    </cfRule>
    <cfRule type="cellIs" dxfId="2126" priority="35" stopIfTrue="1" operator="between">
      <formula>3</formula>
      <formula>3.9</formula>
    </cfRule>
    <cfRule type="cellIs" dxfId="2125" priority="36" stopIfTrue="1" operator="between">
      <formula>4</formula>
      <formula>5</formula>
    </cfRule>
  </conditionalFormatting>
  <conditionalFormatting sqref="G16:H16">
    <cfRule type="cellIs" dxfId="2124" priority="33" operator="between">
      <formula>2</formula>
      <formula>2.9</formula>
    </cfRule>
  </conditionalFormatting>
  <conditionalFormatting sqref="G16:H16">
    <cfRule type="cellIs" dxfId="2123" priority="32" operator="equal">
      <formula>""</formula>
    </cfRule>
  </conditionalFormatting>
  <conditionalFormatting sqref="G32">
    <cfRule type="cellIs" dxfId="2122" priority="29" stopIfTrue="1" operator="between">
      <formula>0.1</formula>
      <formula>1.9</formula>
    </cfRule>
    <cfRule type="cellIs" dxfId="2121" priority="30" stopIfTrue="1" operator="between">
      <formula>3</formula>
      <formula>3.9</formula>
    </cfRule>
    <cfRule type="cellIs" dxfId="2120" priority="31" stopIfTrue="1" operator="between">
      <formula>4</formula>
      <formula>5</formula>
    </cfRule>
  </conditionalFormatting>
  <conditionalFormatting sqref="H29">
    <cfRule type="cellIs" dxfId="2119" priority="26" stopIfTrue="1" operator="between">
      <formula>0.1</formula>
      <formula>1.9</formula>
    </cfRule>
    <cfRule type="cellIs" dxfId="2118" priority="27" stopIfTrue="1" operator="between">
      <formula>3</formula>
      <formula>3.9</formula>
    </cfRule>
    <cfRule type="cellIs" dxfId="2117" priority="28" stopIfTrue="1" operator="between">
      <formula>4</formula>
      <formula>5</formula>
    </cfRule>
  </conditionalFormatting>
  <conditionalFormatting sqref="G29:H29">
    <cfRule type="cellIs" dxfId="2116" priority="19" operator="between">
      <formula>2</formula>
      <formula>2.9</formula>
    </cfRule>
  </conditionalFormatting>
  <conditionalFormatting sqref="H26">
    <cfRule type="cellIs" dxfId="2115" priority="16" stopIfTrue="1" operator="between">
      <formula>0.1</formula>
      <formula>1.9</formula>
    </cfRule>
    <cfRule type="cellIs" dxfId="2114" priority="17" stopIfTrue="1" operator="between">
      <formula>3</formula>
      <formula>3.9</formula>
    </cfRule>
    <cfRule type="cellIs" dxfId="2113" priority="18" stopIfTrue="1" operator="between">
      <formula>4</formula>
      <formula>5</formula>
    </cfRule>
  </conditionalFormatting>
  <conditionalFormatting sqref="H26">
    <cfRule type="cellIs" dxfId="2112" priority="13" stopIfTrue="1" operator="between">
      <formula>0.1</formula>
      <formula>1.9</formula>
    </cfRule>
    <cfRule type="cellIs" dxfId="2111" priority="14" stopIfTrue="1" operator="between">
      <formula>3</formula>
      <formula>3.9</formula>
    </cfRule>
    <cfRule type="cellIs" dxfId="2110" priority="15" stopIfTrue="1" operator="between">
      <formula>4</formula>
      <formula>5</formula>
    </cfRule>
  </conditionalFormatting>
  <conditionalFormatting sqref="G26:H26">
    <cfRule type="cellIs" dxfId="2109" priority="10" stopIfTrue="1" operator="between">
      <formula>0.1</formula>
      <formula>1.9</formula>
    </cfRule>
    <cfRule type="cellIs" dxfId="2108" priority="11" stopIfTrue="1" operator="between">
      <formula>3</formula>
      <formula>3.9</formula>
    </cfRule>
    <cfRule type="cellIs" dxfId="2107" priority="12" stopIfTrue="1" operator="between">
      <formula>4</formula>
      <formula>5</formula>
    </cfRule>
  </conditionalFormatting>
  <conditionalFormatting sqref="H27">
    <cfRule type="cellIs" dxfId="2106" priority="7" stopIfTrue="1" operator="between">
      <formula>0.1</formula>
      <formula>1.9</formula>
    </cfRule>
    <cfRule type="cellIs" dxfId="2105" priority="8" stopIfTrue="1" operator="between">
      <formula>3</formula>
      <formula>3.9</formula>
    </cfRule>
    <cfRule type="cellIs" dxfId="2104" priority="9" stopIfTrue="1" operator="between">
      <formula>4</formula>
      <formula>5</formula>
    </cfRule>
  </conditionalFormatting>
  <conditionalFormatting sqref="H26">
    <cfRule type="cellIs" dxfId="2103" priority="4" stopIfTrue="1" operator="between">
      <formula>0.1</formula>
      <formula>1.9</formula>
    </cfRule>
    <cfRule type="cellIs" dxfId="2102" priority="5" stopIfTrue="1" operator="between">
      <formula>3</formula>
      <formula>3.9</formula>
    </cfRule>
    <cfRule type="cellIs" dxfId="2101" priority="6" stopIfTrue="1" operator="between">
      <formula>4</formula>
      <formula>5</formula>
    </cfRule>
  </conditionalFormatting>
  <conditionalFormatting sqref="G30">
    <cfRule type="cellIs" dxfId="2100" priority="1" stopIfTrue="1" operator="between">
      <formula>0.1</formula>
      <formula>1.9</formula>
    </cfRule>
    <cfRule type="cellIs" dxfId="2099" priority="2" stopIfTrue="1" operator="between">
      <formula>3</formula>
      <formula>3.9</formula>
    </cfRule>
    <cfRule type="cellIs" dxfId="2098" priority="3" stopIfTrue="1" operator="between">
      <formula>4</formula>
      <formula>5</formula>
    </cfRule>
  </conditionalFormatting>
  <dataValidations count="1">
    <dataValidation type="list" allowBlank="1" showInputMessage="1" showErrorMessage="1" sqref="O9:Q44" xr:uid="{DBB0F76A-A469-431A-BFC6-7CFCDF92B05B}">
      <formula1>"&lt;1F,1F,2F/1S,"</formula1>
    </dataValidation>
  </dataValidations>
  <pageMargins left="0.54" right="0.26" top="0.49" bottom="0.43" header="0.24" footer="0.24"/>
  <pageSetup paperSize="9" scale="81" orientation="portrait" horizontalDpi="4294967293" r:id="rId1"/>
  <headerFooter alignWithMargins="0">
    <oddHeader>&amp;C&amp;"Comic Sans MS,Standaard"&amp;16Leerrendement</oddHeader>
    <oddFooter>&amp;R© www.meesterharrie.nl</oddFooter>
  </headerFooter>
  <colBreaks count="1" manualBreakCount="1">
    <brk id="17"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9">
    <tabColor rgb="FFCCFFFF"/>
    <pageSetUpPr fitToPage="1"/>
  </sheetPr>
  <dimension ref="A1:AD65"/>
  <sheetViews>
    <sheetView showGridLines="0" showRowColHeaders="0" zoomScale="80" zoomScaleNormal="80" workbookViewId="0">
      <selection activeCell="P30" sqref="P30"/>
    </sheetView>
  </sheetViews>
  <sheetFormatPr defaultColWidth="9.140625" defaultRowHeight="12.75" x14ac:dyDescent="0.2"/>
  <cols>
    <col min="1" max="1" width="9.140625" style="2"/>
    <col min="2" max="2" width="4" style="6" bestFit="1" customWidth="1"/>
    <col min="3" max="3" width="20.85546875" style="5" customWidth="1"/>
    <col min="4" max="8" width="5.85546875" style="3" customWidth="1"/>
    <col min="9" max="10" width="5.85546875" style="3" hidden="1" customWidth="1"/>
    <col min="11" max="13" width="5.85546875" style="3" customWidth="1"/>
    <col min="14" max="17" width="5.85546875" style="728" customWidth="1"/>
    <col min="18" max="18" width="9.140625" style="2" customWidth="1"/>
    <col min="19" max="19" width="4" style="6" bestFit="1" customWidth="1"/>
    <col min="20" max="20" width="20.85546875" style="5" customWidth="1"/>
    <col min="21" max="25" width="5.85546875" style="3" customWidth="1"/>
    <col min="26" max="27" width="5.85546875" style="3" hidden="1" customWidth="1"/>
    <col min="28" max="30" width="5.85546875" style="3" customWidth="1"/>
    <col min="31" max="16384" width="9.140625" style="2"/>
  </cols>
  <sheetData>
    <row r="1" spans="1:30" ht="15.75" thickBot="1" x14ac:dyDescent="0.25">
      <c r="A1" s="429"/>
      <c r="B1" s="697"/>
      <c r="C1" s="58"/>
      <c r="D1" s="698"/>
      <c r="E1" s="698"/>
      <c r="F1" s="698"/>
      <c r="G1" s="698"/>
      <c r="H1" s="698"/>
      <c r="I1" s="698"/>
      <c r="J1" s="698"/>
      <c r="K1" s="698"/>
      <c r="L1" s="698"/>
      <c r="M1" s="698"/>
      <c r="N1" s="726"/>
      <c r="O1" s="726"/>
      <c r="P1" s="726"/>
      <c r="Q1" s="726"/>
      <c r="R1" s="429"/>
      <c r="S1" s="697"/>
      <c r="T1" s="58"/>
      <c r="U1" s="698"/>
      <c r="V1" s="698"/>
      <c r="W1" s="698"/>
      <c r="X1" s="698"/>
      <c r="Y1" s="698"/>
      <c r="Z1" s="698"/>
      <c r="AA1" s="698"/>
      <c r="AB1" s="445" t="s">
        <v>37</v>
      </c>
      <c r="AC1" s="698"/>
      <c r="AD1" s="698"/>
    </row>
    <row r="2" spans="1:30" ht="30.75" thickBot="1" x14ac:dyDescent="0.25">
      <c r="A2" s="429"/>
      <c r="B2" s="697"/>
      <c r="C2" s="442" t="s">
        <v>38</v>
      </c>
      <c r="D2" s="938">
        <f>BEGINBLAD!$I$2</f>
        <v>0</v>
      </c>
      <c r="E2" s="939"/>
      <c r="F2" s="939"/>
      <c r="G2" s="939"/>
      <c r="H2" s="940"/>
      <c r="I2" s="698"/>
      <c r="J2" s="698"/>
      <c r="K2" s="698"/>
      <c r="L2" s="698"/>
      <c r="M2" s="698"/>
      <c r="N2" s="726"/>
      <c r="O2" s="941" t="s">
        <v>449</v>
      </c>
      <c r="P2" s="942"/>
      <c r="Q2" s="943"/>
      <c r="R2" s="429"/>
      <c r="S2" s="697"/>
      <c r="T2" s="441" t="s">
        <v>39</v>
      </c>
      <c r="U2" s="448">
        <v>56</v>
      </c>
      <c r="V2" s="448">
        <v>56</v>
      </c>
      <c r="W2" s="448">
        <v>56</v>
      </c>
      <c r="X2" s="448">
        <v>56</v>
      </c>
      <c r="Y2" s="448">
        <v>56</v>
      </c>
      <c r="Z2" s="698"/>
      <c r="AA2" s="698"/>
      <c r="AB2" s="443">
        <f>AVERAGE(U2:AA2)</f>
        <v>56</v>
      </c>
      <c r="AC2" s="698"/>
      <c r="AD2" s="698"/>
    </row>
    <row r="3" spans="1:30" ht="21" hidden="1" x14ac:dyDescent="0.2">
      <c r="A3" s="429"/>
      <c r="B3" s="697"/>
      <c r="C3" s="8"/>
      <c r="D3" s="440"/>
      <c r="E3" s="440"/>
      <c r="F3" s="440"/>
      <c r="G3" s="440"/>
      <c r="H3" s="440"/>
      <c r="I3" s="698"/>
      <c r="J3" s="698"/>
      <c r="K3" s="698"/>
      <c r="L3" s="698"/>
      <c r="M3" s="698"/>
      <c r="N3" s="726"/>
      <c r="O3" s="944"/>
      <c r="P3" s="945"/>
      <c r="Q3" s="946"/>
      <c r="R3" s="429"/>
      <c r="S3" s="697"/>
      <c r="T3" s="436"/>
      <c r="U3" s="440">
        <f>U2+5</f>
        <v>61</v>
      </c>
      <c r="V3" s="440">
        <f t="shared" ref="V3:Y3" si="0">V2+5</f>
        <v>61</v>
      </c>
      <c r="W3" s="440">
        <f t="shared" si="0"/>
        <v>61</v>
      </c>
      <c r="X3" s="440">
        <f t="shared" si="0"/>
        <v>61</v>
      </c>
      <c r="Y3" s="440">
        <f t="shared" si="0"/>
        <v>61</v>
      </c>
      <c r="Z3" s="698"/>
      <c r="AA3" s="698"/>
      <c r="AB3" s="698"/>
      <c r="AC3" s="698"/>
      <c r="AD3" s="698"/>
    </row>
    <row r="4" spans="1:30" ht="21" hidden="1" x14ac:dyDescent="0.2">
      <c r="A4" s="429"/>
      <c r="B4" s="697"/>
      <c r="C4" s="8"/>
      <c r="D4" s="440"/>
      <c r="E4" s="440"/>
      <c r="F4" s="440"/>
      <c r="G4" s="440"/>
      <c r="H4" s="440"/>
      <c r="I4" s="698"/>
      <c r="J4" s="698"/>
      <c r="K4" s="698"/>
      <c r="L4" s="698"/>
      <c r="M4" s="698"/>
      <c r="N4" s="726"/>
      <c r="O4" s="944"/>
      <c r="P4" s="945"/>
      <c r="Q4" s="946"/>
      <c r="R4" s="429"/>
      <c r="S4" s="697"/>
      <c r="T4" s="436"/>
      <c r="U4" s="440">
        <f>U2-5</f>
        <v>51</v>
      </c>
      <c r="V4" s="440">
        <f t="shared" ref="V4:Y4" si="1">V2-5</f>
        <v>51</v>
      </c>
      <c r="W4" s="440">
        <f t="shared" si="1"/>
        <v>51</v>
      </c>
      <c r="X4" s="440">
        <f t="shared" si="1"/>
        <v>51</v>
      </c>
      <c r="Y4" s="440">
        <f t="shared" si="1"/>
        <v>51</v>
      </c>
      <c r="Z4" s="698"/>
      <c r="AA4" s="698"/>
      <c r="AB4" s="698"/>
      <c r="AC4" s="698"/>
      <c r="AD4" s="698"/>
    </row>
    <row r="5" spans="1:30" x14ac:dyDescent="0.2">
      <c r="A5" s="429"/>
      <c r="B5" s="697"/>
      <c r="C5" s="58" t="s">
        <v>40</v>
      </c>
      <c r="D5" s="698"/>
      <c r="E5" s="698"/>
      <c r="F5" s="698"/>
      <c r="G5" s="698"/>
      <c r="H5" s="698"/>
      <c r="I5" s="698"/>
      <c r="J5" s="698"/>
      <c r="K5" s="698"/>
      <c r="L5" s="698"/>
      <c r="M5" s="698"/>
      <c r="N5" s="726"/>
      <c r="O5" s="944"/>
      <c r="P5" s="945"/>
      <c r="Q5" s="946"/>
      <c r="R5" s="429"/>
      <c r="S5" s="697"/>
      <c r="T5" s="58" t="s">
        <v>41</v>
      </c>
      <c r="U5" s="698"/>
      <c r="V5" s="698"/>
      <c r="W5" s="698"/>
      <c r="X5" s="698"/>
      <c r="Y5" s="698"/>
      <c r="Z5" s="698"/>
      <c r="AA5" s="698"/>
      <c r="AB5" s="698"/>
      <c r="AC5" s="698"/>
      <c r="AD5" s="698"/>
    </row>
    <row r="6" spans="1:30" ht="60" customHeight="1" thickBot="1" x14ac:dyDescent="0.25">
      <c r="A6" s="429"/>
      <c r="B6" s="697"/>
      <c r="C6" s="14" t="s">
        <v>42</v>
      </c>
      <c r="D6" s="188"/>
      <c r="E6" s="188"/>
      <c r="F6" s="188"/>
      <c r="G6" s="188"/>
      <c r="H6" s="188"/>
      <c r="I6" s="698"/>
      <c r="J6" s="698"/>
      <c r="K6" s="698"/>
      <c r="L6" s="698"/>
      <c r="M6" s="698"/>
      <c r="N6" s="726"/>
      <c r="O6" s="947"/>
      <c r="P6" s="948"/>
      <c r="Q6" s="949"/>
      <c r="R6" s="429"/>
      <c r="S6" s="697"/>
      <c r="T6" s="14" t="s">
        <v>42</v>
      </c>
      <c r="U6" s="188"/>
      <c r="V6" s="188"/>
      <c r="W6" s="188"/>
      <c r="X6" s="188"/>
      <c r="Y6" s="188"/>
      <c r="Z6" s="698"/>
      <c r="AA6" s="698"/>
      <c r="AB6" s="698"/>
      <c r="AC6" s="698"/>
      <c r="AD6" s="698"/>
    </row>
    <row r="7" spans="1:30" ht="5.0999999999999996" customHeight="1" x14ac:dyDescent="0.2">
      <c r="A7" s="429"/>
      <c r="B7" s="697"/>
      <c r="C7" s="7"/>
      <c r="D7" s="705"/>
      <c r="E7" s="706"/>
      <c r="F7" s="706"/>
      <c r="G7" s="706"/>
      <c r="H7" s="706"/>
      <c r="I7" s="707"/>
      <c r="J7" s="707"/>
      <c r="K7" s="698"/>
      <c r="L7" s="698"/>
      <c r="M7" s="698"/>
      <c r="N7" s="726"/>
      <c r="O7" s="726"/>
      <c r="P7" s="726"/>
      <c r="Q7" s="726"/>
      <c r="R7" s="429"/>
      <c r="S7" s="697"/>
      <c r="T7" s="7"/>
      <c r="U7" s="698"/>
      <c r="V7" s="698"/>
      <c r="W7" s="698"/>
      <c r="X7" s="698"/>
      <c r="Y7" s="698"/>
      <c r="Z7" s="698"/>
      <c r="AA7" s="698"/>
      <c r="AB7" s="698"/>
      <c r="AC7" s="698"/>
      <c r="AD7" s="698"/>
    </row>
    <row r="8" spans="1:30" ht="106.5" x14ac:dyDescent="0.2">
      <c r="A8" s="19" t="s">
        <v>43</v>
      </c>
      <c r="B8" s="699"/>
      <c r="C8" s="700" t="s">
        <v>44</v>
      </c>
      <c r="D8" s="189" t="s">
        <v>45</v>
      </c>
      <c r="E8" s="189" t="s">
        <v>46</v>
      </c>
      <c r="F8" s="189" t="s">
        <v>47</v>
      </c>
      <c r="G8" s="189" t="s">
        <v>48</v>
      </c>
      <c r="H8" s="189" t="s">
        <v>49</v>
      </c>
      <c r="I8" s="189" t="s">
        <v>50</v>
      </c>
      <c r="J8" s="189" t="s">
        <v>51</v>
      </c>
      <c r="K8" s="701"/>
      <c r="L8" s="41" t="s">
        <v>52</v>
      </c>
      <c r="M8" s="41" t="s">
        <v>53</v>
      </c>
      <c r="N8" s="15"/>
      <c r="O8" s="41" t="s">
        <v>451</v>
      </c>
      <c r="P8" s="41" t="s">
        <v>450</v>
      </c>
      <c r="Q8" s="41" t="s">
        <v>452</v>
      </c>
      <c r="R8" s="19" t="s">
        <v>43</v>
      </c>
      <c r="S8" s="699"/>
      <c r="T8" s="700" t="s">
        <v>44</v>
      </c>
      <c r="U8" s="189" t="s">
        <v>45</v>
      </c>
      <c r="V8" s="189" t="s">
        <v>46</v>
      </c>
      <c r="W8" s="189" t="s">
        <v>47</v>
      </c>
      <c r="X8" s="189" t="s">
        <v>48</v>
      </c>
      <c r="Y8" s="189" t="s">
        <v>49</v>
      </c>
      <c r="Z8" s="189" t="s">
        <v>50</v>
      </c>
      <c r="AA8" s="189" t="s">
        <v>51</v>
      </c>
      <c r="AB8" s="701"/>
      <c r="AC8" s="41" t="s">
        <v>52</v>
      </c>
      <c r="AD8" s="41" t="s">
        <v>54</v>
      </c>
    </row>
    <row r="9" spans="1:30" s="4" customFormat="1" ht="19.5" customHeight="1" x14ac:dyDescent="0.2">
      <c r="A9" s="17">
        <f>BEGINBLAD!D4</f>
        <v>0</v>
      </c>
      <c r="B9" s="40">
        <v>1</v>
      </c>
      <c r="C9" s="702" t="str">
        <f>BEGINBLAD!C4</f>
        <v>leelring 1</v>
      </c>
      <c r="D9" s="32"/>
      <c r="E9" s="32">
        <v>4</v>
      </c>
      <c r="F9" s="32">
        <v>4.8</v>
      </c>
      <c r="G9" s="773">
        <v>4.8</v>
      </c>
      <c r="H9" s="34">
        <v>2.9</v>
      </c>
      <c r="I9" s="444">
        <f t="shared" ref="I9:I44" si="2">SUM(D9:H9)</f>
        <v>16.5</v>
      </c>
      <c r="J9" s="444">
        <f t="shared" ref="J9:J44" si="3">COUNTA(D9:H9)</f>
        <v>4</v>
      </c>
      <c r="K9" s="10"/>
      <c r="L9" s="42">
        <f t="shared" ref="L9:L44" si="4">IF(J9=0,"",IF(J9&gt;0,I9/J9))</f>
        <v>4.125</v>
      </c>
      <c r="M9" s="42" t="str">
        <f>IF(L9="","",IF(L9&gt;4.5,"A-1+",IF(L9&gt;4.2,"A-1",IF(L9&gt;=4,"A-2",IF(L9&gt;3.3,"B-2",IF(L9&gt;=3,"B-3",IF(L9&gt;2.4,"C-3",IF(L9&gt;=2,"C-4",IF(L9&gt;1.5,"D-4",IF(L9&gt;=1,"D-5",IF(L9&gt;0.5,"E-5",IF(L9&gt;=0,"E-5-"))))))))))))</f>
        <v>A-2</v>
      </c>
      <c r="N9" s="13"/>
      <c r="O9" s="729" t="s">
        <v>455</v>
      </c>
      <c r="P9" s="729" t="s">
        <v>453</v>
      </c>
      <c r="Q9" s="729" t="s">
        <v>455</v>
      </c>
      <c r="R9" s="17">
        <f>BEGINBLAD!D4</f>
        <v>0</v>
      </c>
      <c r="S9" s="40">
        <v>1</v>
      </c>
      <c r="T9" s="702" t="str">
        <f>BEGINBLAD!C4</f>
        <v>leelring 1</v>
      </c>
      <c r="U9" s="437">
        <v>60</v>
      </c>
      <c r="V9" s="437">
        <v>55</v>
      </c>
      <c r="W9" s="437">
        <v>55</v>
      </c>
      <c r="X9" s="437">
        <v>60</v>
      </c>
      <c r="Y9" s="437">
        <v>65</v>
      </c>
      <c r="Z9" s="444">
        <f t="shared" ref="Z9:Z44" si="5">SUM(U9:Y9)</f>
        <v>295</v>
      </c>
      <c r="AA9" s="444">
        <f t="shared" ref="AA9:AA44" si="6">COUNTA(U9:Y9)</f>
        <v>5</v>
      </c>
      <c r="AB9" s="10"/>
      <c r="AC9" s="447">
        <f t="shared" ref="AC9:AC44" si="7">IF(AA9=0,"",IF(AA9&gt;0,Z9/AA9))</f>
        <v>59</v>
      </c>
      <c r="AD9" s="446">
        <f>IF(AA9=0,"",IF(AA9&gt;0,AC9/AB$2))</f>
        <v>1.0535714285714286</v>
      </c>
    </row>
    <row r="10" spans="1:30" ht="19.5" customHeight="1" x14ac:dyDescent="0.2">
      <c r="A10" s="18">
        <f>BEGINBLAD!D5</f>
        <v>0</v>
      </c>
      <c r="B10" s="40">
        <v>2</v>
      </c>
      <c r="C10" s="702" t="str">
        <f>BEGINBLAD!C5</f>
        <v>leerling 2</v>
      </c>
      <c r="D10" s="35"/>
      <c r="E10" s="35">
        <v>4.3</v>
      </c>
      <c r="F10" s="34">
        <v>1.6</v>
      </c>
      <c r="G10" s="773">
        <v>4.8</v>
      </c>
      <c r="H10" s="34">
        <v>3.6</v>
      </c>
      <c r="I10" s="444">
        <f t="shared" si="2"/>
        <v>14.299999999999999</v>
      </c>
      <c r="J10" s="444">
        <f t="shared" si="3"/>
        <v>4</v>
      </c>
      <c r="K10" s="10"/>
      <c r="L10" s="42">
        <f t="shared" si="4"/>
        <v>3.5749999999999997</v>
      </c>
      <c r="M10" s="42" t="str">
        <f t="shared" ref="M10:M44" si="8">IF(L10="","",IF(L10&gt;4.5,"A-1+",IF(L10&gt;4.2,"A-1",IF(L10&gt;=4,"A-2",IF(L10&gt;3.3,"B-2",IF(L10&gt;=3,"B-3",IF(L10&gt;2.4,"C-3",IF(L10&gt;=2,"C-4",IF(L10&gt;1.5,"D-4",IF(L10&gt;=1,"D-5",IF(L10&gt;0.5,"E-5",IF(L10&gt;=0,"E-5-"))))))))))))</f>
        <v>B-2</v>
      </c>
      <c r="N10" s="13"/>
      <c r="O10" s="729" t="s">
        <v>526</v>
      </c>
      <c r="P10" s="729" t="s">
        <v>455</v>
      </c>
      <c r="Q10" s="729" t="s">
        <v>455</v>
      </c>
      <c r="R10" s="17">
        <f>BEGINBLAD!D5</f>
        <v>0</v>
      </c>
      <c r="S10" s="40">
        <v>2</v>
      </c>
      <c r="T10" s="702" t="str">
        <f>BEGINBLAD!C5</f>
        <v>leerling 2</v>
      </c>
      <c r="U10" s="437"/>
      <c r="V10" s="437"/>
      <c r="W10" s="437"/>
      <c r="X10" s="437"/>
      <c r="Y10" s="437"/>
      <c r="Z10" s="444">
        <f t="shared" si="5"/>
        <v>0</v>
      </c>
      <c r="AA10" s="444">
        <f t="shared" si="6"/>
        <v>0</v>
      </c>
      <c r="AB10" s="10"/>
      <c r="AC10" s="447" t="str">
        <f t="shared" si="7"/>
        <v/>
      </c>
      <c r="AD10" s="446" t="str">
        <f t="shared" ref="AD10:AD44" si="9">IF(AA10=0,"",IF(AA10&gt;0,AC10/AB$2))</f>
        <v/>
      </c>
    </row>
    <row r="11" spans="1:30" s="4" customFormat="1" ht="19.5" customHeight="1" x14ac:dyDescent="0.2">
      <c r="A11" s="17">
        <f>BEGINBLAD!D6</f>
        <v>0</v>
      </c>
      <c r="B11" s="40">
        <v>3</v>
      </c>
      <c r="C11" s="702" t="str">
        <f>BEGINBLAD!C6</f>
        <v>leerling 3</v>
      </c>
      <c r="D11" s="32"/>
      <c r="E11" s="32">
        <v>4</v>
      </c>
      <c r="F11" s="32">
        <v>1.1000000000000001</v>
      </c>
      <c r="G11" s="773">
        <v>4</v>
      </c>
      <c r="H11" s="34">
        <v>2.1</v>
      </c>
      <c r="I11" s="444">
        <f t="shared" si="2"/>
        <v>11.2</v>
      </c>
      <c r="J11" s="444">
        <f t="shared" si="3"/>
        <v>4</v>
      </c>
      <c r="K11" s="10"/>
      <c r="L11" s="42">
        <f t="shared" si="4"/>
        <v>2.8</v>
      </c>
      <c r="M11" s="42" t="str">
        <f t="shared" si="8"/>
        <v>C-3</v>
      </c>
      <c r="N11" s="13"/>
      <c r="O11" s="729" t="s">
        <v>526</v>
      </c>
      <c r="P11" s="729" t="s">
        <v>453</v>
      </c>
      <c r="Q11" s="729" t="s">
        <v>453</v>
      </c>
      <c r="R11" s="17">
        <f>BEGINBLAD!D6</f>
        <v>0</v>
      </c>
      <c r="S11" s="40">
        <v>3</v>
      </c>
      <c r="T11" s="702" t="str">
        <f>BEGINBLAD!C6</f>
        <v>leerling 3</v>
      </c>
      <c r="U11" s="437"/>
      <c r="V11" s="437"/>
      <c r="W11" s="437"/>
      <c r="X11" s="437"/>
      <c r="Y11" s="437"/>
      <c r="Z11" s="444">
        <f t="shared" si="5"/>
        <v>0</v>
      </c>
      <c r="AA11" s="444">
        <f t="shared" si="6"/>
        <v>0</v>
      </c>
      <c r="AB11" s="10"/>
      <c r="AC11" s="447" t="str">
        <f t="shared" si="7"/>
        <v/>
      </c>
      <c r="AD11" s="446" t="str">
        <f t="shared" si="9"/>
        <v/>
      </c>
    </row>
    <row r="12" spans="1:30" ht="19.5" customHeight="1" x14ac:dyDescent="0.2">
      <c r="A12" s="18">
        <f>BEGINBLAD!D7</f>
        <v>0</v>
      </c>
      <c r="B12" s="40">
        <v>4</v>
      </c>
      <c r="C12" s="702" t="str">
        <f>BEGINBLAD!C7</f>
        <v>leerling 4</v>
      </c>
      <c r="D12" s="34"/>
      <c r="E12" s="32">
        <v>3.8</v>
      </c>
      <c r="F12" s="35">
        <v>3.3</v>
      </c>
      <c r="G12" s="773">
        <v>2.9</v>
      </c>
      <c r="H12" s="35">
        <v>3.2</v>
      </c>
      <c r="I12" s="444">
        <f t="shared" si="2"/>
        <v>13.2</v>
      </c>
      <c r="J12" s="444">
        <f t="shared" si="3"/>
        <v>4</v>
      </c>
      <c r="K12" s="10"/>
      <c r="L12" s="42">
        <f t="shared" si="4"/>
        <v>3.3</v>
      </c>
      <c r="M12" s="42" t="str">
        <f t="shared" si="8"/>
        <v>B-3</v>
      </c>
      <c r="N12" s="13"/>
      <c r="O12" s="729" t="s">
        <v>453</v>
      </c>
      <c r="P12" s="729" t="s">
        <v>453</v>
      </c>
      <c r="Q12" s="729" t="s">
        <v>453</v>
      </c>
      <c r="R12" s="17">
        <f>BEGINBLAD!D7</f>
        <v>0</v>
      </c>
      <c r="S12" s="40">
        <v>4</v>
      </c>
      <c r="T12" s="702" t="str">
        <f>BEGINBLAD!C7</f>
        <v>leerling 4</v>
      </c>
      <c r="U12" s="437"/>
      <c r="V12" s="437"/>
      <c r="W12" s="437"/>
      <c r="X12" s="437"/>
      <c r="Y12" s="437"/>
      <c r="Z12" s="444">
        <f t="shared" si="5"/>
        <v>0</v>
      </c>
      <c r="AA12" s="444">
        <f t="shared" si="6"/>
        <v>0</v>
      </c>
      <c r="AB12" s="10"/>
      <c r="AC12" s="447" t="str">
        <f t="shared" si="7"/>
        <v/>
      </c>
      <c r="AD12" s="446" t="str">
        <f t="shared" si="9"/>
        <v/>
      </c>
    </row>
    <row r="13" spans="1:30" s="4" customFormat="1" ht="19.5" customHeight="1" x14ac:dyDescent="0.2">
      <c r="A13" s="17">
        <f>BEGINBLAD!D8</f>
        <v>0</v>
      </c>
      <c r="B13" s="40">
        <v>5</v>
      </c>
      <c r="C13" s="702" t="str">
        <f>BEGINBLAD!C8</f>
        <v>leerling 5</v>
      </c>
      <c r="D13" s="34"/>
      <c r="E13" s="32">
        <v>3.8</v>
      </c>
      <c r="F13" s="35">
        <v>4</v>
      </c>
      <c r="G13" s="774">
        <v>3.5</v>
      </c>
      <c r="H13" s="32">
        <v>4.3</v>
      </c>
      <c r="I13" s="444">
        <f t="shared" si="2"/>
        <v>15.600000000000001</v>
      </c>
      <c r="J13" s="444">
        <f t="shared" si="3"/>
        <v>4</v>
      </c>
      <c r="K13" s="10"/>
      <c r="L13" s="42">
        <f t="shared" si="4"/>
        <v>3.9000000000000004</v>
      </c>
      <c r="M13" s="42" t="str">
        <f t="shared" si="8"/>
        <v>B-2</v>
      </c>
      <c r="N13" s="13"/>
      <c r="O13" s="729" t="s">
        <v>453</v>
      </c>
      <c r="P13" s="729" t="s">
        <v>453</v>
      </c>
      <c r="Q13" s="729" t="s">
        <v>453</v>
      </c>
      <c r="R13" s="17">
        <f>BEGINBLAD!D8</f>
        <v>0</v>
      </c>
      <c r="S13" s="40">
        <v>5</v>
      </c>
      <c r="T13" s="702" t="str">
        <f>BEGINBLAD!C8</f>
        <v>leerling 5</v>
      </c>
      <c r="U13" s="437"/>
      <c r="V13" s="437"/>
      <c r="W13" s="437"/>
      <c r="X13" s="437"/>
      <c r="Y13" s="437"/>
      <c r="Z13" s="444">
        <f t="shared" si="5"/>
        <v>0</v>
      </c>
      <c r="AA13" s="444">
        <f t="shared" si="6"/>
        <v>0</v>
      </c>
      <c r="AB13" s="10"/>
      <c r="AC13" s="447" t="str">
        <f t="shared" si="7"/>
        <v/>
      </c>
      <c r="AD13" s="446" t="str">
        <f t="shared" si="9"/>
        <v/>
      </c>
    </row>
    <row r="14" spans="1:30" ht="19.5" customHeight="1" x14ac:dyDescent="0.2">
      <c r="A14" s="18">
        <f>BEGINBLAD!D9</f>
        <v>0</v>
      </c>
      <c r="B14" s="40">
        <v>6</v>
      </c>
      <c r="C14" s="702" t="str">
        <f>BEGINBLAD!C9</f>
        <v>leerling 6</v>
      </c>
      <c r="D14" s="33"/>
      <c r="E14" s="35">
        <v>1.1000000000000001</v>
      </c>
      <c r="F14" s="34">
        <v>2.2999999999999998</v>
      </c>
      <c r="G14" s="775">
        <v>1.7</v>
      </c>
      <c r="H14" s="35">
        <v>0.4</v>
      </c>
      <c r="I14" s="444">
        <f t="shared" si="2"/>
        <v>5.5</v>
      </c>
      <c r="J14" s="444">
        <f t="shared" si="3"/>
        <v>4</v>
      </c>
      <c r="K14" s="10"/>
      <c r="L14" s="42">
        <f t="shared" si="4"/>
        <v>1.375</v>
      </c>
      <c r="M14" s="42" t="str">
        <f t="shared" si="8"/>
        <v>D-5</v>
      </c>
      <c r="N14" s="13"/>
      <c r="O14" s="729" t="s">
        <v>453</v>
      </c>
      <c r="P14" s="729" t="s">
        <v>526</v>
      </c>
      <c r="Q14" s="729" t="s">
        <v>526</v>
      </c>
      <c r="R14" s="17">
        <f>BEGINBLAD!D9</f>
        <v>0</v>
      </c>
      <c r="S14" s="40">
        <v>6</v>
      </c>
      <c r="T14" s="702" t="str">
        <f>BEGINBLAD!C9</f>
        <v>leerling 6</v>
      </c>
      <c r="U14" s="437"/>
      <c r="V14" s="437"/>
      <c r="W14" s="437"/>
      <c r="X14" s="437"/>
      <c r="Y14" s="437"/>
      <c r="Z14" s="444">
        <f t="shared" si="5"/>
        <v>0</v>
      </c>
      <c r="AA14" s="444">
        <f t="shared" si="6"/>
        <v>0</v>
      </c>
      <c r="AB14" s="10"/>
      <c r="AC14" s="447" t="str">
        <f t="shared" si="7"/>
        <v/>
      </c>
      <c r="AD14" s="446" t="str">
        <f t="shared" si="9"/>
        <v/>
      </c>
    </row>
    <row r="15" spans="1:30" s="4" customFormat="1" ht="19.5" customHeight="1" x14ac:dyDescent="0.2">
      <c r="A15" s="17">
        <f>BEGINBLAD!D10</f>
        <v>0</v>
      </c>
      <c r="B15" s="40">
        <v>7</v>
      </c>
      <c r="C15" s="702" t="str">
        <f>BEGINBLAD!C10</f>
        <v>leerling 7</v>
      </c>
      <c r="D15" s="36"/>
      <c r="E15" s="32">
        <v>4.8</v>
      </c>
      <c r="F15" s="33">
        <v>1.1000000000000001</v>
      </c>
      <c r="G15" s="776">
        <v>2.6</v>
      </c>
      <c r="H15" s="33">
        <v>2</v>
      </c>
      <c r="I15" s="444">
        <f t="shared" si="2"/>
        <v>10.5</v>
      </c>
      <c r="J15" s="444">
        <f t="shared" si="3"/>
        <v>4</v>
      </c>
      <c r="K15" s="10"/>
      <c r="L15" s="42">
        <f t="shared" si="4"/>
        <v>2.625</v>
      </c>
      <c r="M15" s="42" t="str">
        <f t="shared" si="8"/>
        <v>C-3</v>
      </c>
      <c r="N15" s="13"/>
      <c r="O15" s="729" t="s">
        <v>526</v>
      </c>
      <c r="P15" s="729" t="s">
        <v>455</v>
      </c>
      <c r="Q15" s="729" t="s">
        <v>526</v>
      </c>
      <c r="R15" s="17">
        <f>BEGINBLAD!D10</f>
        <v>0</v>
      </c>
      <c r="S15" s="40">
        <v>7</v>
      </c>
      <c r="T15" s="702" t="str">
        <f>BEGINBLAD!C10</f>
        <v>leerling 7</v>
      </c>
      <c r="U15" s="437"/>
      <c r="V15" s="437"/>
      <c r="W15" s="437"/>
      <c r="X15" s="437"/>
      <c r="Y15" s="437"/>
      <c r="Z15" s="444">
        <f t="shared" si="5"/>
        <v>0</v>
      </c>
      <c r="AA15" s="444">
        <f t="shared" si="6"/>
        <v>0</v>
      </c>
      <c r="AB15" s="10"/>
      <c r="AC15" s="447" t="str">
        <f t="shared" si="7"/>
        <v/>
      </c>
      <c r="AD15" s="446" t="str">
        <f t="shared" si="9"/>
        <v/>
      </c>
    </row>
    <row r="16" spans="1:30" ht="19.5" customHeight="1" x14ac:dyDescent="0.2">
      <c r="A16" s="18">
        <f>BEGINBLAD!D11</f>
        <v>0</v>
      </c>
      <c r="B16" s="40">
        <v>8</v>
      </c>
      <c r="C16" s="702" t="str">
        <f>BEGINBLAD!C11</f>
        <v>leerling 8</v>
      </c>
      <c r="D16" s="32"/>
      <c r="E16" s="32">
        <v>4.7</v>
      </c>
      <c r="F16" s="32">
        <v>4</v>
      </c>
      <c r="G16" s="776">
        <v>4.2</v>
      </c>
      <c r="H16" s="32">
        <v>4.2</v>
      </c>
      <c r="I16" s="444">
        <f t="shared" si="2"/>
        <v>17.099999999999998</v>
      </c>
      <c r="J16" s="444">
        <f t="shared" si="3"/>
        <v>4</v>
      </c>
      <c r="K16" s="10"/>
      <c r="L16" s="42">
        <f t="shared" si="4"/>
        <v>4.2749999999999995</v>
      </c>
      <c r="M16" s="42" t="str">
        <f t="shared" si="8"/>
        <v>A-1</v>
      </c>
      <c r="N16" s="13"/>
      <c r="O16" s="729" t="s">
        <v>453</v>
      </c>
      <c r="P16" s="729" t="s">
        <v>455</v>
      </c>
      <c r="Q16" s="729" t="s">
        <v>453</v>
      </c>
      <c r="R16" s="17">
        <f>BEGINBLAD!D11</f>
        <v>0</v>
      </c>
      <c r="S16" s="40">
        <v>8</v>
      </c>
      <c r="T16" s="702" t="str">
        <f>BEGINBLAD!C11</f>
        <v>leerling 8</v>
      </c>
      <c r="U16" s="437"/>
      <c r="V16" s="437"/>
      <c r="W16" s="437"/>
      <c r="X16" s="437"/>
      <c r="Y16" s="437"/>
      <c r="Z16" s="444">
        <f t="shared" si="5"/>
        <v>0</v>
      </c>
      <c r="AA16" s="444">
        <f t="shared" si="6"/>
        <v>0</v>
      </c>
      <c r="AB16" s="10"/>
      <c r="AC16" s="447" t="str">
        <f t="shared" si="7"/>
        <v/>
      </c>
      <c r="AD16" s="446" t="str">
        <f t="shared" si="9"/>
        <v/>
      </c>
    </row>
    <row r="17" spans="1:30" s="4" customFormat="1" ht="19.5" customHeight="1" x14ac:dyDescent="0.2">
      <c r="A17" s="17">
        <f>BEGINBLAD!D12</f>
        <v>0</v>
      </c>
      <c r="B17" s="40">
        <v>9</v>
      </c>
      <c r="C17" s="702" t="str">
        <f>BEGINBLAD!C12</f>
        <v>leerling 9</v>
      </c>
      <c r="D17" s="34"/>
      <c r="E17" s="32">
        <v>2.5</v>
      </c>
      <c r="F17" s="34">
        <v>1.9</v>
      </c>
      <c r="G17" s="774">
        <v>3.1</v>
      </c>
      <c r="H17" s="32">
        <v>0.2</v>
      </c>
      <c r="I17" s="444">
        <f t="shared" si="2"/>
        <v>7.7</v>
      </c>
      <c r="J17" s="444">
        <f t="shared" si="3"/>
        <v>4</v>
      </c>
      <c r="K17" s="10"/>
      <c r="L17" s="42">
        <f t="shared" si="4"/>
        <v>1.925</v>
      </c>
      <c r="M17" s="42" t="str">
        <f t="shared" si="8"/>
        <v>D-4</v>
      </c>
      <c r="N17" s="13"/>
      <c r="O17" s="729" t="s">
        <v>526</v>
      </c>
      <c r="P17" s="729" t="s">
        <v>453</v>
      </c>
      <c r="Q17" s="729" t="s">
        <v>526</v>
      </c>
      <c r="R17" s="17">
        <f>BEGINBLAD!D12</f>
        <v>0</v>
      </c>
      <c r="S17" s="40">
        <v>9</v>
      </c>
      <c r="T17" s="702" t="str">
        <f>BEGINBLAD!C12</f>
        <v>leerling 9</v>
      </c>
      <c r="U17" s="437"/>
      <c r="V17" s="437"/>
      <c r="W17" s="437"/>
      <c r="X17" s="437"/>
      <c r="Y17" s="437"/>
      <c r="Z17" s="444">
        <f t="shared" si="5"/>
        <v>0</v>
      </c>
      <c r="AA17" s="444">
        <f t="shared" si="6"/>
        <v>0</v>
      </c>
      <c r="AB17" s="10"/>
      <c r="AC17" s="447" t="str">
        <f t="shared" si="7"/>
        <v/>
      </c>
      <c r="AD17" s="446" t="str">
        <f t="shared" si="9"/>
        <v/>
      </c>
    </row>
    <row r="18" spans="1:30" ht="19.5" customHeight="1" x14ac:dyDescent="0.2">
      <c r="A18" s="18">
        <f>BEGINBLAD!D13</f>
        <v>0</v>
      </c>
      <c r="B18" s="40">
        <v>10</v>
      </c>
      <c r="C18" s="702" t="str">
        <f>BEGINBLAD!C13</f>
        <v>leerling 10</v>
      </c>
      <c r="D18" s="34"/>
      <c r="E18" s="35">
        <v>2.2999999999999998</v>
      </c>
      <c r="F18" s="33">
        <v>0.9</v>
      </c>
      <c r="G18" s="773">
        <v>0.9</v>
      </c>
      <c r="H18" s="35">
        <v>2.2999999999999998</v>
      </c>
      <c r="I18" s="444">
        <f t="shared" si="2"/>
        <v>6.3999999999999995</v>
      </c>
      <c r="J18" s="444">
        <f t="shared" si="3"/>
        <v>4</v>
      </c>
      <c r="K18" s="10"/>
      <c r="L18" s="42">
        <f t="shared" si="4"/>
        <v>1.5999999999999999</v>
      </c>
      <c r="M18" s="42" t="str">
        <f t="shared" si="8"/>
        <v>D-4</v>
      </c>
      <c r="N18" s="13"/>
      <c r="O18" s="729" t="s">
        <v>526</v>
      </c>
      <c r="P18" s="729" t="s">
        <v>453</v>
      </c>
      <c r="Q18" s="729" t="s">
        <v>526</v>
      </c>
      <c r="R18" s="17">
        <f>BEGINBLAD!D13</f>
        <v>0</v>
      </c>
      <c r="S18" s="40">
        <v>10</v>
      </c>
      <c r="T18" s="702" t="str">
        <f>BEGINBLAD!C13</f>
        <v>leerling 10</v>
      </c>
      <c r="U18" s="437"/>
      <c r="V18" s="437"/>
      <c r="W18" s="437"/>
      <c r="X18" s="437"/>
      <c r="Y18" s="437"/>
      <c r="Z18" s="444">
        <f t="shared" si="5"/>
        <v>0</v>
      </c>
      <c r="AA18" s="444">
        <f t="shared" si="6"/>
        <v>0</v>
      </c>
      <c r="AB18" s="10"/>
      <c r="AC18" s="447" t="str">
        <f t="shared" si="7"/>
        <v/>
      </c>
      <c r="AD18" s="446" t="str">
        <f t="shared" si="9"/>
        <v/>
      </c>
    </row>
    <row r="19" spans="1:30" s="4" customFormat="1" ht="19.5" customHeight="1" x14ac:dyDescent="0.2">
      <c r="A19" s="17">
        <f>BEGINBLAD!D14</f>
        <v>0</v>
      </c>
      <c r="B19" s="40">
        <v>11</v>
      </c>
      <c r="C19" s="702" t="str">
        <f>BEGINBLAD!C14</f>
        <v>leerling 11</v>
      </c>
      <c r="D19" s="35"/>
      <c r="E19" s="32">
        <v>4.7</v>
      </c>
      <c r="F19" s="32">
        <v>4.5999999999999996</v>
      </c>
      <c r="G19" s="774">
        <v>4.4000000000000004</v>
      </c>
      <c r="H19" s="32">
        <v>0.3</v>
      </c>
      <c r="I19" s="444">
        <f t="shared" si="2"/>
        <v>14.000000000000002</v>
      </c>
      <c r="J19" s="444">
        <f t="shared" si="3"/>
        <v>4</v>
      </c>
      <c r="K19" s="10"/>
      <c r="L19" s="42">
        <f t="shared" si="4"/>
        <v>3.5000000000000004</v>
      </c>
      <c r="M19" s="42" t="str">
        <f t="shared" si="8"/>
        <v>B-2</v>
      </c>
      <c r="N19" s="13"/>
      <c r="O19" s="729" t="s">
        <v>455</v>
      </c>
      <c r="P19" s="729" t="s">
        <v>455</v>
      </c>
      <c r="Q19" s="729" t="s">
        <v>453</v>
      </c>
      <c r="R19" s="17">
        <f>BEGINBLAD!D14</f>
        <v>0</v>
      </c>
      <c r="S19" s="40">
        <v>11</v>
      </c>
      <c r="T19" s="702" t="str">
        <f>BEGINBLAD!C14</f>
        <v>leerling 11</v>
      </c>
      <c r="U19" s="437"/>
      <c r="V19" s="437"/>
      <c r="W19" s="437"/>
      <c r="X19" s="437"/>
      <c r="Y19" s="437"/>
      <c r="Z19" s="444">
        <f t="shared" si="5"/>
        <v>0</v>
      </c>
      <c r="AA19" s="444">
        <f t="shared" si="6"/>
        <v>0</v>
      </c>
      <c r="AB19" s="10"/>
      <c r="AC19" s="447" t="str">
        <f t="shared" si="7"/>
        <v/>
      </c>
      <c r="AD19" s="446" t="str">
        <f t="shared" si="9"/>
        <v/>
      </c>
    </row>
    <row r="20" spans="1:30" ht="19.5" customHeight="1" x14ac:dyDescent="0.2">
      <c r="A20" s="18">
        <f>BEGINBLAD!D15</f>
        <v>0</v>
      </c>
      <c r="B20" s="40">
        <v>12</v>
      </c>
      <c r="C20" s="702" t="str">
        <f>BEGINBLAD!C15</f>
        <v>leerling 12</v>
      </c>
      <c r="D20" s="34"/>
      <c r="E20" s="34">
        <v>2.5</v>
      </c>
      <c r="F20" s="34">
        <v>0.6</v>
      </c>
      <c r="G20" s="776">
        <v>2.6</v>
      </c>
      <c r="H20" s="35">
        <v>2</v>
      </c>
      <c r="I20" s="444">
        <f t="shared" si="2"/>
        <v>7.7</v>
      </c>
      <c r="J20" s="444">
        <f t="shared" si="3"/>
        <v>4</v>
      </c>
      <c r="K20" s="10"/>
      <c r="L20" s="42">
        <f t="shared" si="4"/>
        <v>1.925</v>
      </c>
      <c r="M20" s="42" t="str">
        <f t="shared" si="8"/>
        <v>D-4</v>
      </c>
      <c r="N20" s="13"/>
      <c r="O20" s="729" t="s">
        <v>526</v>
      </c>
      <c r="P20" s="729" t="s">
        <v>453</v>
      </c>
      <c r="Q20" s="729" t="s">
        <v>526</v>
      </c>
      <c r="R20" s="17">
        <f>BEGINBLAD!D15</f>
        <v>0</v>
      </c>
      <c r="S20" s="40">
        <v>12</v>
      </c>
      <c r="T20" s="702" t="str">
        <f>BEGINBLAD!C15</f>
        <v>leerling 12</v>
      </c>
      <c r="U20" s="437"/>
      <c r="V20" s="437"/>
      <c r="W20" s="437"/>
      <c r="X20" s="437"/>
      <c r="Y20" s="437"/>
      <c r="Z20" s="444">
        <f t="shared" si="5"/>
        <v>0</v>
      </c>
      <c r="AA20" s="444">
        <f t="shared" si="6"/>
        <v>0</v>
      </c>
      <c r="AB20" s="10"/>
      <c r="AC20" s="447" t="str">
        <f t="shared" si="7"/>
        <v/>
      </c>
      <c r="AD20" s="446" t="str">
        <f t="shared" si="9"/>
        <v/>
      </c>
    </row>
    <row r="21" spans="1:30" s="4" customFormat="1" ht="19.5" customHeight="1" x14ac:dyDescent="0.2">
      <c r="A21" s="17">
        <f>BEGINBLAD!D16</f>
        <v>0</v>
      </c>
      <c r="B21" s="40">
        <v>13</v>
      </c>
      <c r="C21" s="702" t="str">
        <f>BEGINBLAD!C16</f>
        <v>leerling 13</v>
      </c>
      <c r="D21" s="34"/>
      <c r="E21" s="35">
        <v>5</v>
      </c>
      <c r="F21" s="33">
        <v>2.9</v>
      </c>
      <c r="G21" s="775">
        <v>3.3</v>
      </c>
      <c r="H21" s="34">
        <v>3.5</v>
      </c>
      <c r="I21" s="444">
        <f t="shared" si="2"/>
        <v>14.7</v>
      </c>
      <c r="J21" s="444">
        <f t="shared" si="3"/>
        <v>4</v>
      </c>
      <c r="K21" s="10"/>
      <c r="L21" s="42">
        <f t="shared" si="4"/>
        <v>3.6749999999999998</v>
      </c>
      <c r="M21" s="42" t="str">
        <f t="shared" si="8"/>
        <v>B-2</v>
      </c>
      <c r="N21" s="13"/>
      <c r="O21" s="729" t="s">
        <v>453</v>
      </c>
      <c r="P21" s="729" t="s">
        <v>455</v>
      </c>
      <c r="Q21" s="729" t="s">
        <v>453</v>
      </c>
      <c r="R21" s="17">
        <f>BEGINBLAD!D16</f>
        <v>0</v>
      </c>
      <c r="S21" s="40">
        <v>13</v>
      </c>
      <c r="T21" s="702" t="str">
        <f>BEGINBLAD!C16</f>
        <v>leerling 13</v>
      </c>
      <c r="U21" s="437"/>
      <c r="V21" s="437"/>
      <c r="W21" s="437"/>
      <c r="X21" s="437"/>
      <c r="Y21" s="437"/>
      <c r="Z21" s="444">
        <f t="shared" si="5"/>
        <v>0</v>
      </c>
      <c r="AA21" s="444">
        <f t="shared" si="6"/>
        <v>0</v>
      </c>
      <c r="AB21" s="10"/>
      <c r="AC21" s="447" t="str">
        <f t="shared" si="7"/>
        <v/>
      </c>
      <c r="AD21" s="446" t="str">
        <f t="shared" si="9"/>
        <v/>
      </c>
    </row>
    <row r="22" spans="1:30" ht="19.5" customHeight="1" x14ac:dyDescent="0.2">
      <c r="A22" s="18">
        <f>BEGINBLAD!D17</f>
        <v>0</v>
      </c>
      <c r="B22" s="40">
        <v>14</v>
      </c>
      <c r="C22" s="702" t="str">
        <f>BEGINBLAD!C17</f>
        <v>leerling 14</v>
      </c>
      <c r="D22" s="34"/>
      <c r="E22" s="33">
        <v>4.7</v>
      </c>
      <c r="F22" s="33">
        <v>1.6</v>
      </c>
      <c r="G22" s="773">
        <v>3.1</v>
      </c>
      <c r="H22" s="34">
        <v>5</v>
      </c>
      <c r="I22" s="444">
        <f t="shared" si="2"/>
        <v>14.4</v>
      </c>
      <c r="J22" s="444">
        <f t="shared" si="3"/>
        <v>4</v>
      </c>
      <c r="K22" s="10"/>
      <c r="L22" s="42">
        <f t="shared" si="4"/>
        <v>3.6</v>
      </c>
      <c r="M22" s="42" t="str">
        <f t="shared" si="8"/>
        <v>B-2</v>
      </c>
      <c r="N22" s="13"/>
      <c r="O22" s="729" t="s">
        <v>526</v>
      </c>
      <c r="P22" s="729" t="s">
        <v>455</v>
      </c>
      <c r="Q22" s="729" t="s">
        <v>453</v>
      </c>
      <c r="R22" s="17">
        <f>BEGINBLAD!D17</f>
        <v>0</v>
      </c>
      <c r="S22" s="40">
        <v>14</v>
      </c>
      <c r="T22" s="702" t="str">
        <f>BEGINBLAD!C17</f>
        <v>leerling 14</v>
      </c>
      <c r="U22" s="437"/>
      <c r="V22" s="437"/>
      <c r="W22" s="437"/>
      <c r="X22" s="437"/>
      <c r="Y22" s="437"/>
      <c r="Z22" s="444">
        <f t="shared" si="5"/>
        <v>0</v>
      </c>
      <c r="AA22" s="444">
        <f t="shared" si="6"/>
        <v>0</v>
      </c>
      <c r="AB22" s="10"/>
      <c r="AC22" s="447" t="str">
        <f t="shared" si="7"/>
        <v/>
      </c>
      <c r="AD22" s="446" t="str">
        <f t="shared" si="9"/>
        <v/>
      </c>
    </row>
    <row r="23" spans="1:30" s="4" customFormat="1" ht="19.5" customHeight="1" x14ac:dyDescent="0.2">
      <c r="A23" s="17">
        <f>BEGINBLAD!D18</f>
        <v>0</v>
      </c>
      <c r="B23" s="40">
        <v>15</v>
      </c>
      <c r="C23" s="702" t="str">
        <f>BEGINBLAD!C18</f>
        <v>leerling 15</v>
      </c>
      <c r="D23" s="34"/>
      <c r="E23" s="34">
        <v>4.3</v>
      </c>
      <c r="F23" s="34">
        <v>1.9</v>
      </c>
      <c r="G23" s="774">
        <v>3.2</v>
      </c>
      <c r="H23" s="35">
        <v>3.1</v>
      </c>
      <c r="I23" s="444">
        <f t="shared" si="2"/>
        <v>12.499999999999998</v>
      </c>
      <c r="J23" s="444">
        <f t="shared" si="3"/>
        <v>4</v>
      </c>
      <c r="K23" s="10"/>
      <c r="L23" s="42">
        <f t="shared" si="4"/>
        <v>3.1249999999999996</v>
      </c>
      <c r="M23" s="42" t="str">
        <f t="shared" si="8"/>
        <v>B-3</v>
      </c>
      <c r="N23" s="13"/>
      <c r="O23" s="729" t="s">
        <v>526</v>
      </c>
      <c r="P23" s="729" t="s">
        <v>455</v>
      </c>
      <c r="Q23" s="729" t="s">
        <v>453</v>
      </c>
      <c r="R23" s="17" t="s">
        <v>453</v>
      </c>
      <c r="S23" s="40">
        <v>15</v>
      </c>
      <c r="T23" s="702" t="str">
        <f>BEGINBLAD!C18</f>
        <v>leerling 15</v>
      </c>
      <c r="U23" s="437"/>
      <c r="V23" s="437"/>
      <c r="W23" s="437"/>
      <c r="X23" s="437"/>
      <c r="Y23" s="437"/>
      <c r="Z23" s="444">
        <f t="shared" si="5"/>
        <v>0</v>
      </c>
      <c r="AA23" s="444">
        <f t="shared" si="6"/>
        <v>0</v>
      </c>
      <c r="AB23" s="10"/>
      <c r="AC23" s="447" t="str">
        <f t="shared" si="7"/>
        <v/>
      </c>
      <c r="AD23" s="446" t="str">
        <f t="shared" si="9"/>
        <v/>
      </c>
    </row>
    <row r="24" spans="1:30" ht="19.5" customHeight="1" x14ac:dyDescent="0.2">
      <c r="A24" s="18">
        <f>BEGINBLAD!D19</f>
        <v>0</v>
      </c>
      <c r="B24" s="40">
        <v>16</v>
      </c>
      <c r="C24" s="702" t="str">
        <f>BEGINBLAD!C19</f>
        <v>leerling 16</v>
      </c>
      <c r="D24" s="32"/>
      <c r="E24" s="32">
        <v>2.1</v>
      </c>
      <c r="F24" s="35">
        <v>0.2</v>
      </c>
      <c r="G24" s="774">
        <v>3.3</v>
      </c>
      <c r="H24" s="35">
        <v>2.1</v>
      </c>
      <c r="I24" s="444">
        <f t="shared" si="2"/>
        <v>7.6999999999999993</v>
      </c>
      <c r="J24" s="444">
        <f t="shared" si="3"/>
        <v>4</v>
      </c>
      <c r="K24" s="10"/>
      <c r="L24" s="42">
        <f t="shared" si="4"/>
        <v>1.9249999999999998</v>
      </c>
      <c r="M24" s="42" t="str">
        <f t="shared" si="8"/>
        <v>D-4</v>
      </c>
      <c r="N24" s="13"/>
      <c r="O24" s="729" t="s">
        <v>526</v>
      </c>
      <c r="P24" s="729" t="s">
        <v>453</v>
      </c>
      <c r="Q24" s="729" t="s">
        <v>453</v>
      </c>
      <c r="R24" s="17">
        <f>BEGINBLAD!D19</f>
        <v>0</v>
      </c>
      <c r="S24" s="40">
        <v>16</v>
      </c>
      <c r="T24" s="702" t="str">
        <f>BEGINBLAD!C19</f>
        <v>leerling 16</v>
      </c>
      <c r="U24" s="437"/>
      <c r="V24" s="437"/>
      <c r="W24" s="437"/>
      <c r="X24" s="437"/>
      <c r="Y24" s="437"/>
      <c r="Z24" s="444">
        <f t="shared" si="5"/>
        <v>0</v>
      </c>
      <c r="AA24" s="444">
        <f t="shared" si="6"/>
        <v>0</v>
      </c>
      <c r="AB24" s="10"/>
      <c r="AC24" s="447" t="str">
        <f t="shared" si="7"/>
        <v/>
      </c>
      <c r="AD24" s="446" t="str">
        <f t="shared" si="9"/>
        <v/>
      </c>
    </row>
    <row r="25" spans="1:30" s="4" customFormat="1" ht="19.5" customHeight="1" x14ac:dyDescent="0.2">
      <c r="A25" s="17">
        <f>BEGINBLAD!D20</f>
        <v>0</v>
      </c>
      <c r="B25" s="40">
        <v>17</v>
      </c>
      <c r="C25" s="702" t="str">
        <f>BEGINBLAD!C20</f>
        <v>leerling 17</v>
      </c>
      <c r="D25" s="35"/>
      <c r="E25" s="32">
        <v>4.7</v>
      </c>
      <c r="F25" s="33">
        <v>2.2999999999999998</v>
      </c>
      <c r="G25" s="776">
        <v>3.6</v>
      </c>
      <c r="H25" s="32">
        <v>4.5999999999999996</v>
      </c>
      <c r="I25" s="444">
        <f t="shared" si="2"/>
        <v>15.2</v>
      </c>
      <c r="J25" s="444">
        <f t="shared" si="3"/>
        <v>4</v>
      </c>
      <c r="K25" s="10"/>
      <c r="L25" s="42">
        <f t="shared" si="4"/>
        <v>3.8</v>
      </c>
      <c r="M25" s="42" t="str">
        <f t="shared" si="8"/>
        <v>B-2</v>
      </c>
      <c r="N25" s="13"/>
      <c r="O25" s="729" t="s">
        <v>453</v>
      </c>
      <c r="P25" s="729" t="s">
        <v>455</v>
      </c>
      <c r="Q25" s="729" t="s">
        <v>453</v>
      </c>
      <c r="R25" s="17">
        <f>BEGINBLAD!D20</f>
        <v>0</v>
      </c>
      <c r="S25" s="40">
        <v>17</v>
      </c>
      <c r="T25" s="702" t="str">
        <f>BEGINBLAD!C20</f>
        <v>leerling 17</v>
      </c>
      <c r="U25" s="437"/>
      <c r="V25" s="437"/>
      <c r="W25" s="437"/>
      <c r="X25" s="437"/>
      <c r="Y25" s="437"/>
      <c r="Z25" s="444">
        <f t="shared" si="5"/>
        <v>0</v>
      </c>
      <c r="AA25" s="444">
        <f t="shared" si="6"/>
        <v>0</v>
      </c>
      <c r="AB25" s="10"/>
      <c r="AC25" s="447" t="str">
        <f t="shared" si="7"/>
        <v/>
      </c>
      <c r="AD25" s="446" t="str">
        <f t="shared" si="9"/>
        <v/>
      </c>
    </row>
    <row r="26" spans="1:30" ht="19.5" customHeight="1" x14ac:dyDescent="0.2">
      <c r="A26" s="18">
        <f>BEGINBLAD!D21</f>
        <v>0</v>
      </c>
      <c r="B26" s="40">
        <v>18</v>
      </c>
      <c r="C26" s="702" t="str">
        <f>BEGINBLAD!C21</f>
        <v>leerling 18</v>
      </c>
      <c r="D26" s="34"/>
      <c r="E26" s="32">
        <v>3</v>
      </c>
      <c r="F26" s="32">
        <v>2.6</v>
      </c>
      <c r="G26" s="773">
        <v>3.5</v>
      </c>
      <c r="H26" s="32">
        <v>3.4</v>
      </c>
      <c r="I26" s="444">
        <f t="shared" si="2"/>
        <v>12.5</v>
      </c>
      <c r="J26" s="444">
        <f t="shared" si="3"/>
        <v>4</v>
      </c>
      <c r="K26" s="10"/>
      <c r="L26" s="42">
        <f t="shared" si="4"/>
        <v>3.125</v>
      </c>
      <c r="M26" s="42" t="str">
        <f t="shared" si="8"/>
        <v>B-3</v>
      </c>
      <c r="N26" s="13"/>
      <c r="O26" s="729" t="s">
        <v>453</v>
      </c>
      <c r="P26" s="729" t="s">
        <v>453</v>
      </c>
      <c r="Q26" s="729" t="s">
        <v>453</v>
      </c>
      <c r="R26" s="17">
        <f>BEGINBLAD!D21</f>
        <v>0</v>
      </c>
      <c r="S26" s="40">
        <v>18</v>
      </c>
      <c r="T26" s="702" t="str">
        <f>BEGINBLAD!C21</f>
        <v>leerling 18</v>
      </c>
      <c r="U26" s="437"/>
      <c r="V26" s="437"/>
      <c r="W26" s="437"/>
      <c r="X26" s="437"/>
      <c r="Y26" s="437"/>
      <c r="Z26" s="444">
        <f t="shared" si="5"/>
        <v>0</v>
      </c>
      <c r="AA26" s="444">
        <f t="shared" si="6"/>
        <v>0</v>
      </c>
      <c r="AB26" s="10"/>
      <c r="AC26" s="447" t="str">
        <f t="shared" si="7"/>
        <v/>
      </c>
      <c r="AD26" s="446" t="str">
        <f t="shared" si="9"/>
        <v/>
      </c>
    </row>
    <row r="27" spans="1:30" s="4" customFormat="1" ht="19.5" customHeight="1" x14ac:dyDescent="0.2">
      <c r="A27" s="17">
        <f>BEGINBLAD!D22</f>
        <v>0</v>
      </c>
      <c r="B27" s="40">
        <v>19</v>
      </c>
      <c r="C27" s="702" t="str">
        <f>BEGINBLAD!C22</f>
        <v>leerling 19</v>
      </c>
      <c r="D27" s="33"/>
      <c r="E27" s="33">
        <v>0.9</v>
      </c>
      <c r="F27" s="32">
        <v>2.9</v>
      </c>
      <c r="G27" s="773">
        <v>2.9</v>
      </c>
      <c r="H27" s="34">
        <v>2.9</v>
      </c>
      <c r="I27" s="444">
        <f t="shared" si="2"/>
        <v>9.6</v>
      </c>
      <c r="J27" s="444">
        <f t="shared" si="3"/>
        <v>4</v>
      </c>
      <c r="K27" s="10"/>
      <c r="L27" s="42">
        <f t="shared" si="4"/>
        <v>2.4</v>
      </c>
      <c r="M27" s="42" t="str">
        <f t="shared" si="8"/>
        <v>C-4</v>
      </c>
      <c r="N27" s="13"/>
      <c r="O27" s="729" t="s">
        <v>453</v>
      </c>
      <c r="P27" s="729" t="s">
        <v>526</v>
      </c>
      <c r="Q27" s="729" t="s">
        <v>526</v>
      </c>
      <c r="R27" s="17">
        <f>BEGINBLAD!D22</f>
        <v>0</v>
      </c>
      <c r="S27" s="40">
        <v>19</v>
      </c>
      <c r="T27" s="702" t="str">
        <f>BEGINBLAD!C22</f>
        <v>leerling 19</v>
      </c>
      <c r="U27" s="437"/>
      <c r="V27" s="437"/>
      <c r="W27" s="437"/>
      <c r="X27" s="437"/>
      <c r="Y27" s="437"/>
      <c r="Z27" s="444">
        <f t="shared" si="5"/>
        <v>0</v>
      </c>
      <c r="AA27" s="444">
        <f t="shared" si="6"/>
        <v>0</v>
      </c>
      <c r="AB27" s="10"/>
      <c r="AC27" s="447" t="str">
        <f t="shared" si="7"/>
        <v/>
      </c>
      <c r="AD27" s="446" t="str">
        <f t="shared" si="9"/>
        <v/>
      </c>
    </row>
    <row r="28" spans="1:30" ht="19.5" customHeight="1" x14ac:dyDescent="0.2">
      <c r="A28" s="18">
        <f>BEGINBLAD!D23</f>
        <v>0</v>
      </c>
      <c r="B28" s="40">
        <v>20</v>
      </c>
      <c r="C28" s="702" t="str">
        <f>BEGINBLAD!C23</f>
        <v>leerling 20</v>
      </c>
      <c r="D28" s="32"/>
      <c r="E28" s="32">
        <v>4.7</v>
      </c>
      <c r="F28" s="35">
        <v>2.6</v>
      </c>
      <c r="G28" s="776">
        <v>4.5</v>
      </c>
      <c r="H28" s="32">
        <v>4.3</v>
      </c>
      <c r="I28" s="444">
        <f t="shared" si="2"/>
        <v>16.100000000000001</v>
      </c>
      <c r="J28" s="444">
        <f t="shared" si="3"/>
        <v>4</v>
      </c>
      <c r="K28" s="10"/>
      <c r="L28" s="42">
        <f t="shared" si="4"/>
        <v>4.0250000000000004</v>
      </c>
      <c r="M28" s="42" t="str">
        <f t="shared" si="8"/>
        <v>A-2</v>
      </c>
      <c r="N28" s="13"/>
      <c r="O28" s="729" t="s">
        <v>453</v>
      </c>
      <c r="P28" s="729" t="s">
        <v>455</v>
      </c>
      <c r="Q28" s="729" t="s">
        <v>453</v>
      </c>
      <c r="R28" s="17">
        <f>BEGINBLAD!D23</f>
        <v>0</v>
      </c>
      <c r="S28" s="40">
        <v>20</v>
      </c>
      <c r="T28" s="702" t="str">
        <f>BEGINBLAD!C23</f>
        <v>leerling 20</v>
      </c>
      <c r="U28" s="437"/>
      <c r="V28" s="437"/>
      <c r="W28" s="437"/>
      <c r="X28" s="437"/>
      <c r="Y28" s="437"/>
      <c r="Z28" s="444">
        <f t="shared" si="5"/>
        <v>0</v>
      </c>
      <c r="AA28" s="444">
        <f t="shared" si="6"/>
        <v>0</v>
      </c>
      <c r="AB28" s="10"/>
      <c r="AC28" s="447" t="str">
        <f t="shared" si="7"/>
        <v/>
      </c>
      <c r="AD28" s="446" t="str">
        <f t="shared" si="9"/>
        <v/>
      </c>
    </row>
    <row r="29" spans="1:30" s="4" customFormat="1" ht="19.5" customHeight="1" x14ac:dyDescent="0.2">
      <c r="A29" s="17">
        <f>BEGINBLAD!D24</f>
        <v>0</v>
      </c>
      <c r="B29" s="40">
        <v>21</v>
      </c>
      <c r="C29" s="702" t="str">
        <f>BEGINBLAD!C24</f>
        <v>leerling 21</v>
      </c>
      <c r="D29" s="34"/>
      <c r="E29" s="32">
        <v>3.5</v>
      </c>
      <c r="F29" s="35">
        <v>2.6</v>
      </c>
      <c r="G29" s="774">
        <v>2.2000000000000002</v>
      </c>
      <c r="H29" s="32">
        <v>4</v>
      </c>
      <c r="I29" s="444">
        <f t="shared" si="2"/>
        <v>12.3</v>
      </c>
      <c r="J29" s="444">
        <f t="shared" si="3"/>
        <v>4</v>
      </c>
      <c r="K29" s="10"/>
      <c r="L29" s="42">
        <f t="shared" si="4"/>
        <v>3.0750000000000002</v>
      </c>
      <c r="M29" s="42" t="str">
        <f t="shared" si="8"/>
        <v>B-3</v>
      </c>
      <c r="N29" s="13"/>
      <c r="O29" s="729" t="s">
        <v>453</v>
      </c>
      <c r="P29" s="729" t="s">
        <v>453</v>
      </c>
      <c r="Q29" s="729" t="s">
        <v>526</v>
      </c>
      <c r="R29" s="17">
        <f>BEGINBLAD!D24</f>
        <v>0</v>
      </c>
      <c r="S29" s="40">
        <v>21</v>
      </c>
      <c r="T29" s="702" t="str">
        <f>BEGINBLAD!C24</f>
        <v>leerling 21</v>
      </c>
      <c r="U29" s="438"/>
      <c r="V29" s="437"/>
      <c r="W29" s="437"/>
      <c r="X29" s="437"/>
      <c r="Y29" s="437"/>
      <c r="Z29" s="444">
        <f t="shared" si="5"/>
        <v>0</v>
      </c>
      <c r="AA29" s="444">
        <f t="shared" si="6"/>
        <v>0</v>
      </c>
      <c r="AB29" s="10"/>
      <c r="AC29" s="447" t="str">
        <f t="shared" si="7"/>
        <v/>
      </c>
      <c r="AD29" s="446" t="str">
        <f t="shared" si="9"/>
        <v/>
      </c>
    </row>
    <row r="30" spans="1:30" ht="19.5" customHeight="1" x14ac:dyDescent="0.2">
      <c r="A30" s="18">
        <f>BEGINBLAD!D25</f>
        <v>0</v>
      </c>
      <c r="B30" s="40">
        <v>22</v>
      </c>
      <c r="C30" s="702" t="str">
        <f>BEGINBLAD!C25</f>
        <v>leerling 22</v>
      </c>
      <c r="D30" s="32"/>
      <c r="E30" s="32">
        <v>1.5</v>
      </c>
      <c r="F30" s="32">
        <v>3.3</v>
      </c>
      <c r="G30" s="776">
        <v>3.6</v>
      </c>
      <c r="H30" s="32">
        <v>2.5</v>
      </c>
      <c r="I30" s="444">
        <f t="shared" si="2"/>
        <v>10.9</v>
      </c>
      <c r="J30" s="444">
        <f t="shared" si="3"/>
        <v>4</v>
      </c>
      <c r="K30" s="10"/>
      <c r="L30" s="42">
        <f t="shared" si="4"/>
        <v>2.7250000000000001</v>
      </c>
      <c r="M30" s="42" t="str">
        <f t="shared" si="8"/>
        <v>C-3</v>
      </c>
      <c r="N30" s="13"/>
      <c r="O30" s="729" t="s">
        <v>453</v>
      </c>
      <c r="P30" s="729" t="s">
        <v>526</v>
      </c>
      <c r="Q30" s="729" t="s">
        <v>453</v>
      </c>
      <c r="R30" s="17">
        <f>BEGINBLAD!D25</f>
        <v>0</v>
      </c>
      <c r="S30" s="40">
        <v>22</v>
      </c>
      <c r="T30" s="702" t="str">
        <f>BEGINBLAD!C25</f>
        <v>leerling 22</v>
      </c>
      <c r="U30" s="437"/>
      <c r="V30" s="437"/>
      <c r="W30" s="437"/>
      <c r="X30" s="437"/>
      <c r="Y30" s="437"/>
      <c r="Z30" s="444">
        <f t="shared" si="5"/>
        <v>0</v>
      </c>
      <c r="AA30" s="444">
        <f t="shared" si="6"/>
        <v>0</v>
      </c>
      <c r="AB30" s="10"/>
      <c r="AC30" s="447" t="str">
        <f t="shared" si="7"/>
        <v/>
      </c>
      <c r="AD30" s="446" t="str">
        <f t="shared" si="9"/>
        <v/>
      </c>
    </row>
    <row r="31" spans="1:30" s="4" customFormat="1" ht="19.5" customHeight="1" x14ac:dyDescent="0.2">
      <c r="A31" s="17">
        <f>BEGINBLAD!D26</f>
        <v>0</v>
      </c>
      <c r="B31" s="40">
        <v>23</v>
      </c>
      <c r="C31" s="702" t="str">
        <f>BEGINBLAD!C26</f>
        <v>leerling 23</v>
      </c>
      <c r="D31" s="32"/>
      <c r="E31" s="32">
        <v>5</v>
      </c>
      <c r="F31" s="32">
        <v>4</v>
      </c>
      <c r="G31" s="776">
        <v>3.6</v>
      </c>
      <c r="H31" s="32">
        <v>3.7</v>
      </c>
      <c r="I31" s="444">
        <f t="shared" si="2"/>
        <v>16.3</v>
      </c>
      <c r="J31" s="444">
        <f t="shared" si="3"/>
        <v>4</v>
      </c>
      <c r="K31" s="10"/>
      <c r="L31" s="42">
        <f t="shared" si="4"/>
        <v>4.0750000000000002</v>
      </c>
      <c r="M31" s="42" t="str">
        <f t="shared" si="8"/>
        <v>A-2</v>
      </c>
      <c r="N31" s="13"/>
      <c r="O31" s="729" t="s">
        <v>453</v>
      </c>
      <c r="P31" s="729" t="s">
        <v>455</v>
      </c>
      <c r="Q31" s="729" t="s">
        <v>453</v>
      </c>
      <c r="R31" s="17">
        <f>BEGINBLAD!D26</f>
        <v>0</v>
      </c>
      <c r="S31" s="40">
        <v>23</v>
      </c>
      <c r="T31" s="702" t="str">
        <f>BEGINBLAD!C26</f>
        <v>leerling 23</v>
      </c>
      <c r="U31" s="437"/>
      <c r="V31" s="437"/>
      <c r="W31" s="437"/>
      <c r="X31" s="437"/>
      <c r="Y31" s="437"/>
      <c r="Z31" s="444">
        <f t="shared" si="5"/>
        <v>0</v>
      </c>
      <c r="AA31" s="444">
        <f t="shared" si="6"/>
        <v>0</v>
      </c>
      <c r="AB31" s="10"/>
      <c r="AC31" s="447" t="str">
        <f t="shared" si="7"/>
        <v/>
      </c>
      <c r="AD31" s="446" t="str">
        <f t="shared" si="9"/>
        <v/>
      </c>
    </row>
    <row r="32" spans="1:30" ht="19.5" customHeight="1" x14ac:dyDescent="0.2">
      <c r="A32" s="18">
        <f>BEGINBLAD!D27</f>
        <v>0</v>
      </c>
      <c r="B32" s="40">
        <v>24</v>
      </c>
      <c r="C32" s="702" t="str">
        <f>BEGINBLAD!C27</f>
        <v>leerling 24</v>
      </c>
      <c r="D32" s="34"/>
      <c r="E32" s="35">
        <v>4</v>
      </c>
      <c r="F32" s="35">
        <v>2.9</v>
      </c>
      <c r="G32" s="776">
        <v>4.8</v>
      </c>
      <c r="H32" s="32">
        <v>4.9000000000000004</v>
      </c>
      <c r="I32" s="444">
        <f t="shared" si="2"/>
        <v>16.600000000000001</v>
      </c>
      <c r="J32" s="444">
        <f t="shared" si="3"/>
        <v>4</v>
      </c>
      <c r="K32" s="10"/>
      <c r="L32" s="42">
        <f t="shared" si="4"/>
        <v>4.1500000000000004</v>
      </c>
      <c r="M32" s="42" t="str">
        <f t="shared" si="8"/>
        <v>A-2</v>
      </c>
      <c r="N32" s="13"/>
      <c r="O32" s="729" t="s">
        <v>453</v>
      </c>
      <c r="P32" s="729" t="s">
        <v>453</v>
      </c>
      <c r="Q32" s="729" t="s">
        <v>455</v>
      </c>
      <c r="R32" s="17">
        <f>BEGINBLAD!D27</f>
        <v>0</v>
      </c>
      <c r="S32" s="40">
        <v>24</v>
      </c>
      <c r="T32" s="702" t="str">
        <f>BEGINBLAD!C27</f>
        <v>leerling 24</v>
      </c>
      <c r="U32" s="437"/>
      <c r="V32" s="437"/>
      <c r="W32" s="437"/>
      <c r="X32" s="437"/>
      <c r="Y32" s="437"/>
      <c r="Z32" s="444">
        <f t="shared" si="5"/>
        <v>0</v>
      </c>
      <c r="AA32" s="444">
        <f t="shared" si="6"/>
        <v>0</v>
      </c>
      <c r="AB32" s="10"/>
      <c r="AC32" s="447" t="str">
        <f t="shared" si="7"/>
        <v/>
      </c>
      <c r="AD32" s="446" t="str">
        <f t="shared" si="9"/>
        <v/>
      </c>
    </row>
    <row r="33" spans="1:30" s="4" customFormat="1" ht="19.5" customHeight="1" x14ac:dyDescent="0.2">
      <c r="A33" s="17">
        <f>BEGINBLAD!D28</f>
        <v>0</v>
      </c>
      <c r="B33" s="40">
        <v>25</v>
      </c>
      <c r="C33" s="702" t="str">
        <f>BEGINBLAD!C28</f>
        <v>leerling 25</v>
      </c>
      <c r="D33" s="35"/>
      <c r="E33" s="34">
        <v>2.7</v>
      </c>
      <c r="F33" s="32">
        <v>2.9</v>
      </c>
      <c r="G33" s="774">
        <v>3.4</v>
      </c>
      <c r="H33" s="32">
        <v>2.2999999999999998</v>
      </c>
      <c r="I33" s="444">
        <f t="shared" si="2"/>
        <v>11.3</v>
      </c>
      <c r="J33" s="444">
        <f t="shared" si="3"/>
        <v>4</v>
      </c>
      <c r="K33" s="10"/>
      <c r="L33" s="42">
        <f t="shared" si="4"/>
        <v>2.8250000000000002</v>
      </c>
      <c r="M33" s="42" t="str">
        <f t="shared" si="8"/>
        <v>C-3</v>
      </c>
      <c r="N33" s="13"/>
      <c r="O33" s="729" t="s">
        <v>453</v>
      </c>
      <c r="P33" s="729" t="s">
        <v>453</v>
      </c>
      <c r="Q33" s="729" t="s">
        <v>453</v>
      </c>
      <c r="R33" s="17">
        <f>BEGINBLAD!D28</f>
        <v>0</v>
      </c>
      <c r="S33" s="40">
        <v>25</v>
      </c>
      <c r="T33" s="702" t="str">
        <f>BEGINBLAD!C28</f>
        <v>leerling 25</v>
      </c>
      <c r="U33" s="437"/>
      <c r="V33" s="437"/>
      <c r="W33" s="437"/>
      <c r="X33" s="437"/>
      <c r="Y33" s="437"/>
      <c r="Z33" s="444">
        <f t="shared" si="5"/>
        <v>0</v>
      </c>
      <c r="AA33" s="444">
        <f t="shared" si="6"/>
        <v>0</v>
      </c>
      <c r="AB33" s="10"/>
      <c r="AC33" s="447" t="str">
        <f t="shared" si="7"/>
        <v/>
      </c>
      <c r="AD33" s="446" t="str">
        <f t="shared" si="9"/>
        <v/>
      </c>
    </row>
    <row r="34" spans="1:30" ht="19.5" customHeight="1" x14ac:dyDescent="0.2">
      <c r="A34" s="18">
        <f>BEGINBLAD!D29</f>
        <v>0</v>
      </c>
      <c r="B34" s="40">
        <v>26</v>
      </c>
      <c r="C34" s="702" t="str">
        <f>BEGINBLAD!C29</f>
        <v>leerling 26</v>
      </c>
      <c r="D34" s="33"/>
      <c r="E34" s="35">
        <v>4.9000000000000004</v>
      </c>
      <c r="F34" s="35">
        <v>2.2999999999999998</v>
      </c>
      <c r="G34" s="774">
        <v>3</v>
      </c>
      <c r="H34" s="35">
        <v>1.4</v>
      </c>
      <c r="I34" s="444">
        <f t="shared" si="2"/>
        <v>11.6</v>
      </c>
      <c r="J34" s="444">
        <f t="shared" si="3"/>
        <v>4</v>
      </c>
      <c r="K34" s="10"/>
      <c r="L34" s="42">
        <f t="shared" si="4"/>
        <v>2.9</v>
      </c>
      <c r="M34" s="42" t="str">
        <f t="shared" si="8"/>
        <v>C-3</v>
      </c>
      <c r="N34" s="13"/>
      <c r="O34" s="729" t="s">
        <v>453</v>
      </c>
      <c r="P34" s="729" t="s">
        <v>455</v>
      </c>
      <c r="Q34" s="729" t="s">
        <v>453</v>
      </c>
      <c r="R34" s="17">
        <f>BEGINBLAD!D29</f>
        <v>0</v>
      </c>
      <c r="S34" s="40">
        <v>26</v>
      </c>
      <c r="T34" s="702" t="str">
        <f>BEGINBLAD!C29</f>
        <v>leerling 26</v>
      </c>
      <c r="U34" s="437"/>
      <c r="V34" s="437"/>
      <c r="W34" s="437"/>
      <c r="X34" s="437"/>
      <c r="Y34" s="437"/>
      <c r="Z34" s="444">
        <f t="shared" si="5"/>
        <v>0</v>
      </c>
      <c r="AA34" s="444">
        <f t="shared" si="6"/>
        <v>0</v>
      </c>
      <c r="AB34" s="10"/>
      <c r="AC34" s="447" t="str">
        <f t="shared" si="7"/>
        <v/>
      </c>
      <c r="AD34" s="446" t="str">
        <f t="shared" si="9"/>
        <v/>
      </c>
    </row>
    <row r="35" spans="1:30" s="4" customFormat="1" ht="19.5" customHeight="1" x14ac:dyDescent="0.2">
      <c r="A35" s="17">
        <f>BEGINBLAD!D30</f>
        <v>0</v>
      </c>
      <c r="B35" s="40">
        <v>27</v>
      </c>
      <c r="C35" s="702">
        <f>BEGINBLAD!C30</f>
        <v>0</v>
      </c>
      <c r="D35" s="34"/>
      <c r="E35" s="33"/>
      <c r="F35" s="35"/>
      <c r="G35" s="776"/>
      <c r="H35" s="35"/>
      <c r="I35" s="444">
        <f t="shared" si="2"/>
        <v>0</v>
      </c>
      <c r="J35" s="444">
        <f t="shared" si="3"/>
        <v>0</v>
      </c>
      <c r="K35" s="10"/>
      <c r="L35" s="42" t="str">
        <f t="shared" si="4"/>
        <v/>
      </c>
      <c r="M35" s="42" t="str">
        <f t="shared" si="8"/>
        <v/>
      </c>
      <c r="N35" s="13"/>
      <c r="O35" s="729"/>
      <c r="P35" s="729"/>
      <c r="Q35" s="729"/>
      <c r="R35" s="17">
        <f>BEGINBLAD!D30</f>
        <v>0</v>
      </c>
      <c r="S35" s="40">
        <v>27</v>
      </c>
      <c r="T35" s="702">
        <f>BEGINBLAD!C30</f>
        <v>0</v>
      </c>
      <c r="U35" s="437"/>
      <c r="V35" s="437"/>
      <c r="W35" s="437"/>
      <c r="X35" s="437"/>
      <c r="Y35" s="437"/>
      <c r="Z35" s="444">
        <f t="shared" si="5"/>
        <v>0</v>
      </c>
      <c r="AA35" s="444">
        <f t="shared" si="6"/>
        <v>0</v>
      </c>
      <c r="AB35" s="10"/>
      <c r="AC35" s="447" t="str">
        <f t="shared" si="7"/>
        <v/>
      </c>
      <c r="AD35" s="446" t="str">
        <f t="shared" si="9"/>
        <v/>
      </c>
    </row>
    <row r="36" spans="1:30" ht="19.5" customHeight="1" x14ac:dyDescent="0.2">
      <c r="A36" s="18">
        <f>BEGINBLAD!D31</f>
        <v>0</v>
      </c>
      <c r="B36" s="40">
        <v>28</v>
      </c>
      <c r="C36" s="702">
        <f>BEGINBLAD!C31</f>
        <v>0</v>
      </c>
      <c r="D36" s="35"/>
      <c r="E36" s="34"/>
      <c r="F36" s="33"/>
      <c r="G36" s="773"/>
      <c r="H36" s="35"/>
      <c r="I36" s="444">
        <f t="shared" si="2"/>
        <v>0</v>
      </c>
      <c r="J36" s="444">
        <f t="shared" si="3"/>
        <v>0</v>
      </c>
      <c r="K36" s="10"/>
      <c r="L36" s="42" t="str">
        <f t="shared" si="4"/>
        <v/>
      </c>
      <c r="M36" s="42" t="str">
        <f t="shared" si="8"/>
        <v/>
      </c>
      <c r="N36" s="13"/>
      <c r="O36" s="729"/>
      <c r="P36" s="729"/>
      <c r="Q36" s="729"/>
      <c r="R36" s="17">
        <f>BEGINBLAD!D31</f>
        <v>0</v>
      </c>
      <c r="S36" s="40">
        <v>28</v>
      </c>
      <c r="T36" s="702">
        <f>BEGINBLAD!C31</f>
        <v>0</v>
      </c>
      <c r="U36" s="437"/>
      <c r="V36" s="437"/>
      <c r="W36" s="437"/>
      <c r="X36" s="437"/>
      <c r="Y36" s="437"/>
      <c r="Z36" s="444">
        <f t="shared" si="5"/>
        <v>0</v>
      </c>
      <c r="AA36" s="444">
        <f t="shared" si="6"/>
        <v>0</v>
      </c>
      <c r="AB36" s="10"/>
      <c r="AC36" s="447" t="str">
        <f t="shared" si="7"/>
        <v/>
      </c>
      <c r="AD36" s="446" t="str">
        <f t="shared" si="9"/>
        <v/>
      </c>
    </row>
    <row r="37" spans="1:30" s="4" customFormat="1" ht="19.5" customHeight="1" x14ac:dyDescent="0.2">
      <c r="A37" s="17">
        <f>BEGINBLAD!D32</f>
        <v>0</v>
      </c>
      <c r="B37" s="40">
        <v>29</v>
      </c>
      <c r="C37" s="702">
        <f>BEGINBLAD!C32</f>
        <v>0</v>
      </c>
      <c r="D37" s="33"/>
      <c r="E37" s="34"/>
      <c r="F37" s="34"/>
      <c r="G37" s="776"/>
      <c r="H37" s="34"/>
      <c r="I37" s="444">
        <f t="shared" si="2"/>
        <v>0</v>
      </c>
      <c r="J37" s="444">
        <f t="shared" si="3"/>
        <v>0</v>
      </c>
      <c r="K37" s="10"/>
      <c r="L37" s="42" t="str">
        <f t="shared" si="4"/>
        <v/>
      </c>
      <c r="M37" s="42" t="str">
        <f t="shared" si="8"/>
        <v/>
      </c>
      <c r="N37" s="13"/>
      <c r="O37" s="729"/>
      <c r="P37" s="729"/>
      <c r="Q37" s="729"/>
      <c r="R37" s="17">
        <f>BEGINBLAD!D32</f>
        <v>0</v>
      </c>
      <c r="S37" s="40">
        <v>29</v>
      </c>
      <c r="T37" s="702">
        <f>BEGINBLAD!C32</f>
        <v>0</v>
      </c>
      <c r="U37" s="437"/>
      <c r="V37" s="437"/>
      <c r="W37" s="437"/>
      <c r="X37" s="437"/>
      <c r="Y37" s="437"/>
      <c r="Z37" s="444">
        <f t="shared" si="5"/>
        <v>0</v>
      </c>
      <c r="AA37" s="444">
        <f t="shared" si="6"/>
        <v>0</v>
      </c>
      <c r="AB37" s="10"/>
      <c r="AC37" s="447" t="str">
        <f t="shared" si="7"/>
        <v/>
      </c>
      <c r="AD37" s="446" t="str">
        <f t="shared" si="9"/>
        <v/>
      </c>
    </row>
    <row r="38" spans="1:30" ht="19.5" customHeight="1" x14ac:dyDescent="0.2">
      <c r="A38" s="18">
        <f>BEGINBLAD!D33</f>
        <v>0</v>
      </c>
      <c r="B38" s="40">
        <v>30</v>
      </c>
      <c r="C38" s="702">
        <f>BEGINBLAD!C33</f>
        <v>0</v>
      </c>
      <c r="D38" s="20"/>
      <c r="E38" s="21"/>
      <c r="F38" s="20"/>
      <c r="G38" s="20"/>
      <c r="H38" s="20"/>
      <c r="I38" s="444">
        <f t="shared" si="2"/>
        <v>0</v>
      </c>
      <c r="J38" s="444">
        <f t="shared" si="3"/>
        <v>0</v>
      </c>
      <c r="K38" s="10"/>
      <c r="L38" s="42" t="str">
        <f t="shared" si="4"/>
        <v/>
      </c>
      <c r="M38" s="42" t="str">
        <f t="shared" si="8"/>
        <v/>
      </c>
      <c r="N38" s="13"/>
      <c r="O38" s="729"/>
      <c r="P38" s="729"/>
      <c r="Q38" s="729"/>
      <c r="R38" s="17">
        <f>BEGINBLAD!D33</f>
        <v>0</v>
      </c>
      <c r="S38" s="40">
        <v>30</v>
      </c>
      <c r="T38" s="702">
        <f>BEGINBLAD!C33</f>
        <v>0</v>
      </c>
      <c r="U38" s="439"/>
      <c r="V38" s="437"/>
      <c r="W38" s="437"/>
      <c r="X38" s="437"/>
      <c r="Y38" s="437"/>
      <c r="Z38" s="444">
        <f t="shared" si="5"/>
        <v>0</v>
      </c>
      <c r="AA38" s="444">
        <f t="shared" si="6"/>
        <v>0</v>
      </c>
      <c r="AB38" s="10"/>
      <c r="AC38" s="447" t="str">
        <f t="shared" si="7"/>
        <v/>
      </c>
      <c r="AD38" s="446" t="str">
        <f t="shared" si="9"/>
        <v/>
      </c>
    </row>
    <row r="39" spans="1:30" s="4" customFormat="1" ht="19.5" customHeight="1" x14ac:dyDescent="0.2">
      <c r="A39" s="17">
        <f>BEGINBLAD!D34</f>
        <v>0</v>
      </c>
      <c r="B39" s="40">
        <v>31</v>
      </c>
      <c r="C39" s="702">
        <f>BEGINBLAD!C34</f>
        <v>0</v>
      </c>
      <c r="D39" s="20"/>
      <c r="E39" s="21"/>
      <c r="F39" s="20"/>
      <c r="G39" s="20"/>
      <c r="H39" s="20"/>
      <c r="I39" s="444">
        <f t="shared" si="2"/>
        <v>0</v>
      </c>
      <c r="J39" s="444">
        <f t="shared" si="3"/>
        <v>0</v>
      </c>
      <c r="K39" s="10"/>
      <c r="L39" s="42" t="str">
        <f t="shared" si="4"/>
        <v/>
      </c>
      <c r="M39" s="42" t="str">
        <f t="shared" si="8"/>
        <v/>
      </c>
      <c r="N39" s="13"/>
      <c r="O39" s="729"/>
      <c r="P39" s="729"/>
      <c r="Q39" s="729"/>
      <c r="R39" s="17">
        <f>BEGINBLAD!D34</f>
        <v>0</v>
      </c>
      <c r="S39" s="40">
        <v>31</v>
      </c>
      <c r="T39" s="702">
        <f>BEGINBLAD!C34</f>
        <v>0</v>
      </c>
      <c r="U39" s="439"/>
      <c r="V39" s="437"/>
      <c r="W39" s="437"/>
      <c r="X39" s="437"/>
      <c r="Y39" s="437"/>
      <c r="Z39" s="444">
        <f t="shared" si="5"/>
        <v>0</v>
      </c>
      <c r="AA39" s="444">
        <f t="shared" si="6"/>
        <v>0</v>
      </c>
      <c r="AB39" s="10"/>
      <c r="AC39" s="447" t="str">
        <f t="shared" si="7"/>
        <v/>
      </c>
      <c r="AD39" s="446" t="str">
        <f t="shared" si="9"/>
        <v/>
      </c>
    </row>
    <row r="40" spans="1:30" ht="19.5" customHeight="1" x14ac:dyDescent="0.2">
      <c r="A40" s="18">
        <f>BEGINBLAD!D35</f>
        <v>0</v>
      </c>
      <c r="B40" s="40">
        <v>32</v>
      </c>
      <c r="C40" s="702">
        <f>BEGINBLAD!C35</f>
        <v>0</v>
      </c>
      <c r="D40" s="20"/>
      <c r="E40" s="21"/>
      <c r="F40" s="20"/>
      <c r="G40" s="20"/>
      <c r="H40" s="20"/>
      <c r="I40" s="444">
        <f t="shared" si="2"/>
        <v>0</v>
      </c>
      <c r="J40" s="444">
        <f t="shared" si="3"/>
        <v>0</v>
      </c>
      <c r="K40" s="10"/>
      <c r="L40" s="42" t="str">
        <f t="shared" si="4"/>
        <v/>
      </c>
      <c r="M40" s="42" t="str">
        <f t="shared" si="8"/>
        <v/>
      </c>
      <c r="N40" s="13"/>
      <c r="O40" s="729"/>
      <c r="P40" s="729"/>
      <c r="Q40" s="729"/>
      <c r="R40" s="17">
        <f>BEGINBLAD!D35</f>
        <v>0</v>
      </c>
      <c r="S40" s="40">
        <v>32</v>
      </c>
      <c r="T40" s="702">
        <f>BEGINBLAD!C35</f>
        <v>0</v>
      </c>
      <c r="U40" s="439"/>
      <c r="V40" s="437"/>
      <c r="W40" s="437"/>
      <c r="X40" s="437"/>
      <c r="Y40" s="437"/>
      <c r="Z40" s="444">
        <f t="shared" si="5"/>
        <v>0</v>
      </c>
      <c r="AA40" s="444">
        <f t="shared" si="6"/>
        <v>0</v>
      </c>
      <c r="AB40" s="10"/>
      <c r="AC40" s="447" t="str">
        <f t="shared" si="7"/>
        <v/>
      </c>
      <c r="AD40" s="446" t="str">
        <f t="shared" si="9"/>
        <v/>
      </c>
    </row>
    <row r="41" spans="1:30" s="4" customFormat="1" ht="19.5" customHeight="1" x14ac:dyDescent="0.2">
      <c r="A41" s="17">
        <f>BEGINBLAD!D36</f>
        <v>0</v>
      </c>
      <c r="B41" s="40">
        <v>33</v>
      </c>
      <c r="C41" s="702">
        <f>BEGINBLAD!C36</f>
        <v>0</v>
      </c>
      <c r="D41" s="20"/>
      <c r="E41" s="21"/>
      <c r="F41" s="20"/>
      <c r="G41" s="20"/>
      <c r="H41" s="20"/>
      <c r="I41" s="444">
        <f t="shared" si="2"/>
        <v>0</v>
      </c>
      <c r="J41" s="444">
        <f t="shared" si="3"/>
        <v>0</v>
      </c>
      <c r="K41" s="10"/>
      <c r="L41" s="42" t="str">
        <f t="shared" si="4"/>
        <v/>
      </c>
      <c r="M41" s="42" t="str">
        <f t="shared" si="8"/>
        <v/>
      </c>
      <c r="N41" s="13"/>
      <c r="O41" s="729"/>
      <c r="P41" s="729"/>
      <c r="Q41" s="729"/>
      <c r="R41" s="17">
        <f>BEGINBLAD!D36</f>
        <v>0</v>
      </c>
      <c r="S41" s="40">
        <v>33</v>
      </c>
      <c r="T41" s="702">
        <f>BEGINBLAD!C36</f>
        <v>0</v>
      </c>
      <c r="U41" s="439"/>
      <c r="V41" s="437"/>
      <c r="W41" s="437"/>
      <c r="X41" s="437"/>
      <c r="Y41" s="437"/>
      <c r="Z41" s="444">
        <f t="shared" si="5"/>
        <v>0</v>
      </c>
      <c r="AA41" s="444">
        <f t="shared" si="6"/>
        <v>0</v>
      </c>
      <c r="AB41" s="10"/>
      <c r="AC41" s="447" t="str">
        <f t="shared" si="7"/>
        <v/>
      </c>
      <c r="AD41" s="446" t="str">
        <f t="shared" si="9"/>
        <v/>
      </c>
    </row>
    <row r="42" spans="1:30" s="4" customFormat="1" ht="19.5" customHeight="1" x14ac:dyDescent="0.2">
      <c r="A42" s="17"/>
      <c r="B42" s="40">
        <v>34</v>
      </c>
      <c r="C42" s="702">
        <f>BEGINBLAD!C37</f>
        <v>0</v>
      </c>
      <c r="D42" s="20"/>
      <c r="E42" s="21"/>
      <c r="F42" s="20"/>
      <c r="G42" s="20"/>
      <c r="H42" s="20"/>
      <c r="I42" s="444">
        <f t="shared" si="2"/>
        <v>0</v>
      </c>
      <c r="J42" s="444">
        <f t="shared" si="3"/>
        <v>0</v>
      </c>
      <c r="K42" s="10"/>
      <c r="L42" s="42"/>
      <c r="M42" s="42"/>
      <c r="N42" s="13"/>
      <c r="O42" s="729"/>
      <c r="P42" s="729"/>
      <c r="Q42" s="729"/>
      <c r="R42" s="17">
        <f>BEGINBLAD!D37</f>
        <v>0</v>
      </c>
      <c r="S42" s="40">
        <v>34</v>
      </c>
      <c r="T42" s="702">
        <f>BEGINBLAD!C37</f>
        <v>0</v>
      </c>
      <c r="U42" s="439"/>
      <c r="V42" s="437"/>
      <c r="W42" s="437"/>
      <c r="X42" s="437"/>
      <c r="Y42" s="437"/>
      <c r="Z42" s="444">
        <f t="shared" si="5"/>
        <v>0</v>
      </c>
      <c r="AA42" s="444">
        <f t="shared" si="6"/>
        <v>0</v>
      </c>
      <c r="AB42" s="10"/>
      <c r="AC42" s="447" t="str">
        <f t="shared" si="7"/>
        <v/>
      </c>
      <c r="AD42" s="446" t="str">
        <f t="shared" si="9"/>
        <v/>
      </c>
    </row>
    <row r="43" spans="1:30" ht="19.5" customHeight="1" x14ac:dyDescent="0.2">
      <c r="A43" s="18">
        <f>BEGINBLAD!D37</f>
        <v>0</v>
      </c>
      <c r="B43" s="40">
        <v>35</v>
      </c>
      <c r="C43" s="702">
        <f>BEGINBLAD!C38</f>
        <v>0</v>
      </c>
      <c r="D43" s="20"/>
      <c r="E43" s="21"/>
      <c r="F43" s="20"/>
      <c r="G43" s="20"/>
      <c r="H43" s="20"/>
      <c r="I43" s="444">
        <f t="shared" si="2"/>
        <v>0</v>
      </c>
      <c r="J43" s="444">
        <f t="shared" si="3"/>
        <v>0</v>
      </c>
      <c r="K43" s="10"/>
      <c r="L43" s="42" t="str">
        <f t="shared" si="4"/>
        <v/>
      </c>
      <c r="M43" s="42" t="str">
        <f t="shared" si="8"/>
        <v/>
      </c>
      <c r="N43" s="13"/>
      <c r="O43" s="729"/>
      <c r="P43" s="729"/>
      <c r="Q43" s="729"/>
      <c r="R43" s="17">
        <f>BEGINBLAD!D38</f>
        <v>0</v>
      </c>
      <c r="S43" s="40">
        <v>35</v>
      </c>
      <c r="T43" s="702">
        <f>BEGINBLAD!C38</f>
        <v>0</v>
      </c>
      <c r="U43" s="439"/>
      <c r="V43" s="437"/>
      <c r="W43" s="437"/>
      <c r="X43" s="437"/>
      <c r="Y43" s="437"/>
      <c r="Z43" s="444">
        <f t="shared" si="5"/>
        <v>0</v>
      </c>
      <c r="AA43" s="444">
        <f t="shared" si="6"/>
        <v>0</v>
      </c>
      <c r="AB43" s="10"/>
      <c r="AC43" s="447" t="str">
        <f t="shared" si="7"/>
        <v/>
      </c>
      <c r="AD43" s="446" t="str">
        <f t="shared" si="9"/>
        <v/>
      </c>
    </row>
    <row r="44" spans="1:30" s="4" customFormat="1" ht="19.5" customHeight="1" x14ac:dyDescent="0.2">
      <c r="A44" s="17">
        <f>BEGINBLAD!D38</f>
        <v>0</v>
      </c>
      <c r="B44" s="40">
        <v>36</v>
      </c>
      <c r="C44" s="702">
        <f>BEGINBLAD!C39</f>
        <v>0</v>
      </c>
      <c r="D44" s="20"/>
      <c r="E44" s="21"/>
      <c r="F44" s="20"/>
      <c r="G44" s="20"/>
      <c r="H44" s="20"/>
      <c r="I44" s="444">
        <f t="shared" si="2"/>
        <v>0</v>
      </c>
      <c r="J44" s="444">
        <f t="shared" si="3"/>
        <v>0</v>
      </c>
      <c r="K44" s="10"/>
      <c r="L44" s="42" t="str">
        <f t="shared" si="4"/>
        <v/>
      </c>
      <c r="M44" s="42" t="str">
        <f t="shared" si="8"/>
        <v/>
      </c>
      <c r="N44" s="13"/>
      <c r="O44" s="729"/>
      <c r="P44" s="729"/>
      <c r="Q44" s="729"/>
      <c r="R44" s="17">
        <f>BEGINBLAD!D39</f>
        <v>0</v>
      </c>
      <c r="S44" s="40">
        <v>36</v>
      </c>
      <c r="T44" s="702">
        <f>BEGINBLAD!C39</f>
        <v>0</v>
      </c>
      <c r="U44" s="439"/>
      <c r="V44" s="437"/>
      <c r="W44" s="437"/>
      <c r="X44" s="437"/>
      <c r="Y44" s="437"/>
      <c r="Z44" s="444">
        <f t="shared" si="5"/>
        <v>0</v>
      </c>
      <c r="AA44" s="444">
        <f t="shared" si="6"/>
        <v>0</v>
      </c>
      <c r="AB44" s="10"/>
      <c r="AC44" s="447" t="str">
        <f t="shared" si="7"/>
        <v/>
      </c>
      <c r="AD44" s="446" t="str">
        <f t="shared" si="9"/>
        <v/>
      </c>
    </row>
    <row r="45" spans="1:30" ht="19.5" customHeight="1" x14ac:dyDescent="0.2">
      <c r="A45" s="429"/>
      <c r="B45" s="697"/>
      <c r="C45" s="11" t="s">
        <v>52</v>
      </c>
      <c r="D45" s="703" t="e">
        <f t="shared" ref="D45:J45" si="10">AVERAGE(D9:D44)</f>
        <v>#DIV/0!</v>
      </c>
      <c r="E45" s="703">
        <f t="shared" si="10"/>
        <v>3.5961538461538471</v>
      </c>
      <c r="F45" s="703">
        <f t="shared" si="10"/>
        <v>2.5076923076923077</v>
      </c>
      <c r="G45" s="703"/>
      <c r="H45" s="703">
        <f t="shared" si="10"/>
        <v>2.8923076923076922</v>
      </c>
      <c r="I45" s="703">
        <f t="shared" si="10"/>
        <v>8.9277777777777789</v>
      </c>
      <c r="J45" s="703">
        <f t="shared" si="10"/>
        <v>2.8888888888888888</v>
      </c>
      <c r="K45" s="704"/>
      <c r="L45" s="703">
        <f>AVERAGE(L9:L44)</f>
        <v>3.0903846153846155</v>
      </c>
      <c r="M45" s="698"/>
      <c r="N45" s="730" t="s">
        <v>526</v>
      </c>
      <c r="O45" s="848">
        <f>O49/O53</f>
        <v>0.34615384615384615</v>
      </c>
      <c r="P45" s="848">
        <f t="shared" ref="P45:Q45" si="11">P49/P53</f>
        <v>0.11538461538461539</v>
      </c>
      <c r="Q45" s="848">
        <f t="shared" si="11"/>
        <v>0.26923076923076922</v>
      </c>
      <c r="R45" s="429"/>
      <c r="S45" s="697"/>
      <c r="T45" s="850"/>
      <c r="U45" s="704"/>
      <c r="V45" s="704"/>
      <c r="W45" s="704"/>
      <c r="X45" s="704"/>
      <c r="Y45" s="704"/>
      <c r="Z45" s="704"/>
      <c r="AA45" s="704"/>
      <c r="AB45" s="704"/>
      <c r="AC45" s="704"/>
      <c r="AD45" s="726"/>
    </row>
    <row r="46" spans="1:30" ht="19.5" customHeight="1" x14ac:dyDescent="0.2">
      <c r="A46" s="429"/>
      <c r="B46" s="697"/>
      <c r="C46" s="11" t="s">
        <v>53</v>
      </c>
      <c r="D46" s="12" t="e">
        <f>IF(D45="","",IF(D45&gt;4.5,"A-1+",IF(D45&gt;4,"A-1",IF(D45&gt;=4,"A-2",IF(D45&gt;3.4,"B-2",IF(D45&gt;=3,"B-3",IF(D45&gt;2.5,"C-3",IF(D45&gt;=2,"C-4",IF(D45&gt;1.6,"D-4",IF(D45&gt;=1,"D-5",IF(D45&gt;0.5,"E-5",IF(D45&gt;=0,"E-5-"))))))))))))</f>
        <v>#DIV/0!</v>
      </c>
      <c r="E46" s="12" t="str">
        <f t="shared" ref="E46:H46" si="12">IF(E45="","",IF(E45&gt;4.5,"A-1+",IF(E45&gt;4.2,"A-1",IF(E45&gt;=4,"A-2",IF(E45&gt;3.3,"B-2",IF(E45&gt;=3,"B-3",IF(E45&gt;2.4,"C-3",IF(E45&gt;=2,"C-4",IF(E45&gt;1.5,"D-4",IF(E45&gt;=1,"D-5",IF(E45&gt;0.5,"E-5",IF(E45&gt;=0,"E-5-"))))))))))))</f>
        <v>B-2</v>
      </c>
      <c r="F46" s="12" t="str">
        <f t="shared" si="12"/>
        <v>C-3</v>
      </c>
      <c r="G46" s="12"/>
      <c r="H46" s="12" t="str">
        <f t="shared" si="12"/>
        <v>C-3</v>
      </c>
      <c r="I46" s="12" t="str">
        <f t="shared" ref="I46:K46" si="13">IF(I45="","",IF(I45&gt;=4.5,"A+",IF(I45&gt;=4,"A",IF(I45&gt;=3,"B",IF(I45&gt;2.3,"C",IF(I45&gt;=2,"C-",IF(I45&gt;=1,"D",IF(I45&gt;0,"E"))))))))</f>
        <v>A+</v>
      </c>
      <c r="J46" s="12" t="str">
        <f t="shared" si="13"/>
        <v>C</v>
      </c>
      <c r="K46" s="13" t="str">
        <f t="shared" si="13"/>
        <v/>
      </c>
      <c r="L46" s="12" t="str">
        <f>IF(L45="","",IF(L45&gt;4.5,"A-1+",IF(L45&gt;4.2,"A-1",IF(L45&gt;=4,"A-2",IF(L45&gt;3.3,"B-2",IF(L45&gt;=3,"B-3",IF(L45&gt;2.4,"C-3",IF(L45&gt;=2,"C-4",IF(L45&gt;1.5,"D-4",IF(L45&gt;=1,"D-5",IF(L45&gt;0.5,"E-5",IF(L45&gt;=0,"E-5-"))))))))))))</f>
        <v>B-3</v>
      </c>
      <c r="M46" s="698"/>
      <c r="N46" s="730" t="s">
        <v>453</v>
      </c>
      <c r="O46" s="848">
        <f>O50/O53</f>
        <v>0.57692307692307687</v>
      </c>
      <c r="P46" s="848">
        <f t="shared" ref="P46:Q46" si="14">P50/P53</f>
        <v>0.46153846153846156</v>
      </c>
      <c r="Q46" s="848">
        <f t="shared" si="14"/>
        <v>0.61538461538461542</v>
      </c>
      <c r="R46" s="429"/>
      <c r="S46" s="697"/>
      <c r="T46" s="850"/>
      <c r="U46" s="13"/>
      <c r="V46" s="13"/>
      <c r="W46" s="13"/>
      <c r="X46" s="13"/>
      <c r="Y46" s="13"/>
      <c r="Z46" s="13"/>
      <c r="AA46" s="13"/>
      <c r="AB46" s="13"/>
      <c r="AC46" s="13"/>
      <c r="AD46" s="726"/>
    </row>
    <row r="47" spans="1:30" ht="19.5" customHeight="1" x14ac:dyDescent="0.2">
      <c r="A47" s="429"/>
      <c r="B47" s="697"/>
      <c r="C47" s="58">
        <f>BEGINBLAD!$D$40</f>
        <v>26</v>
      </c>
      <c r="D47" s="698"/>
      <c r="E47" s="698"/>
      <c r="F47" s="698"/>
      <c r="G47" s="698"/>
      <c r="H47" s="698"/>
      <c r="I47" s="698"/>
      <c r="J47" s="698"/>
      <c r="K47" s="698"/>
      <c r="L47" s="698"/>
      <c r="M47" s="698"/>
      <c r="N47" s="730" t="s">
        <v>455</v>
      </c>
      <c r="O47" s="848">
        <f>O51/O53</f>
        <v>7.6923076923076927E-2</v>
      </c>
      <c r="P47" s="848">
        <f t="shared" ref="P47:Q47" si="15">P51/P53</f>
        <v>0.42307692307692307</v>
      </c>
      <c r="Q47" s="848">
        <f t="shared" si="15"/>
        <v>0.11538461538461539</v>
      </c>
      <c r="R47" s="429"/>
      <c r="S47" s="697"/>
      <c r="T47" s="851"/>
      <c r="U47" s="726"/>
      <c r="V47" s="726"/>
      <c r="W47" s="726"/>
      <c r="X47" s="726"/>
      <c r="Y47" s="726"/>
      <c r="Z47" s="726"/>
      <c r="AA47" s="726"/>
      <c r="AB47" s="726"/>
      <c r="AC47" s="726"/>
      <c r="AD47" s="726"/>
    </row>
    <row r="48" spans="1:30" ht="19.5" customHeight="1" x14ac:dyDescent="0.2">
      <c r="A48" s="429"/>
      <c r="B48" s="697"/>
      <c r="C48" s="58"/>
      <c r="D48" s="698"/>
      <c r="E48" s="698"/>
      <c r="F48" s="698"/>
      <c r="G48" s="698"/>
      <c r="H48" s="698"/>
      <c r="I48" s="698"/>
      <c r="J48" s="698"/>
      <c r="K48" s="698"/>
      <c r="L48" s="698"/>
      <c r="M48" s="698"/>
      <c r="N48" s="730" t="s">
        <v>527</v>
      </c>
      <c r="O48" s="848">
        <f>O52/O53</f>
        <v>0.65384615384615385</v>
      </c>
      <c r="P48" s="848">
        <f t="shared" ref="P48:Q48" si="16">P52/P53</f>
        <v>0.88461538461538458</v>
      </c>
      <c r="Q48" s="848">
        <f t="shared" si="16"/>
        <v>0.73076923076923073</v>
      </c>
      <c r="R48" s="429"/>
      <c r="S48" s="697"/>
      <c r="T48" s="851"/>
      <c r="U48" s="726"/>
      <c r="V48" s="726"/>
      <c r="W48" s="726"/>
      <c r="X48" s="726"/>
      <c r="Y48" s="726"/>
      <c r="Z48" s="726"/>
      <c r="AA48" s="726"/>
      <c r="AB48" s="726"/>
      <c r="AC48" s="726"/>
      <c r="AD48" s="726"/>
    </row>
    <row r="49" spans="1:30" s="16" customFormat="1" ht="19.5" customHeight="1" x14ac:dyDescent="0.2">
      <c r="A49" s="708"/>
      <c r="B49" s="401"/>
      <c r="C49" s="765" t="s">
        <v>480</v>
      </c>
      <c r="D49" s="766" t="e">
        <f>LARGE(D9:D44,D51+1)</f>
        <v>#NUM!</v>
      </c>
      <c r="E49" s="766">
        <f t="shared" ref="E49:H49" si="17">LARGE(E9:E44,E51+1)</f>
        <v>4.7</v>
      </c>
      <c r="F49" s="766">
        <f t="shared" si="17"/>
        <v>2.9</v>
      </c>
      <c r="G49" s="766">
        <f t="shared" si="17"/>
        <v>3.6</v>
      </c>
      <c r="H49" s="766">
        <f t="shared" si="17"/>
        <v>3.7</v>
      </c>
      <c r="I49" s="770"/>
      <c r="J49" s="770"/>
      <c r="K49" s="770"/>
      <c r="L49" s="768"/>
      <c r="M49" s="768"/>
      <c r="N49" s="849" t="s">
        <v>526</v>
      </c>
      <c r="O49" s="849">
        <f>COUNTIF(O9:O44,"&lt;1F")</f>
        <v>9</v>
      </c>
      <c r="P49" s="849">
        <f t="shared" ref="P49:Q49" si="18">COUNTIF(P9:P44,"&lt;1F")</f>
        <v>3</v>
      </c>
      <c r="Q49" s="849">
        <f t="shared" si="18"/>
        <v>7</v>
      </c>
      <c r="R49" s="429"/>
      <c r="S49" s="697"/>
      <c r="T49" s="851"/>
      <c r="U49" s="726"/>
      <c r="V49" s="726"/>
      <c r="W49" s="726"/>
      <c r="X49" s="726"/>
      <c r="Y49" s="726"/>
      <c r="Z49" s="726"/>
      <c r="AA49" s="726"/>
      <c r="AB49" s="726"/>
      <c r="AC49" s="726"/>
      <c r="AD49" s="726"/>
    </row>
    <row r="50" spans="1:30" s="16" customFormat="1" ht="19.5" customHeight="1" x14ac:dyDescent="0.2">
      <c r="B50" s="401"/>
      <c r="C50" s="765" t="s">
        <v>481</v>
      </c>
      <c r="D50" s="766" t="e">
        <f>SMALL(D9:D44,(D51+1))</f>
        <v>#NUM!</v>
      </c>
      <c r="E50" s="766">
        <f t="shared" ref="E50:H50" si="19">SMALL(E9:E44,(E51+1))</f>
        <v>2.5</v>
      </c>
      <c r="F50" s="766">
        <f t="shared" si="19"/>
        <v>1.6</v>
      </c>
      <c r="G50" s="766">
        <f t="shared" si="19"/>
        <v>2.9</v>
      </c>
      <c r="H50" s="766">
        <f t="shared" si="19"/>
        <v>2.1</v>
      </c>
      <c r="I50" s="770"/>
      <c r="J50" s="770"/>
      <c r="K50" s="770"/>
      <c r="L50" s="768"/>
      <c r="M50" s="768"/>
      <c r="N50" s="849" t="s">
        <v>453</v>
      </c>
      <c r="O50" s="849">
        <f>COUNTIF(O9:O44,"1F")</f>
        <v>15</v>
      </c>
      <c r="P50" s="849">
        <f>COUNTIF(P9:P44,"1F")</f>
        <v>12</v>
      </c>
      <c r="Q50" s="849">
        <f>COUNTIF(Q9:Q44,"1F")</f>
        <v>16</v>
      </c>
      <c r="R50" s="2"/>
      <c r="S50" s="697"/>
      <c r="T50" s="58"/>
      <c r="U50" s="698"/>
      <c r="V50" s="698"/>
      <c r="W50" s="698"/>
      <c r="X50" s="698"/>
      <c r="Y50" s="698"/>
      <c r="Z50" s="698"/>
      <c r="AA50" s="698"/>
      <c r="AB50" s="698"/>
      <c r="AC50" s="698"/>
      <c r="AD50" s="698"/>
    </row>
    <row r="51" spans="1:30" s="16" customFormat="1" ht="19.5" customHeight="1" x14ac:dyDescent="0.2">
      <c r="B51" s="401"/>
      <c r="C51" s="767">
        <v>0.25</v>
      </c>
      <c r="D51" s="766">
        <f>D52*0.25</f>
        <v>0</v>
      </c>
      <c r="E51" s="766">
        <f t="shared" ref="E51:H51" si="20">E52*0.25</f>
        <v>6.5</v>
      </c>
      <c r="F51" s="766">
        <f t="shared" si="20"/>
        <v>6.5</v>
      </c>
      <c r="G51" s="766">
        <f t="shared" si="20"/>
        <v>6.5</v>
      </c>
      <c r="H51" s="766">
        <f t="shared" si="20"/>
        <v>6.5</v>
      </c>
      <c r="I51" s="709"/>
      <c r="J51" s="709"/>
      <c r="K51" s="709"/>
      <c r="L51" s="769"/>
      <c r="M51" s="769"/>
      <c r="N51" s="849" t="s">
        <v>455</v>
      </c>
      <c r="O51" s="849">
        <f>COUNTIF(O9:O44,"2F/1S")</f>
        <v>2</v>
      </c>
      <c r="P51" s="849">
        <f>COUNTIF(P9:P44,"2F/1S")</f>
        <v>11</v>
      </c>
      <c r="Q51" s="849">
        <f>COUNTIF(Q9:Q44,"2F/1S")</f>
        <v>3</v>
      </c>
      <c r="R51" s="2"/>
      <c r="S51" s="697"/>
      <c r="T51" s="58"/>
      <c r="U51" s="698"/>
      <c r="V51" s="698"/>
      <c r="W51" s="698"/>
      <c r="X51" s="698"/>
      <c r="Y51" s="698"/>
      <c r="Z51" s="698"/>
      <c r="AA51" s="698"/>
      <c r="AB51" s="698"/>
      <c r="AC51" s="698"/>
      <c r="AD51" s="698"/>
    </row>
    <row r="52" spans="1:30" s="16" customFormat="1" ht="19.5" customHeight="1" x14ac:dyDescent="0.2">
      <c r="B52" s="401"/>
      <c r="C52" s="767" t="s">
        <v>482</v>
      </c>
      <c r="D52" s="766">
        <f>COUNT(D9:D44)</f>
        <v>0</v>
      </c>
      <c r="E52" s="766">
        <f t="shared" ref="E52:H52" si="21">COUNT(E9:E44)</f>
        <v>26</v>
      </c>
      <c r="F52" s="766">
        <f t="shared" si="21"/>
        <v>26</v>
      </c>
      <c r="G52" s="766">
        <f t="shared" si="21"/>
        <v>26</v>
      </c>
      <c r="H52" s="766">
        <f t="shared" si="21"/>
        <v>26</v>
      </c>
      <c r="I52" s="709"/>
      <c r="J52" s="709"/>
      <c r="K52" s="709"/>
      <c r="L52" s="769"/>
      <c r="M52" s="769"/>
      <c r="N52" s="917" t="s">
        <v>527</v>
      </c>
      <c r="O52" s="917">
        <f>SUM(O50:O51)</f>
        <v>17</v>
      </c>
      <c r="P52" s="917">
        <f t="shared" ref="P52:Q52" si="22">SUM(P50:P51)</f>
        <v>23</v>
      </c>
      <c r="Q52" s="917">
        <f t="shared" si="22"/>
        <v>19</v>
      </c>
      <c r="R52" s="2"/>
      <c r="S52" s="697"/>
      <c r="T52" s="58"/>
      <c r="U52" s="698"/>
      <c r="V52" s="698"/>
      <c r="W52" s="698"/>
      <c r="X52" s="698"/>
      <c r="Y52" s="698"/>
      <c r="Z52" s="698"/>
      <c r="AA52" s="698"/>
      <c r="AB52" s="698"/>
      <c r="AC52" s="698"/>
      <c r="AD52" s="698"/>
    </row>
    <row r="53" spans="1:30" s="16" customFormat="1" ht="19.5" customHeight="1" x14ac:dyDescent="0.2">
      <c r="B53" s="401"/>
      <c r="C53" s="765"/>
      <c r="D53" s="766"/>
      <c r="E53" s="766"/>
      <c r="F53" s="766"/>
      <c r="G53" s="766"/>
      <c r="H53" s="766"/>
      <c r="I53" s="769"/>
      <c r="J53" s="769"/>
      <c r="K53" s="769"/>
      <c r="L53" s="769"/>
      <c r="M53" s="769"/>
      <c r="N53" s="917" t="s">
        <v>107</v>
      </c>
      <c r="O53" s="917">
        <f>SUM(O49:O51)</f>
        <v>26</v>
      </c>
      <c r="P53" s="917">
        <f t="shared" ref="P53:Q53" si="23">SUM(P49:P51)</f>
        <v>26</v>
      </c>
      <c r="Q53" s="917">
        <f t="shared" si="23"/>
        <v>26</v>
      </c>
      <c r="R53" s="2"/>
      <c r="S53" s="697"/>
      <c r="T53" s="58"/>
      <c r="U53" s="698"/>
      <c r="V53" s="698"/>
      <c r="W53" s="698"/>
      <c r="X53" s="698"/>
      <c r="Y53" s="698"/>
      <c r="Z53" s="698"/>
      <c r="AA53" s="698"/>
      <c r="AB53" s="698"/>
      <c r="AC53" s="698"/>
      <c r="AD53" s="698"/>
    </row>
    <row r="54" spans="1:30" s="16" customFormat="1" ht="9.9499999999999993" customHeight="1" x14ac:dyDescent="0.2">
      <c r="B54" s="401"/>
      <c r="C54" s="742"/>
      <c r="D54" s="174"/>
      <c r="E54" s="174"/>
      <c r="F54" s="174"/>
      <c r="G54" s="174"/>
      <c r="H54" s="174"/>
      <c r="I54" s="769"/>
      <c r="J54" s="769"/>
      <c r="K54" s="769"/>
      <c r="L54" s="769"/>
      <c r="M54" s="769"/>
      <c r="N54" s="727"/>
      <c r="O54" s="847"/>
      <c r="P54" s="847"/>
      <c r="Q54" s="847"/>
      <c r="R54" s="2"/>
      <c r="S54" s="697"/>
      <c r="T54" s="58"/>
      <c r="U54" s="698"/>
      <c r="V54" s="698"/>
      <c r="W54" s="698"/>
      <c r="X54" s="698"/>
      <c r="Y54" s="698"/>
      <c r="Z54" s="698"/>
      <c r="AA54" s="698"/>
      <c r="AB54" s="698"/>
      <c r="AC54" s="698"/>
      <c r="AD54" s="698"/>
    </row>
    <row r="55" spans="1:30" s="16" customFormat="1" ht="19.5" customHeight="1" x14ac:dyDescent="0.2">
      <c r="B55" s="401"/>
      <c r="C55" s="742"/>
      <c r="D55" s="174"/>
      <c r="E55" s="174"/>
      <c r="F55" s="174"/>
      <c r="G55" s="174"/>
      <c r="H55" s="174"/>
      <c r="I55" s="769"/>
      <c r="J55" s="769"/>
      <c r="K55" s="769"/>
      <c r="L55" s="769"/>
      <c r="M55" s="769"/>
      <c r="N55" s="727"/>
      <c r="O55" s="847"/>
      <c r="P55" s="847"/>
      <c r="Q55" s="847"/>
      <c r="R55" s="2"/>
      <c r="S55" s="697"/>
      <c r="T55" s="58"/>
      <c r="U55" s="698"/>
      <c r="V55" s="698"/>
      <c r="W55" s="698"/>
      <c r="X55" s="698"/>
      <c r="Y55" s="698"/>
      <c r="Z55" s="698"/>
      <c r="AA55" s="698"/>
      <c r="AB55" s="698"/>
      <c r="AC55" s="698"/>
      <c r="AD55" s="698"/>
    </row>
    <row r="56" spans="1:30" s="16" customFormat="1" ht="19.5" customHeight="1" x14ac:dyDescent="0.2">
      <c r="B56" s="401"/>
      <c r="C56" s="742"/>
      <c r="D56" s="174"/>
      <c r="E56" s="174"/>
      <c r="F56" s="174"/>
      <c r="G56" s="174"/>
      <c r="H56" s="174"/>
      <c r="I56" s="769"/>
      <c r="J56" s="769"/>
      <c r="K56" s="769"/>
      <c r="L56" s="769"/>
      <c r="M56" s="769"/>
      <c r="N56" s="727"/>
      <c r="O56" s="847"/>
      <c r="P56" s="847"/>
      <c r="Q56" s="847"/>
      <c r="R56" s="2"/>
      <c r="S56" s="697"/>
      <c r="T56" s="58"/>
      <c r="U56" s="698"/>
      <c r="V56" s="698"/>
      <c r="W56" s="698"/>
      <c r="X56" s="698"/>
      <c r="Y56" s="698"/>
      <c r="Z56" s="698"/>
      <c r="AA56" s="698"/>
      <c r="AB56" s="698"/>
      <c r="AC56" s="698"/>
      <c r="AD56" s="698"/>
    </row>
    <row r="57" spans="1:30" s="16" customFormat="1" ht="19.5" customHeight="1" x14ac:dyDescent="0.2">
      <c r="B57" s="401"/>
      <c r="C57" s="742"/>
      <c r="D57" s="174"/>
      <c r="E57" s="174"/>
      <c r="F57" s="174"/>
      <c r="G57" s="174"/>
      <c r="H57" s="174"/>
      <c r="I57" s="709"/>
      <c r="J57" s="709"/>
      <c r="K57" s="709"/>
      <c r="L57" s="709"/>
      <c r="M57" s="709"/>
      <c r="N57" s="727"/>
      <c r="O57" s="847"/>
      <c r="P57" s="847"/>
      <c r="Q57" s="847"/>
      <c r="R57" s="2"/>
      <c r="S57" s="697"/>
      <c r="T57" s="58"/>
      <c r="U57" s="698"/>
      <c r="V57" s="698"/>
      <c r="W57" s="698"/>
      <c r="X57" s="698"/>
      <c r="Y57" s="698"/>
      <c r="Z57" s="698"/>
      <c r="AA57" s="698"/>
      <c r="AB57" s="698"/>
      <c r="AC57" s="698"/>
      <c r="AD57" s="698"/>
    </row>
    <row r="58" spans="1:30" s="16" customFormat="1" ht="19.5" customHeight="1" x14ac:dyDescent="0.2">
      <c r="B58" s="401"/>
      <c r="C58" s="742"/>
      <c r="D58" s="174"/>
      <c r="E58" s="174"/>
      <c r="F58" s="174"/>
      <c r="G58" s="174"/>
      <c r="H58" s="174"/>
      <c r="I58" s="709"/>
      <c r="J58" s="709"/>
      <c r="K58" s="709"/>
      <c r="L58" s="709"/>
      <c r="M58" s="709"/>
      <c r="N58" s="727"/>
      <c r="O58" s="847"/>
      <c r="P58" s="847"/>
      <c r="Q58" s="847"/>
      <c r="R58" s="2"/>
      <c r="S58" s="697"/>
      <c r="T58" s="58"/>
      <c r="U58" s="698"/>
      <c r="V58" s="698"/>
      <c r="W58" s="698"/>
      <c r="X58" s="698"/>
      <c r="Y58" s="698"/>
      <c r="Z58" s="698"/>
      <c r="AA58" s="698"/>
      <c r="AB58" s="698"/>
      <c r="AC58" s="698"/>
      <c r="AD58" s="698"/>
    </row>
    <row r="59" spans="1:30" s="16" customFormat="1" ht="19.5" customHeight="1" x14ac:dyDescent="0.2">
      <c r="B59" s="401"/>
      <c r="C59" s="742"/>
      <c r="D59" s="174"/>
      <c r="E59" s="174"/>
      <c r="F59" s="174"/>
      <c r="G59" s="174"/>
      <c r="H59" s="174"/>
      <c r="I59" s="709"/>
      <c r="J59" s="709"/>
      <c r="K59" s="709"/>
      <c r="L59" s="709"/>
      <c r="M59" s="709"/>
      <c r="N59" s="727"/>
      <c r="O59" s="847"/>
      <c r="P59" s="847"/>
      <c r="Q59" s="847"/>
      <c r="R59" s="2"/>
      <c r="S59" s="697"/>
      <c r="T59" s="58"/>
      <c r="U59" s="698"/>
      <c r="V59" s="698"/>
      <c r="W59" s="698"/>
      <c r="X59" s="698"/>
      <c r="Y59" s="698"/>
      <c r="Z59" s="698"/>
      <c r="AA59" s="698"/>
      <c r="AB59" s="698"/>
      <c r="AC59" s="698"/>
      <c r="AD59" s="698"/>
    </row>
    <row r="60" spans="1:30" s="16" customFormat="1" ht="19.5" customHeight="1" x14ac:dyDescent="0.2">
      <c r="B60" s="401"/>
      <c r="C60" s="742"/>
      <c r="D60" s="174"/>
      <c r="E60" s="174"/>
      <c r="F60" s="174"/>
      <c r="G60" s="174"/>
      <c r="H60" s="174"/>
      <c r="I60" s="709"/>
      <c r="J60" s="709"/>
      <c r="K60" s="709"/>
      <c r="L60" s="709"/>
      <c r="M60" s="709"/>
      <c r="N60" s="728"/>
      <c r="O60" s="728"/>
      <c r="P60" s="728"/>
      <c r="Q60" s="728"/>
      <c r="R60" s="2"/>
      <c r="S60" s="697"/>
      <c r="T60" s="58"/>
      <c r="U60" s="698"/>
      <c r="V60" s="698"/>
      <c r="W60" s="698"/>
      <c r="X60" s="698"/>
      <c r="Y60" s="698"/>
      <c r="Z60" s="698"/>
      <c r="AA60" s="698"/>
      <c r="AB60" s="698"/>
      <c r="AC60" s="698"/>
      <c r="AD60" s="698"/>
    </row>
    <row r="61" spans="1:30" x14ac:dyDescent="0.2">
      <c r="B61" s="401"/>
      <c r="C61" s="742"/>
      <c r="D61" s="174"/>
      <c r="E61" s="174"/>
      <c r="F61" s="174"/>
      <c r="G61" s="174"/>
      <c r="H61" s="174"/>
    </row>
    <row r="62" spans="1:30" x14ac:dyDescent="0.2">
      <c r="B62" s="401"/>
      <c r="C62" s="742"/>
      <c r="D62" s="174"/>
      <c r="E62" s="174"/>
      <c r="F62" s="174"/>
      <c r="G62" s="174"/>
      <c r="H62" s="174"/>
    </row>
    <row r="63" spans="1:30" x14ac:dyDescent="0.2">
      <c r="C63" s="742"/>
      <c r="D63" s="174"/>
      <c r="E63" s="174"/>
      <c r="F63" s="174"/>
      <c r="G63" s="174"/>
      <c r="H63" s="174"/>
    </row>
    <row r="64" spans="1:30" x14ac:dyDescent="0.2">
      <c r="C64" s="742"/>
      <c r="D64" s="174"/>
      <c r="E64" s="174"/>
      <c r="F64" s="174"/>
      <c r="G64" s="174"/>
      <c r="H64" s="174"/>
    </row>
    <row r="65" spans="3:8" x14ac:dyDescent="0.2">
      <c r="C65" s="742"/>
      <c r="D65" s="174"/>
      <c r="E65" s="174"/>
      <c r="F65" s="174"/>
      <c r="G65" s="174"/>
      <c r="H65" s="174"/>
    </row>
  </sheetData>
  <sheetProtection sheet="1" objects="1" scenarios="1"/>
  <mergeCells count="2">
    <mergeCell ref="D2:H2"/>
    <mergeCell ref="O2:Q6"/>
  </mergeCells>
  <phoneticPr fontId="9" type="noConversion"/>
  <conditionalFormatting sqref="C9:C44">
    <cfRule type="expression" dxfId="2097" priority="1208" stopIfTrue="1">
      <formula>$M9=""</formula>
    </cfRule>
    <cfRule type="expression" dxfId="2096" priority="1209" stopIfTrue="1">
      <formula>$M9="A+"</formula>
    </cfRule>
  </conditionalFormatting>
  <conditionalFormatting sqref="M9:M44 D46:L46">
    <cfRule type="cellIs" dxfId="2095" priority="1210" stopIfTrue="1" operator="between">
      <formula>"D-3"</formula>
      <formula>"E-5"</formula>
    </cfRule>
    <cfRule type="cellIs" dxfId="2094" priority="1211" stopIfTrue="1" operator="between">
      <formula>"B-2"</formula>
      <formula>"B-3"</formula>
    </cfRule>
    <cfRule type="cellIs" dxfId="2093" priority="1212" stopIfTrue="1" operator="between">
      <formula>"A-1"</formula>
      <formula>"A-2"</formula>
    </cfRule>
  </conditionalFormatting>
  <conditionalFormatting sqref="L9:L44 D45:L45">
    <cfRule type="cellIs" dxfId="2092" priority="1216" stopIfTrue="1" operator="between">
      <formula>0.001</formula>
      <formula>1.999</formula>
    </cfRule>
    <cfRule type="cellIs" dxfId="2091" priority="1217" stopIfTrue="1" operator="between">
      <formula>3</formula>
      <formula>3.999</formula>
    </cfRule>
    <cfRule type="cellIs" dxfId="2090" priority="1218" stopIfTrue="1" operator="between">
      <formula>4</formula>
      <formula>5</formula>
    </cfRule>
  </conditionalFormatting>
  <conditionalFormatting sqref="A8:A44">
    <cfRule type="cellIs" dxfId="2089" priority="1186" operator="greaterThan">
      <formula>0</formula>
    </cfRule>
  </conditionalFormatting>
  <conditionalFormatting sqref="D41:H44 D39:F40">
    <cfRule type="cellIs" dxfId="2088" priority="1164" stopIfTrue="1" operator="between">
      <formula>0.1</formula>
      <formula>1.9</formula>
    </cfRule>
    <cfRule type="cellIs" dxfId="2087" priority="1165" stopIfTrue="1" operator="between">
      <formula>3</formula>
      <formula>3.9</formula>
    </cfRule>
    <cfRule type="cellIs" dxfId="2086" priority="1166" stopIfTrue="1" operator="between">
      <formula>4</formula>
      <formula>5</formula>
    </cfRule>
  </conditionalFormatting>
  <conditionalFormatting sqref="D41:H44 D39:F40">
    <cfRule type="cellIs" dxfId="2085" priority="1163" operator="between">
      <formula>2</formula>
      <formula>2.9</formula>
    </cfRule>
  </conditionalFormatting>
  <conditionalFormatting sqref="M9:M44 D46:H46">
    <cfRule type="cellIs" dxfId="2084" priority="1039" operator="equal">
      <formula>"E-5-"</formula>
    </cfRule>
    <cfRule type="cellIs" dxfId="2083" priority="1041" operator="equal">
      <formula>"A-1+"</formula>
    </cfRule>
  </conditionalFormatting>
  <conditionalFormatting sqref="L46">
    <cfRule type="cellIs" dxfId="2082" priority="1037" operator="equal">
      <formula>"E-5-"</formula>
    </cfRule>
    <cfRule type="cellIs" dxfId="2081" priority="1038" operator="equal">
      <formula>"A-1+"</formula>
    </cfRule>
  </conditionalFormatting>
  <conditionalFormatting sqref="D41:H44 D39:F40">
    <cfRule type="cellIs" dxfId="2080" priority="999" operator="equal">
      <formula>""</formula>
    </cfRule>
  </conditionalFormatting>
  <conditionalFormatting sqref="D37:F38">
    <cfRule type="cellIs" dxfId="2079" priority="929" stopIfTrue="1" operator="between">
      <formula>0.1</formula>
      <formula>1.9</formula>
    </cfRule>
    <cfRule type="cellIs" dxfId="2078" priority="930" stopIfTrue="1" operator="between">
      <formula>3</formula>
      <formula>3.9</formula>
    </cfRule>
    <cfRule type="cellIs" dxfId="2077" priority="931" stopIfTrue="1" operator="between">
      <formula>4</formula>
      <formula>5</formula>
    </cfRule>
  </conditionalFormatting>
  <conditionalFormatting sqref="D37:F38">
    <cfRule type="cellIs" dxfId="2076" priority="928" operator="between">
      <formula>2</formula>
      <formula>2.9</formula>
    </cfRule>
  </conditionalFormatting>
  <conditionalFormatting sqref="E37">
    <cfRule type="cellIs" dxfId="2075" priority="925" stopIfTrue="1" operator="between">
      <formula>0.1</formula>
      <formula>1.9</formula>
    </cfRule>
    <cfRule type="cellIs" dxfId="2074" priority="926" stopIfTrue="1" operator="between">
      <formula>3</formula>
      <formula>3.9</formula>
    </cfRule>
    <cfRule type="cellIs" dxfId="2073" priority="927" stopIfTrue="1" operator="between">
      <formula>4</formula>
      <formula>5</formula>
    </cfRule>
  </conditionalFormatting>
  <conditionalFormatting sqref="E37">
    <cfRule type="cellIs" dxfId="2072" priority="918" operator="between">
      <formula>2</formula>
      <formula>2.9</formula>
    </cfRule>
  </conditionalFormatting>
  <conditionalFormatting sqref="D37">
    <cfRule type="cellIs" dxfId="2071" priority="915" stopIfTrue="1" operator="between">
      <formula>0.1</formula>
      <formula>1.9</formula>
    </cfRule>
    <cfRule type="cellIs" dxfId="2070" priority="916" stopIfTrue="1" operator="between">
      <formula>3</formula>
      <formula>3.9</formula>
    </cfRule>
    <cfRule type="cellIs" dxfId="2069" priority="917" stopIfTrue="1" operator="between">
      <formula>4</formula>
      <formula>5</formula>
    </cfRule>
  </conditionalFormatting>
  <conditionalFormatting sqref="D37">
    <cfRule type="cellIs" dxfId="2068" priority="908" operator="between">
      <formula>2</formula>
      <formula>2.9</formula>
    </cfRule>
  </conditionalFormatting>
  <conditionalFormatting sqref="D37:F38">
    <cfRule type="cellIs" dxfId="2067" priority="851" operator="equal">
      <formula>""</formula>
    </cfRule>
  </conditionalFormatting>
  <conditionalFormatting sqref="F37">
    <cfRule type="cellIs" dxfId="2066" priority="821" stopIfTrue="1" operator="between">
      <formula>0.1</formula>
      <formula>1.9</formula>
    </cfRule>
    <cfRule type="cellIs" dxfId="2065" priority="822" stopIfTrue="1" operator="between">
      <formula>3</formula>
      <formula>3.9</formula>
    </cfRule>
    <cfRule type="cellIs" dxfId="2064" priority="823" stopIfTrue="1" operator="between">
      <formula>4</formula>
      <formula>5</formula>
    </cfRule>
  </conditionalFormatting>
  <conditionalFormatting sqref="F37">
    <cfRule type="cellIs" dxfId="2063" priority="817" operator="between">
      <formula>2</formula>
      <formula>2.9</formula>
    </cfRule>
  </conditionalFormatting>
  <conditionalFormatting sqref="F37">
    <cfRule type="cellIs" dxfId="2062" priority="794" operator="equal">
      <formula>""</formula>
    </cfRule>
  </conditionalFormatting>
  <conditionalFormatting sqref="G37:H40">
    <cfRule type="cellIs" dxfId="2061" priority="702" stopIfTrue="1" operator="between">
      <formula>0.1</formula>
      <formula>1.9</formula>
    </cfRule>
    <cfRule type="cellIs" dxfId="2060" priority="703" stopIfTrue="1" operator="between">
      <formula>3</formula>
      <formula>3.9</formula>
    </cfRule>
    <cfRule type="cellIs" dxfId="2059" priority="704" stopIfTrue="1" operator="between">
      <formula>4</formula>
      <formula>5</formula>
    </cfRule>
  </conditionalFormatting>
  <conditionalFormatting sqref="G37:H40">
    <cfRule type="cellIs" dxfId="2058" priority="701" operator="between">
      <formula>2</formula>
      <formula>2.9</formula>
    </cfRule>
  </conditionalFormatting>
  <conditionalFormatting sqref="G37:H37">
    <cfRule type="cellIs" dxfId="2057" priority="698" stopIfTrue="1" operator="between">
      <formula>0.1</formula>
      <formula>1.9</formula>
    </cfRule>
    <cfRule type="cellIs" dxfId="2056" priority="699" stopIfTrue="1" operator="between">
      <formula>3</formula>
      <formula>3.9</formula>
    </cfRule>
    <cfRule type="cellIs" dxfId="2055" priority="700" stopIfTrue="1" operator="between">
      <formula>4</formula>
      <formula>5</formula>
    </cfRule>
  </conditionalFormatting>
  <conditionalFormatting sqref="G37:H37">
    <cfRule type="cellIs" dxfId="2054" priority="691" operator="between">
      <formula>2</formula>
      <formula>2.9</formula>
    </cfRule>
  </conditionalFormatting>
  <conditionalFormatting sqref="G37:H40">
    <cfRule type="cellIs" dxfId="2053" priority="653" operator="equal">
      <formula>""</formula>
    </cfRule>
  </conditionalFormatting>
  <conditionalFormatting sqref="D26">
    <cfRule type="cellIs" dxfId="2052" priority="273" stopIfTrue="1" operator="between">
      <formula>0.1</formula>
      <formula>1.9</formula>
    </cfRule>
    <cfRule type="cellIs" dxfId="2051" priority="274" stopIfTrue="1" operator="between">
      <formula>3</formula>
      <formula>3.9</formula>
    </cfRule>
    <cfRule type="cellIs" dxfId="2050" priority="275" stopIfTrue="1" operator="between">
      <formula>4</formula>
      <formula>5</formula>
    </cfRule>
  </conditionalFormatting>
  <conditionalFormatting sqref="E27">
    <cfRule type="cellIs" dxfId="2049" priority="270" stopIfTrue="1" operator="between">
      <formula>0.1</formula>
      <formula>1.9</formula>
    </cfRule>
    <cfRule type="cellIs" dxfId="2048" priority="271" stopIfTrue="1" operator="between">
      <formula>3</formula>
      <formula>3.9</formula>
    </cfRule>
    <cfRule type="cellIs" dxfId="2047" priority="272" stopIfTrue="1" operator="between">
      <formula>4</formula>
      <formula>5</formula>
    </cfRule>
  </conditionalFormatting>
  <conditionalFormatting sqref="T9:T44">
    <cfRule type="expression" dxfId="2046" priority="592" stopIfTrue="1">
      <formula>$M9=""</formula>
    </cfRule>
    <cfRule type="expression" dxfId="2045" priority="593" stopIfTrue="1">
      <formula>$M9="A+"</formula>
    </cfRule>
  </conditionalFormatting>
  <conditionalFormatting sqref="AC9:AC44">
    <cfRule type="cellIs" dxfId="2044" priority="588" stopIfTrue="1" operator="between">
      <formula>0.001</formula>
      <formula>1.999</formula>
    </cfRule>
    <cfRule type="cellIs" dxfId="2043" priority="589" stopIfTrue="1" operator="between">
      <formula>3</formula>
      <formula>3.999</formula>
    </cfRule>
    <cfRule type="cellIs" dxfId="2042" priority="590" stopIfTrue="1" operator="between">
      <formula>4</formula>
      <formula>5</formula>
    </cfRule>
  </conditionalFormatting>
  <conditionalFormatting sqref="U9:U44">
    <cfRule type="expression" dxfId="2041" priority="583">
      <formula>$U9=""</formula>
    </cfRule>
    <cfRule type="expression" dxfId="2040" priority="584">
      <formula>$U9&lt;=$U$4</formula>
    </cfRule>
    <cfRule type="expression" dxfId="2039" priority="585">
      <formula>$U9&gt;=$U$3</formula>
    </cfRule>
  </conditionalFormatting>
  <conditionalFormatting sqref="V9:V44">
    <cfRule type="expression" dxfId="2038" priority="580">
      <formula>$V9=""</formula>
    </cfRule>
    <cfRule type="expression" dxfId="2037" priority="581">
      <formula>$V9&lt;=$V$4</formula>
    </cfRule>
    <cfRule type="expression" dxfId="2036" priority="582">
      <formula>$V9&gt;=$V$3</formula>
    </cfRule>
  </conditionalFormatting>
  <conditionalFormatting sqref="W9:W44">
    <cfRule type="expression" dxfId="2035" priority="577">
      <formula>$W9=""</formula>
    </cfRule>
    <cfRule type="expression" dxfId="2034" priority="578">
      <formula>$W9&lt;=$W$4</formula>
    </cfRule>
    <cfRule type="expression" dxfId="2033" priority="579">
      <formula>$W9&gt;=$W$3</formula>
    </cfRule>
  </conditionalFormatting>
  <conditionalFormatting sqref="X9:X44">
    <cfRule type="expression" dxfId="2032" priority="574">
      <formula>$X9=""</formula>
    </cfRule>
    <cfRule type="expression" dxfId="2031" priority="575">
      <formula>$X9&lt;=$X$4</formula>
    </cfRule>
    <cfRule type="expression" dxfId="2030" priority="576">
      <formula>$X9&gt;=$X$3</formula>
    </cfRule>
  </conditionalFormatting>
  <conditionalFormatting sqref="Y9:Y44">
    <cfRule type="expression" dxfId="2029" priority="571">
      <formula>$Y9=""</formula>
    </cfRule>
    <cfRule type="expression" dxfId="2028" priority="572">
      <formula>$Y9&lt;=$Y$4</formula>
    </cfRule>
    <cfRule type="expression" dxfId="2027" priority="573">
      <formula>$Y9&gt;=$Y$3</formula>
    </cfRule>
  </conditionalFormatting>
  <conditionalFormatting sqref="AD9:AD44">
    <cfRule type="cellIs" dxfId="2026" priority="568" operator="equal">
      <formula>""</formula>
    </cfRule>
    <cfRule type="cellIs" dxfId="2025" priority="569" operator="lessThan">
      <formula>0.9</formula>
    </cfRule>
    <cfRule type="cellIs" dxfId="2024" priority="570" operator="greaterThanOrEqual">
      <formula>1.1</formula>
    </cfRule>
  </conditionalFormatting>
  <conditionalFormatting sqref="R8:R44">
    <cfRule type="cellIs" dxfId="2023" priority="567" operator="greaterThan">
      <formula>0</formula>
    </cfRule>
  </conditionalFormatting>
  <conditionalFormatting sqref="O9:Q44">
    <cfRule type="cellIs" dxfId="2022" priority="564" operator="equal">
      <formula>"2F/1S"</formula>
    </cfRule>
    <cfRule type="cellIs" dxfId="2021" priority="565" operator="equal">
      <formula>"1F"</formula>
    </cfRule>
    <cfRule type="cellIs" dxfId="2020" priority="566" operator="equal">
      <formula>"&lt;1F"</formula>
    </cfRule>
  </conditionalFormatting>
  <conditionalFormatting sqref="E20">
    <cfRule type="cellIs" dxfId="2019" priority="228" stopIfTrue="1" operator="between">
      <formula>0.1</formula>
      <formula>1.9</formula>
    </cfRule>
    <cfRule type="cellIs" dxfId="2018" priority="229" stopIfTrue="1" operator="between">
      <formula>3</formula>
      <formula>3.9</formula>
    </cfRule>
    <cfRule type="cellIs" dxfId="2017" priority="230" stopIfTrue="1" operator="between">
      <formula>4</formula>
      <formula>5</formula>
    </cfRule>
  </conditionalFormatting>
  <conditionalFormatting sqref="D20">
    <cfRule type="cellIs" dxfId="2016" priority="225" stopIfTrue="1" operator="between">
      <formula>0.1</formula>
      <formula>1.9</formula>
    </cfRule>
    <cfRule type="cellIs" dxfId="2015" priority="226" stopIfTrue="1" operator="between">
      <formula>3</formula>
      <formula>3.9</formula>
    </cfRule>
    <cfRule type="cellIs" dxfId="2014" priority="227" stopIfTrue="1" operator="between">
      <formula>4</formula>
      <formula>5</formula>
    </cfRule>
  </conditionalFormatting>
  <conditionalFormatting sqref="F33:F36">
    <cfRule type="cellIs" dxfId="2013" priority="221" stopIfTrue="1" operator="between">
      <formula>0.1</formula>
      <formula>1.9</formula>
    </cfRule>
    <cfRule type="cellIs" dxfId="2012" priority="222" stopIfTrue="1" operator="between">
      <formula>3</formula>
      <formula>3.9</formula>
    </cfRule>
    <cfRule type="cellIs" dxfId="2011" priority="223" stopIfTrue="1" operator="between">
      <formula>4</formula>
      <formula>5</formula>
    </cfRule>
  </conditionalFormatting>
  <conditionalFormatting sqref="F30:F34">
    <cfRule type="cellIs" dxfId="2010" priority="218" stopIfTrue="1" operator="between">
      <formula>0.1</formula>
      <formula>1.9</formula>
    </cfRule>
    <cfRule type="cellIs" dxfId="2009" priority="219" stopIfTrue="1" operator="between">
      <formula>3</formula>
      <formula>3.9</formula>
    </cfRule>
    <cfRule type="cellIs" dxfId="2008" priority="220" stopIfTrue="1" operator="between">
      <formula>4</formula>
      <formula>5</formula>
    </cfRule>
  </conditionalFormatting>
  <conditionalFormatting sqref="F23:F27">
    <cfRule type="cellIs" dxfId="2007" priority="208" stopIfTrue="1" operator="between">
      <formula>0.1</formula>
      <formula>1.9</formula>
    </cfRule>
    <cfRule type="cellIs" dxfId="2006" priority="209" stopIfTrue="1" operator="between">
      <formula>3</formula>
      <formula>3.9</formula>
    </cfRule>
    <cfRule type="cellIs" dxfId="2005" priority="210" stopIfTrue="1" operator="between">
      <formula>4</formula>
      <formula>5</formula>
    </cfRule>
  </conditionalFormatting>
  <conditionalFormatting sqref="F25:F31">
    <cfRule type="cellIs" dxfId="2004" priority="205" stopIfTrue="1" operator="between">
      <formula>0.1</formula>
      <formula>1.9</formula>
    </cfRule>
    <cfRule type="cellIs" dxfId="2003" priority="206" stopIfTrue="1" operator="between">
      <formula>3</formula>
      <formula>3.9</formula>
    </cfRule>
    <cfRule type="cellIs" dxfId="2002" priority="207" stopIfTrue="1" operator="between">
      <formula>4</formula>
      <formula>5</formula>
    </cfRule>
  </conditionalFormatting>
  <conditionalFormatting sqref="E31">
    <cfRule type="cellIs" dxfId="2001" priority="177" stopIfTrue="1" operator="between">
      <formula>0.1</formula>
      <formula>1.9</formula>
    </cfRule>
    <cfRule type="cellIs" dxfId="2000" priority="178" stopIfTrue="1" operator="between">
      <formula>3</formula>
      <formula>3.9</formula>
    </cfRule>
    <cfRule type="cellIs" dxfId="1999" priority="179" stopIfTrue="1" operator="between">
      <formula>4</formula>
      <formula>5</formula>
    </cfRule>
  </conditionalFormatting>
  <conditionalFormatting sqref="E26">
    <cfRule type="cellIs" dxfId="1998" priority="174" stopIfTrue="1" operator="between">
      <formula>0.1</formula>
      <formula>1.9</formula>
    </cfRule>
    <cfRule type="cellIs" dxfId="1997" priority="175" stopIfTrue="1" operator="between">
      <formula>3</formula>
      <formula>3.9</formula>
    </cfRule>
    <cfRule type="cellIs" dxfId="1996" priority="176" stopIfTrue="1" operator="between">
      <formula>4</formula>
      <formula>5</formula>
    </cfRule>
  </conditionalFormatting>
  <conditionalFormatting sqref="D25">
    <cfRule type="cellIs" dxfId="1995" priority="153" stopIfTrue="1" operator="between">
      <formula>0.1</formula>
      <formula>1.9</formula>
    </cfRule>
    <cfRule type="cellIs" dxfId="1994" priority="154" stopIfTrue="1" operator="between">
      <formula>3</formula>
      <formula>3.9</formula>
    </cfRule>
    <cfRule type="cellIs" dxfId="1993" priority="155" stopIfTrue="1" operator="between">
      <formula>4</formula>
      <formula>5</formula>
    </cfRule>
  </conditionalFormatting>
  <conditionalFormatting sqref="E26">
    <cfRule type="cellIs" dxfId="1992" priority="150" stopIfTrue="1" operator="between">
      <formula>0.1</formula>
      <formula>1.9</formula>
    </cfRule>
    <cfRule type="cellIs" dxfId="1991" priority="151" stopIfTrue="1" operator="between">
      <formula>3</formula>
      <formula>3.9</formula>
    </cfRule>
    <cfRule type="cellIs" dxfId="1990" priority="152" stopIfTrue="1" operator="between">
      <formula>4</formula>
      <formula>5</formula>
    </cfRule>
  </conditionalFormatting>
  <conditionalFormatting sqref="E26">
    <cfRule type="cellIs" dxfId="1989" priority="147" stopIfTrue="1" operator="between">
      <formula>0.1</formula>
      <formula>1.9</formula>
    </cfRule>
    <cfRule type="cellIs" dxfId="1988" priority="148" stopIfTrue="1" operator="between">
      <formula>3</formula>
      <formula>3.9</formula>
    </cfRule>
    <cfRule type="cellIs" dxfId="1987" priority="149" stopIfTrue="1" operator="between">
      <formula>4</formula>
      <formula>5</formula>
    </cfRule>
  </conditionalFormatting>
  <conditionalFormatting sqref="D26">
    <cfRule type="cellIs" dxfId="1986" priority="144" stopIfTrue="1" operator="between">
      <formula>0.1</formula>
      <formula>1.9</formula>
    </cfRule>
    <cfRule type="cellIs" dxfId="1985" priority="145" stopIfTrue="1" operator="between">
      <formula>3</formula>
      <formula>3.9</formula>
    </cfRule>
    <cfRule type="cellIs" dxfId="1984" priority="146" stopIfTrue="1" operator="between">
      <formula>4</formula>
      <formula>5</formula>
    </cfRule>
  </conditionalFormatting>
  <conditionalFormatting sqref="F25">
    <cfRule type="cellIs" dxfId="1983" priority="120" stopIfTrue="1" operator="between">
      <formula>0.1</formula>
      <formula>1.9</formula>
    </cfRule>
    <cfRule type="cellIs" dxfId="1982" priority="121" stopIfTrue="1" operator="between">
      <formula>3</formula>
      <formula>3.9</formula>
    </cfRule>
    <cfRule type="cellIs" dxfId="1981" priority="122" stopIfTrue="1" operator="between">
      <formula>4</formula>
      <formula>5</formula>
    </cfRule>
  </conditionalFormatting>
  <conditionalFormatting sqref="H23:H31">
    <cfRule type="cellIs" dxfId="1980" priority="92" stopIfTrue="1" operator="between">
      <formula>0.1</formula>
      <formula>1.9</formula>
    </cfRule>
    <cfRule type="cellIs" dxfId="1979" priority="93" stopIfTrue="1" operator="between">
      <formula>3</formula>
      <formula>3.9</formula>
    </cfRule>
    <cfRule type="cellIs" dxfId="1978" priority="94" stopIfTrue="1" operator="between">
      <formula>4</formula>
      <formula>5</formula>
    </cfRule>
  </conditionalFormatting>
  <conditionalFormatting sqref="G23:G31">
    <cfRule type="cellIs" dxfId="1977" priority="89" stopIfTrue="1" operator="between">
      <formula>0.1</formula>
      <formula>1.9</formula>
    </cfRule>
    <cfRule type="cellIs" dxfId="1976" priority="90" stopIfTrue="1" operator="between">
      <formula>3</formula>
      <formula>3.9</formula>
    </cfRule>
    <cfRule type="cellIs" dxfId="1975" priority="91" stopIfTrue="1" operator="between">
      <formula>4</formula>
      <formula>5</formula>
    </cfRule>
  </conditionalFormatting>
  <conditionalFormatting sqref="G25:H25">
    <cfRule type="cellIs" dxfId="1974" priority="86" stopIfTrue="1" operator="between">
      <formula>0.1</formula>
      <formula>1.9</formula>
    </cfRule>
    <cfRule type="cellIs" dxfId="1973" priority="87" stopIfTrue="1" operator="between">
      <formula>3</formula>
      <formula>3.9</formula>
    </cfRule>
    <cfRule type="cellIs" dxfId="1972" priority="88" stopIfTrue="1" operator="between">
      <formula>4</formula>
      <formula>5</formula>
    </cfRule>
  </conditionalFormatting>
  <conditionalFormatting sqref="H28 G23:H27">
    <cfRule type="cellIs" dxfId="1971" priority="83" stopIfTrue="1" operator="between">
      <formula>0.1</formula>
      <formula>1.9</formula>
    </cfRule>
    <cfRule type="cellIs" dxfId="1970" priority="84" stopIfTrue="1" operator="between">
      <formula>3</formula>
      <formula>3.9</formula>
    </cfRule>
    <cfRule type="cellIs" dxfId="1969" priority="85" stopIfTrue="1" operator="between">
      <formula>4</formula>
      <formula>5</formula>
    </cfRule>
  </conditionalFormatting>
  <conditionalFormatting sqref="G25:H31">
    <cfRule type="cellIs" dxfId="1968" priority="80" stopIfTrue="1" operator="between">
      <formula>0.1</formula>
      <formula>1.9</formula>
    </cfRule>
    <cfRule type="cellIs" dxfId="1967" priority="81" stopIfTrue="1" operator="between">
      <formula>3</formula>
      <formula>3.9</formula>
    </cfRule>
    <cfRule type="cellIs" dxfId="1966" priority="82" stopIfTrue="1" operator="between">
      <formula>4</formula>
      <formula>5</formula>
    </cfRule>
  </conditionalFormatting>
  <conditionalFormatting sqref="G31">
    <cfRule type="cellIs" dxfId="1965" priority="37" stopIfTrue="1" operator="between">
      <formula>0.1</formula>
      <formula>1.9</formula>
    </cfRule>
    <cfRule type="cellIs" dxfId="1964" priority="38" stopIfTrue="1" operator="between">
      <formula>3</formula>
      <formula>3.9</formula>
    </cfRule>
    <cfRule type="cellIs" dxfId="1963" priority="39" stopIfTrue="1" operator="between">
      <formula>4</formula>
      <formula>5</formula>
    </cfRule>
  </conditionalFormatting>
  <conditionalFormatting sqref="G26:H26">
    <cfRule type="cellIs" dxfId="1962" priority="16" stopIfTrue="1" operator="between">
      <formula>0.1</formula>
      <formula>1.9</formula>
    </cfRule>
    <cfRule type="cellIs" dxfId="1961" priority="17" stopIfTrue="1" operator="between">
      <formula>3</formula>
      <formula>3.9</formula>
    </cfRule>
    <cfRule type="cellIs" dxfId="1960" priority="18" stopIfTrue="1" operator="between">
      <formula>4</formula>
      <formula>5</formula>
    </cfRule>
  </conditionalFormatting>
  <conditionalFormatting sqref="H27">
    <cfRule type="cellIs" dxfId="1959" priority="13" stopIfTrue="1" operator="between">
      <formula>0.1</formula>
      <formula>1.9</formula>
    </cfRule>
    <cfRule type="cellIs" dxfId="1958" priority="14" stopIfTrue="1" operator="between">
      <formula>3</formula>
      <formula>3.9</formula>
    </cfRule>
    <cfRule type="cellIs" dxfId="1957" priority="15" stopIfTrue="1" operator="between">
      <formula>4</formula>
      <formula>5</formula>
    </cfRule>
  </conditionalFormatting>
  <conditionalFormatting sqref="G20:H20">
    <cfRule type="cellIs" dxfId="1956" priority="10" stopIfTrue="1" operator="between">
      <formula>0.1</formula>
      <formula>1.9</formula>
    </cfRule>
    <cfRule type="cellIs" dxfId="1955" priority="11" stopIfTrue="1" operator="between">
      <formula>3</formula>
      <formula>3.9</formula>
    </cfRule>
    <cfRule type="cellIs" dxfId="1954" priority="12" stopIfTrue="1" operator="between">
      <formula>4</formula>
      <formula>5</formula>
    </cfRule>
  </conditionalFormatting>
  <conditionalFormatting sqref="G21:H21">
    <cfRule type="cellIs" dxfId="1953" priority="7" stopIfTrue="1" operator="between">
      <formula>0.1</formula>
      <formula>1.9</formula>
    </cfRule>
    <cfRule type="cellIs" dxfId="1952" priority="8" stopIfTrue="1" operator="between">
      <formula>3</formula>
      <formula>3.9</formula>
    </cfRule>
    <cfRule type="cellIs" dxfId="1951" priority="9" stopIfTrue="1" operator="between">
      <formula>4</formula>
      <formula>5</formula>
    </cfRule>
  </conditionalFormatting>
  <conditionalFormatting sqref="G31">
    <cfRule type="cellIs" dxfId="1950" priority="4" stopIfTrue="1" operator="between">
      <formula>0.1</formula>
      <formula>1.9</formula>
    </cfRule>
    <cfRule type="cellIs" dxfId="1949" priority="5" stopIfTrue="1" operator="between">
      <formula>3</formula>
      <formula>3.9</formula>
    </cfRule>
    <cfRule type="cellIs" dxfId="1948" priority="6" stopIfTrue="1" operator="between">
      <formula>4</formula>
      <formula>5</formula>
    </cfRule>
  </conditionalFormatting>
  <conditionalFormatting sqref="G32">
    <cfRule type="cellIs" dxfId="1947" priority="1" stopIfTrue="1" operator="between">
      <formula>0.1</formula>
      <formula>1.9</formula>
    </cfRule>
    <cfRule type="cellIs" dxfId="1946" priority="2" stopIfTrue="1" operator="between">
      <formula>3</formula>
      <formula>3.9</formula>
    </cfRule>
    <cfRule type="cellIs" dxfId="1945" priority="3" stopIfTrue="1" operator="between">
      <formula>4</formula>
      <formula>5</formula>
    </cfRule>
  </conditionalFormatting>
  <conditionalFormatting sqref="E33:E36">
    <cfRule type="cellIs" dxfId="1944" priority="325" stopIfTrue="1" operator="between">
      <formula>0.1</formula>
      <formula>1.9</formula>
    </cfRule>
    <cfRule type="cellIs" dxfId="1943" priority="326" stopIfTrue="1" operator="between">
      <formula>3</formula>
      <formula>3.9</formula>
    </cfRule>
    <cfRule type="cellIs" dxfId="1942" priority="327" stopIfTrue="1" operator="between">
      <formula>4</formula>
      <formula>5</formula>
    </cfRule>
  </conditionalFormatting>
  <conditionalFormatting sqref="E30">
    <cfRule type="cellIs" dxfId="1941" priority="322" stopIfTrue="1" operator="between">
      <formula>0.1</formula>
      <formula>1.9</formula>
    </cfRule>
    <cfRule type="cellIs" dxfId="1940" priority="323" stopIfTrue="1" operator="between">
      <formula>3</formula>
      <formula>3.9</formula>
    </cfRule>
    <cfRule type="cellIs" dxfId="1939" priority="324" stopIfTrue="1" operator="between">
      <formula>4</formula>
      <formula>5</formula>
    </cfRule>
  </conditionalFormatting>
  <conditionalFormatting sqref="E30:E34">
    <cfRule type="cellIs" dxfId="1938" priority="319" stopIfTrue="1" operator="between">
      <formula>0.1</formula>
      <formula>1.9</formula>
    </cfRule>
    <cfRule type="cellIs" dxfId="1937" priority="320" stopIfTrue="1" operator="between">
      <formula>3</formula>
      <formula>3.9</formula>
    </cfRule>
    <cfRule type="cellIs" dxfId="1936" priority="321" stopIfTrue="1" operator="between">
      <formula>4</formula>
      <formula>5</formula>
    </cfRule>
  </conditionalFormatting>
  <conditionalFormatting sqref="E30:E36">
    <cfRule type="cellIs" dxfId="1935" priority="318" operator="between">
      <formula>2</formula>
      <formula>2.9</formula>
    </cfRule>
  </conditionalFormatting>
  <conditionalFormatting sqref="D33:D36">
    <cfRule type="cellIs" dxfId="1934" priority="315" stopIfTrue="1" operator="between">
      <formula>0.1</formula>
      <formula>1.9</formula>
    </cfRule>
    <cfRule type="cellIs" dxfId="1933" priority="316" stopIfTrue="1" operator="between">
      <formula>3</formula>
      <formula>3.9</formula>
    </cfRule>
    <cfRule type="cellIs" dxfId="1932" priority="317" stopIfTrue="1" operator="between">
      <formula>4</formula>
      <formula>5</formula>
    </cfRule>
  </conditionalFormatting>
  <conditionalFormatting sqref="D30:D34">
    <cfRule type="cellIs" dxfId="1931" priority="312" stopIfTrue="1" operator="between">
      <formula>0.1</formula>
      <formula>1.9</formula>
    </cfRule>
    <cfRule type="cellIs" dxfId="1930" priority="313" stopIfTrue="1" operator="between">
      <formula>3</formula>
      <formula>3.9</formula>
    </cfRule>
    <cfRule type="cellIs" dxfId="1929" priority="314" stopIfTrue="1" operator="between">
      <formula>4</formula>
      <formula>5</formula>
    </cfRule>
  </conditionalFormatting>
  <conditionalFormatting sqref="D30:D34">
    <cfRule type="cellIs" dxfId="1928" priority="309" stopIfTrue="1" operator="between">
      <formula>0.1</formula>
      <formula>1.9</formula>
    </cfRule>
    <cfRule type="cellIs" dxfId="1927" priority="310" stopIfTrue="1" operator="between">
      <formula>3</formula>
      <formula>3.9</formula>
    </cfRule>
    <cfRule type="cellIs" dxfId="1926" priority="311" stopIfTrue="1" operator="between">
      <formula>4</formula>
      <formula>5</formula>
    </cfRule>
  </conditionalFormatting>
  <conditionalFormatting sqref="D30:D36">
    <cfRule type="cellIs" dxfId="1925" priority="308" operator="between">
      <formula>2</formula>
      <formula>2.9</formula>
    </cfRule>
  </conditionalFormatting>
  <conditionalFormatting sqref="E23:E31">
    <cfRule type="cellIs" dxfId="1924" priority="305" stopIfTrue="1" operator="between">
      <formula>0.1</formula>
      <formula>1.9</formula>
    </cfRule>
    <cfRule type="cellIs" dxfId="1923" priority="306" stopIfTrue="1" operator="between">
      <formula>3</formula>
      <formula>3.9</formula>
    </cfRule>
    <cfRule type="cellIs" dxfId="1922" priority="307" stopIfTrue="1" operator="between">
      <formula>4</formula>
      <formula>5</formula>
    </cfRule>
  </conditionalFormatting>
  <conditionalFormatting sqref="E25">
    <cfRule type="cellIs" dxfId="1921" priority="302" stopIfTrue="1" operator="between">
      <formula>0.1</formula>
      <formula>1.9</formula>
    </cfRule>
    <cfRule type="cellIs" dxfId="1920" priority="303" stopIfTrue="1" operator="between">
      <formula>3</formula>
      <formula>3.9</formula>
    </cfRule>
    <cfRule type="cellIs" dxfId="1919" priority="304" stopIfTrue="1" operator="between">
      <formula>4</formula>
      <formula>5</formula>
    </cfRule>
  </conditionalFormatting>
  <conditionalFormatting sqref="E23:E28">
    <cfRule type="cellIs" dxfId="1918" priority="299" stopIfTrue="1" operator="between">
      <formula>0.1</formula>
      <formula>1.9</formula>
    </cfRule>
    <cfRule type="cellIs" dxfId="1917" priority="300" stopIfTrue="1" operator="between">
      <formula>3</formula>
      <formula>3.9</formula>
    </cfRule>
    <cfRule type="cellIs" dxfId="1916" priority="301" stopIfTrue="1" operator="between">
      <formula>4</formula>
      <formula>5</formula>
    </cfRule>
  </conditionalFormatting>
  <conditionalFormatting sqref="E25:E31">
    <cfRule type="cellIs" dxfId="1915" priority="296" stopIfTrue="1" operator="between">
      <formula>0.1</formula>
      <formula>1.9</formula>
    </cfRule>
    <cfRule type="cellIs" dxfId="1914" priority="297" stopIfTrue="1" operator="between">
      <formula>3</formula>
      <formula>3.9</formula>
    </cfRule>
    <cfRule type="cellIs" dxfId="1913" priority="298" stopIfTrue="1" operator="between">
      <formula>4</formula>
      <formula>5</formula>
    </cfRule>
  </conditionalFormatting>
  <conditionalFormatting sqref="E23:E31">
    <cfRule type="cellIs" dxfId="1912" priority="295" operator="between">
      <formula>2</formula>
      <formula>2.9</formula>
    </cfRule>
  </conditionalFormatting>
  <conditionalFormatting sqref="D23:D31">
    <cfRule type="cellIs" dxfId="1911" priority="292" stopIfTrue="1" operator="between">
      <formula>0.1</formula>
      <formula>1.9</formula>
    </cfRule>
    <cfRule type="cellIs" dxfId="1910" priority="293" stopIfTrue="1" operator="between">
      <formula>3</formula>
      <formula>3.9</formula>
    </cfRule>
    <cfRule type="cellIs" dxfId="1909" priority="294" stopIfTrue="1" operator="between">
      <formula>4</formula>
      <formula>5</formula>
    </cfRule>
  </conditionalFormatting>
  <conditionalFormatting sqref="D25">
    <cfRule type="cellIs" dxfId="1908" priority="289" stopIfTrue="1" operator="between">
      <formula>0.1</formula>
      <formula>1.9</formula>
    </cfRule>
    <cfRule type="cellIs" dxfId="1907" priority="290" stopIfTrue="1" operator="between">
      <formula>3</formula>
      <formula>3.9</formula>
    </cfRule>
    <cfRule type="cellIs" dxfId="1906" priority="291" stopIfTrue="1" operator="between">
      <formula>4</formula>
      <formula>5</formula>
    </cfRule>
  </conditionalFormatting>
  <conditionalFormatting sqref="D23:D27">
    <cfRule type="cellIs" dxfId="1905" priority="286" stopIfTrue="1" operator="between">
      <formula>0.1</formula>
      <formula>1.9</formula>
    </cfRule>
    <cfRule type="cellIs" dxfId="1904" priority="287" stopIfTrue="1" operator="between">
      <formula>3</formula>
      <formula>3.9</formula>
    </cfRule>
    <cfRule type="cellIs" dxfId="1903" priority="288" stopIfTrue="1" operator="between">
      <formula>4</formula>
      <formula>5</formula>
    </cfRule>
  </conditionalFormatting>
  <conditionalFormatting sqref="D25:D31">
    <cfRule type="cellIs" dxfId="1902" priority="283" stopIfTrue="1" operator="between">
      <formula>0.1</formula>
      <formula>1.9</formula>
    </cfRule>
    <cfRule type="cellIs" dxfId="1901" priority="284" stopIfTrue="1" operator="between">
      <formula>3</formula>
      <formula>3.9</formula>
    </cfRule>
    <cfRule type="cellIs" dxfId="1900" priority="285" stopIfTrue="1" operator="between">
      <formula>4</formula>
      <formula>5</formula>
    </cfRule>
  </conditionalFormatting>
  <conditionalFormatting sqref="D23:D31">
    <cfRule type="cellIs" dxfId="1899" priority="282" operator="between">
      <formula>2</formula>
      <formula>2.9</formula>
    </cfRule>
  </conditionalFormatting>
  <conditionalFormatting sqref="E26">
    <cfRule type="cellIs" dxfId="1898" priority="279" stopIfTrue="1" operator="between">
      <formula>0.1</formula>
      <formula>1.9</formula>
    </cfRule>
    <cfRule type="cellIs" dxfId="1897" priority="280" stopIfTrue="1" operator="between">
      <formula>3</formula>
      <formula>3.9</formula>
    </cfRule>
    <cfRule type="cellIs" dxfId="1896" priority="281" stopIfTrue="1" operator="between">
      <formula>4</formula>
      <formula>5</formula>
    </cfRule>
  </conditionalFormatting>
  <conditionalFormatting sqref="E26">
    <cfRule type="cellIs" dxfId="1895" priority="276" stopIfTrue="1" operator="between">
      <formula>0.1</formula>
      <formula>1.9</formula>
    </cfRule>
    <cfRule type="cellIs" dxfId="1894" priority="277" stopIfTrue="1" operator="between">
      <formula>3</formula>
      <formula>3.9</formula>
    </cfRule>
    <cfRule type="cellIs" dxfId="1893" priority="278" stopIfTrue="1" operator="between">
      <formula>4</formula>
      <formula>5</formula>
    </cfRule>
  </conditionalFormatting>
  <conditionalFormatting sqref="E24">
    <cfRule type="cellIs" dxfId="1892" priority="267" stopIfTrue="1" operator="between">
      <formula>0.1</formula>
      <formula>1.9</formula>
    </cfRule>
    <cfRule type="cellIs" dxfId="1891" priority="268" stopIfTrue="1" operator="between">
      <formula>3</formula>
      <formula>3.9</formula>
    </cfRule>
    <cfRule type="cellIs" dxfId="1890" priority="269" stopIfTrue="1" operator="between">
      <formula>4</formula>
      <formula>5</formula>
    </cfRule>
  </conditionalFormatting>
  <conditionalFormatting sqref="D24">
    <cfRule type="cellIs" dxfId="1889" priority="264" stopIfTrue="1" operator="between">
      <formula>0.1</formula>
      <formula>1.9</formula>
    </cfRule>
    <cfRule type="cellIs" dxfId="1888" priority="265" stopIfTrue="1" operator="between">
      <formula>3</formula>
      <formula>3.9</formula>
    </cfRule>
    <cfRule type="cellIs" dxfId="1887" priority="266" stopIfTrue="1" operator="between">
      <formula>4</formula>
      <formula>5</formula>
    </cfRule>
  </conditionalFormatting>
  <conditionalFormatting sqref="E25">
    <cfRule type="cellIs" dxfId="1886" priority="261" stopIfTrue="1" operator="between">
      <formula>0.1</formula>
      <formula>1.9</formula>
    </cfRule>
    <cfRule type="cellIs" dxfId="1885" priority="262" stopIfTrue="1" operator="between">
      <formula>3</formula>
      <formula>3.9</formula>
    </cfRule>
    <cfRule type="cellIs" dxfId="1884" priority="263" stopIfTrue="1" operator="between">
      <formula>4</formula>
      <formula>5</formula>
    </cfRule>
  </conditionalFormatting>
  <conditionalFormatting sqref="E25">
    <cfRule type="cellIs" dxfId="1883" priority="258" stopIfTrue="1" operator="between">
      <formula>0.1</formula>
      <formula>1.9</formula>
    </cfRule>
    <cfRule type="cellIs" dxfId="1882" priority="259" stopIfTrue="1" operator="between">
      <formula>3</formula>
      <formula>3.9</formula>
    </cfRule>
    <cfRule type="cellIs" dxfId="1881" priority="260" stopIfTrue="1" operator="between">
      <formula>4</formula>
      <formula>5</formula>
    </cfRule>
  </conditionalFormatting>
  <conditionalFormatting sqref="D25">
    <cfRule type="cellIs" dxfId="1880" priority="255" stopIfTrue="1" operator="between">
      <formula>0.1</formula>
      <formula>1.9</formula>
    </cfRule>
    <cfRule type="cellIs" dxfId="1879" priority="256" stopIfTrue="1" operator="between">
      <formula>3</formula>
      <formula>3.9</formula>
    </cfRule>
    <cfRule type="cellIs" dxfId="1878" priority="257" stopIfTrue="1" operator="between">
      <formula>4</formula>
      <formula>5</formula>
    </cfRule>
  </conditionalFormatting>
  <conditionalFormatting sqref="E26">
    <cfRule type="cellIs" dxfId="1877" priority="252" stopIfTrue="1" operator="between">
      <formula>0.1</formula>
      <formula>1.9</formula>
    </cfRule>
    <cfRule type="cellIs" dxfId="1876" priority="253" stopIfTrue="1" operator="between">
      <formula>3</formula>
      <formula>3.9</formula>
    </cfRule>
    <cfRule type="cellIs" dxfId="1875" priority="254" stopIfTrue="1" operator="between">
      <formula>4</formula>
      <formula>5</formula>
    </cfRule>
  </conditionalFormatting>
  <conditionalFormatting sqref="D23:E36">
    <cfRule type="cellIs" dxfId="1874" priority="251" operator="equal">
      <formula>""</formula>
    </cfRule>
  </conditionalFormatting>
  <conditionalFormatting sqref="E19">
    <cfRule type="cellIs" dxfId="1873" priority="248" stopIfTrue="1" operator="between">
      <formula>0.1</formula>
      <formula>1.9</formula>
    </cfRule>
    <cfRule type="cellIs" dxfId="1872" priority="249" stopIfTrue="1" operator="between">
      <formula>3</formula>
      <formula>3.9</formula>
    </cfRule>
    <cfRule type="cellIs" dxfId="1871" priority="250" stopIfTrue="1" operator="between">
      <formula>4</formula>
      <formula>5</formula>
    </cfRule>
  </conditionalFormatting>
  <conditionalFormatting sqref="E9:E23">
    <cfRule type="cellIs" dxfId="1870" priority="245" stopIfTrue="1" operator="between">
      <formula>0.1</formula>
      <formula>1.9</formula>
    </cfRule>
    <cfRule type="cellIs" dxfId="1869" priority="246" stopIfTrue="1" operator="between">
      <formula>3</formula>
      <formula>3.9</formula>
    </cfRule>
    <cfRule type="cellIs" dxfId="1868" priority="247" stopIfTrue="1" operator="between">
      <formula>4</formula>
      <formula>5</formula>
    </cfRule>
  </conditionalFormatting>
  <conditionalFormatting sqref="E20:E23">
    <cfRule type="cellIs" dxfId="1867" priority="242" stopIfTrue="1" operator="between">
      <formula>0.1</formula>
      <formula>1.9</formula>
    </cfRule>
    <cfRule type="cellIs" dxfId="1866" priority="243" stopIfTrue="1" operator="between">
      <formula>3</formula>
      <formula>3.9</formula>
    </cfRule>
    <cfRule type="cellIs" dxfId="1865" priority="244" stopIfTrue="1" operator="between">
      <formula>4</formula>
      <formula>5</formula>
    </cfRule>
  </conditionalFormatting>
  <conditionalFormatting sqref="E9:E23">
    <cfRule type="cellIs" dxfId="1864" priority="241" operator="between">
      <formula>2</formula>
      <formula>2.9</formula>
    </cfRule>
  </conditionalFormatting>
  <conditionalFormatting sqref="D19">
    <cfRule type="cellIs" dxfId="1863" priority="238" stopIfTrue="1" operator="between">
      <formula>0.1</formula>
      <formula>1.9</formula>
    </cfRule>
    <cfRule type="cellIs" dxfId="1862" priority="239" stopIfTrue="1" operator="between">
      <formula>3</formula>
      <formula>3.9</formula>
    </cfRule>
    <cfRule type="cellIs" dxfId="1861" priority="240" stopIfTrue="1" operator="between">
      <formula>4</formula>
      <formula>5</formula>
    </cfRule>
  </conditionalFormatting>
  <conditionalFormatting sqref="D9:D23">
    <cfRule type="cellIs" dxfId="1860" priority="235" stopIfTrue="1" operator="between">
      <formula>0.1</formula>
      <formula>1.9</formula>
    </cfRule>
    <cfRule type="cellIs" dxfId="1859" priority="236" stopIfTrue="1" operator="between">
      <formula>3</formula>
      <formula>3.9</formula>
    </cfRule>
    <cfRule type="cellIs" dxfId="1858" priority="237" stopIfTrue="1" operator="between">
      <formula>4</formula>
      <formula>5</formula>
    </cfRule>
  </conditionalFormatting>
  <conditionalFormatting sqref="D20:D23">
    <cfRule type="cellIs" dxfId="1857" priority="232" stopIfTrue="1" operator="between">
      <formula>0.1</formula>
      <formula>1.9</formula>
    </cfRule>
    <cfRule type="cellIs" dxfId="1856" priority="233" stopIfTrue="1" operator="between">
      <formula>3</formula>
      <formula>3.9</formula>
    </cfRule>
    <cfRule type="cellIs" dxfId="1855" priority="234" stopIfTrue="1" operator="between">
      <formula>4</formula>
      <formula>5</formula>
    </cfRule>
  </conditionalFormatting>
  <conditionalFormatting sqref="D9:D23">
    <cfRule type="cellIs" dxfId="1854" priority="231" operator="between">
      <formula>2</formula>
      <formula>2.9</formula>
    </cfRule>
  </conditionalFormatting>
  <conditionalFormatting sqref="D9:E23">
    <cfRule type="cellIs" dxfId="1853" priority="224" operator="equal">
      <formula>""</formula>
    </cfRule>
  </conditionalFormatting>
  <conditionalFormatting sqref="F30:F36">
    <cfRule type="cellIs" dxfId="1852" priority="217" operator="between">
      <formula>2</formula>
      <formula>2.9</formula>
    </cfRule>
  </conditionalFormatting>
  <conditionalFormatting sqref="F23:F25">
    <cfRule type="cellIs" dxfId="1851" priority="214" stopIfTrue="1" operator="between">
      <formula>0.1</formula>
      <formula>1.9</formula>
    </cfRule>
    <cfRule type="cellIs" dxfId="1850" priority="215" stopIfTrue="1" operator="between">
      <formula>3</formula>
      <formula>3.9</formula>
    </cfRule>
    <cfRule type="cellIs" dxfId="1849" priority="216" stopIfTrue="1" operator="between">
      <formula>4</formula>
      <formula>5</formula>
    </cfRule>
  </conditionalFormatting>
  <conditionalFormatting sqref="F25">
    <cfRule type="cellIs" dxfId="1848" priority="211" stopIfTrue="1" operator="between">
      <formula>0.1</formula>
      <formula>1.9</formula>
    </cfRule>
    <cfRule type="cellIs" dxfId="1847" priority="212" stopIfTrue="1" operator="between">
      <formula>3</formula>
      <formula>3.9</formula>
    </cfRule>
    <cfRule type="cellIs" dxfId="1846" priority="213" stopIfTrue="1" operator="between">
      <formula>4</formula>
      <formula>5</formula>
    </cfRule>
  </conditionalFormatting>
  <conditionalFormatting sqref="F23:F31">
    <cfRule type="cellIs" dxfId="1845" priority="204" operator="between">
      <formula>2</formula>
      <formula>2.9</formula>
    </cfRule>
  </conditionalFormatting>
  <conditionalFormatting sqref="F26">
    <cfRule type="cellIs" dxfId="1844" priority="201" stopIfTrue="1" operator="between">
      <formula>0.1</formula>
      <formula>1.9</formula>
    </cfRule>
    <cfRule type="cellIs" dxfId="1843" priority="202" stopIfTrue="1" operator="between">
      <formula>3</formula>
      <formula>3.9</formula>
    </cfRule>
    <cfRule type="cellIs" dxfId="1842" priority="203" stopIfTrue="1" operator="between">
      <formula>4</formula>
      <formula>5</formula>
    </cfRule>
  </conditionalFormatting>
  <conditionalFormatting sqref="F24">
    <cfRule type="cellIs" dxfId="1841" priority="198" stopIfTrue="1" operator="between">
      <formula>0.1</formula>
      <formula>1.9</formula>
    </cfRule>
    <cfRule type="cellIs" dxfId="1840" priority="199" stopIfTrue="1" operator="between">
      <formula>3</formula>
      <formula>3.9</formula>
    </cfRule>
    <cfRule type="cellIs" dxfId="1839" priority="200" stopIfTrue="1" operator="between">
      <formula>4</formula>
      <formula>5</formula>
    </cfRule>
  </conditionalFormatting>
  <conditionalFormatting sqref="F25">
    <cfRule type="cellIs" dxfId="1838" priority="195" stopIfTrue="1" operator="between">
      <formula>0.1</formula>
      <formula>1.9</formula>
    </cfRule>
    <cfRule type="cellIs" dxfId="1837" priority="196" stopIfTrue="1" operator="between">
      <formula>3</formula>
      <formula>3.9</formula>
    </cfRule>
    <cfRule type="cellIs" dxfId="1836" priority="197" stopIfTrue="1" operator="between">
      <formula>4</formula>
      <formula>5</formula>
    </cfRule>
  </conditionalFormatting>
  <conditionalFormatting sqref="F23:F36">
    <cfRule type="cellIs" dxfId="1835" priority="194" operator="equal">
      <formula>""</formula>
    </cfRule>
  </conditionalFormatting>
  <conditionalFormatting sqref="F19">
    <cfRule type="cellIs" dxfId="1834" priority="191" stopIfTrue="1" operator="between">
      <formula>0.1</formula>
      <formula>1.9</formula>
    </cfRule>
    <cfRule type="cellIs" dxfId="1833" priority="192" stopIfTrue="1" operator="between">
      <formula>3</formula>
      <formula>3.9</formula>
    </cfRule>
    <cfRule type="cellIs" dxfId="1832" priority="193" stopIfTrue="1" operator="between">
      <formula>4</formula>
      <formula>5</formula>
    </cfRule>
  </conditionalFormatting>
  <conditionalFormatting sqref="F9:F23">
    <cfRule type="cellIs" dxfId="1831" priority="188" stopIfTrue="1" operator="between">
      <formula>0.1</formula>
      <formula>1.9</formula>
    </cfRule>
    <cfRule type="cellIs" dxfId="1830" priority="189" stopIfTrue="1" operator="between">
      <formula>3</formula>
      <formula>3.9</formula>
    </cfRule>
    <cfRule type="cellIs" dxfId="1829" priority="190" stopIfTrue="1" operator="between">
      <formula>4</formula>
      <formula>5</formula>
    </cfRule>
  </conditionalFormatting>
  <conditionalFormatting sqref="F20:F23">
    <cfRule type="cellIs" dxfId="1828" priority="185" stopIfTrue="1" operator="between">
      <formula>0.1</formula>
      <formula>1.9</formula>
    </cfRule>
    <cfRule type="cellIs" dxfId="1827" priority="186" stopIfTrue="1" operator="between">
      <formula>3</formula>
      <formula>3.9</formula>
    </cfRule>
    <cfRule type="cellIs" dxfId="1826" priority="187" stopIfTrue="1" operator="between">
      <formula>4</formula>
      <formula>5</formula>
    </cfRule>
  </conditionalFormatting>
  <conditionalFormatting sqref="F9:F23">
    <cfRule type="cellIs" dxfId="1825" priority="184" operator="between">
      <formula>2</formula>
      <formula>2.9</formula>
    </cfRule>
  </conditionalFormatting>
  <conditionalFormatting sqref="F20">
    <cfRule type="cellIs" dxfId="1824" priority="181" stopIfTrue="1" operator="between">
      <formula>0.1</formula>
      <formula>1.9</formula>
    </cfRule>
    <cfRule type="cellIs" dxfId="1823" priority="182" stopIfTrue="1" operator="between">
      <formula>3</formula>
      <formula>3.9</formula>
    </cfRule>
    <cfRule type="cellIs" dxfId="1822" priority="183" stopIfTrue="1" operator="between">
      <formula>4</formula>
      <formula>5</formula>
    </cfRule>
  </conditionalFormatting>
  <conditionalFormatting sqref="F9:F23">
    <cfRule type="cellIs" dxfId="1821" priority="180" operator="equal">
      <formula>""</formula>
    </cfRule>
  </conditionalFormatting>
  <conditionalFormatting sqref="D26">
    <cfRule type="cellIs" dxfId="1820" priority="171" stopIfTrue="1" operator="between">
      <formula>0.1</formula>
      <formula>1.9</formula>
    </cfRule>
    <cfRule type="cellIs" dxfId="1819" priority="172" stopIfTrue="1" operator="between">
      <formula>3</formula>
      <formula>3.9</formula>
    </cfRule>
    <cfRule type="cellIs" dxfId="1818" priority="173" stopIfTrue="1" operator="between">
      <formula>4</formula>
      <formula>5</formula>
    </cfRule>
  </conditionalFormatting>
  <conditionalFormatting sqref="E27">
    <cfRule type="cellIs" dxfId="1817" priority="168" stopIfTrue="1" operator="between">
      <formula>0.1</formula>
      <formula>1.9</formula>
    </cfRule>
    <cfRule type="cellIs" dxfId="1816" priority="169" stopIfTrue="1" operator="between">
      <formula>3</formula>
      <formula>3.9</formula>
    </cfRule>
    <cfRule type="cellIs" dxfId="1815" priority="170" stopIfTrue="1" operator="between">
      <formula>4</formula>
      <formula>5</formula>
    </cfRule>
  </conditionalFormatting>
  <conditionalFormatting sqref="E27">
    <cfRule type="cellIs" dxfId="1814" priority="165" stopIfTrue="1" operator="between">
      <formula>0.1</formula>
      <formula>1.9</formula>
    </cfRule>
    <cfRule type="cellIs" dxfId="1813" priority="166" stopIfTrue="1" operator="between">
      <formula>3</formula>
      <formula>3.9</formula>
    </cfRule>
    <cfRule type="cellIs" dxfId="1812" priority="167" stopIfTrue="1" operator="between">
      <formula>4</formula>
      <formula>5</formula>
    </cfRule>
  </conditionalFormatting>
  <conditionalFormatting sqref="D27">
    <cfRule type="cellIs" dxfId="1811" priority="162" stopIfTrue="1" operator="between">
      <formula>0.1</formula>
      <formula>1.9</formula>
    </cfRule>
    <cfRule type="cellIs" dxfId="1810" priority="163" stopIfTrue="1" operator="between">
      <formula>3</formula>
      <formula>3.9</formula>
    </cfRule>
    <cfRule type="cellIs" dxfId="1809" priority="164" stopIfTrue="1" operator="between">
      <formula>4</formula>
      <formula>5</formula>
    </cfRule>
  </conditionalFormatting>
  <conditionalFormatting sqref="E28">
    <cfRule type="cellIs" dxfId="1808" priority="159" stopIfTrue="1" operator="between">
      <formula>0.1</formula>
      <formula>1.9</formula>
    </cfRule>
    <cfRule type="cellIs" dxfId="1807" priority="160" stopIfTrue="1" operator="between">
      <formula>3</formula>
      <formula>3.9</formula>
    </cfRule>
    <cfRule type="cellIs" dxfId="1806" priority="161" stopIfTrue="1" operator="between">
      <formula>4</formula>
      <formula>5</formula>
    </cfRule>
  </conditionalFormatting>
  <conditionalFormatting sqref="E25">
    <cfRule type="cellIs" dxfId="1805" priority="156" stopIfTrue="1" operator="between">
      <formula>0.1</formula>
      <formula>1.9</formula>
    </cfRule>
    <cfRule type="cellIs" dxfId="1804" priority="157" stopIfTrue="1" operator="between">
      <formula>3</formula>
      <formula>3.9</formula>
    </cfRule>
    <cfRule type="cellIs" dxfId="1803" priority="158" stopIfTrue="1" operator="between">
      <formula>4</formula>
      <formula>5</formula>
    </cfRule>
  </conditionalFormatting>
  <conditionalFormatting sqref="E27">
    <cfRule type="cellIs" dxfId="1802" priority="141" stopIfTrue="1" operator="between">
      <formula>0.1</formula>
      <formula>1.9</formula>
    </cfRule>
    <cfRule type="cellIs" dxfId="1801" priority="142" stopIfTrue="1" operator="between">
      <formula>3</formula>
      <formula>3.9</formula>
    </cfRule>
    <cfRule type="cellIs" dxfId="1800" priority="143" stopIfTrue="1" operator="between">
      <formula>4</formula>
      <formula>5</formula>
    </cfRule>
  </conditionalFormatting>
  <conditionalFormatting sqref="E20">
    <cfRule type="cellIs" dxfId="1799" priority="138" stopIfTrue="1" operator="between">
      <formula>0.1</formula>
      <formula>1.9</formula>
    </cfRule>
    <cfRule type="cellIs" dxfId="1798" priority="139" stopIfTrue="1" operator="between">
      <formula>3</formula>
      <formula>3.9</formula>
    </cfRule>
    <cfRule type="cellIs" dxfId="1797" priority="140" stopIfTrue="1" operator="between">
      <formula>4</formula>
      <formula>5</formula>
    </cfRule>
  </conditionalFormatting>
  <conditionalFormatting sqref="D20">
    <cfRule type="cellIs" dxfId="1796" priority="135" stopIfTrue="1" operator="between">
      <formula>0.1</formula>
      <formula>1.9</formula>
    </cfRule>
    <cfRule type="cellIs" dxfId="1795" priority="136" stopIfTrue="1" operator="between">
      <formula>3</formula>
      <formula>3.9</formula>
    </cfRule>
    <cfRule type="cellIs" dxfId="1794" priority="137" stopIfTrue="1" operator="between">
      <formula>4</formula>
      <formula>5</formula>
    </cfRule>
  </conditionalFormatting>
  <conditionalFormatting sqref="E21">
    <cfRule type="cellIs" dxfId="1793" priority="132" stopIfTrue="1" operator="between">
      <formula>0.1</formula>
      <formula>1.9</formula>
    </cfRule>
    <cfRule type="cellIs" dxfId="1792" priority="133" stopIfTrue="1" operator="between">
      <formula>3</formula>
      <formula>3.9</formula>
    </cfRule>
    <cfRule type="cellIs" dxfId="1791" priority="134" stopIfTrue="1" operator="between">
      <formula>4</formula>
      <formula>5</formula>
    </cfRule>
  </conditionalFormatting>
  <conditionalFormatting sqref="D21">
    <cfRule type="cellIs" dxfId="1790" priority="129" stopIfTrue="1" operator="between">
      <formula>0.1</formula>
      <formula>1.9</formula>
    </cfRule>
    <cfRule type="cellIs" dxfId="1789" priority="130" stopIfTrue="1" operator="between">
      <formula>3</formula>
      <formula>3.9</formula>
    </cfRule>
    <cfRule type="cellIs" dxfId="1788" priority="131" stopIfTrue="1" operator="between">
      <formula>4</formula>
      <formula>5</formula>
    </cfRule>
  </conditionalFormatting>
  <conditionalFormatting sqref="F26">
    <cfRule type="cellIs" dxfId="1787" priority="126" stopIfTrue="1" operator="between">
      <formula>0.1</formula>
      <formula>1.9</formula>
    </cfRule>
    <cfRule type="cellIs" dxfId="1786" priority="127" stopIfTrue="1" operator="between">
      <formula>3</formula>
      <formula>3.9</formula>
    </cfRule>
    <cfRule type="cellIs" dxfId="1785" priority="128" stopIfTrue="1" operator="between">
      <formula>4</formula>
      <formula>5</formula>
    </cfRule>
  </conditionalFormatting>
  <conditionalFormatting sqref="F27">
    <cfRule type="cellIs" dxfId="1784" priority="123" stopIfTrue="1" operator="between">
      <formula>0.1</formula>
      <formula>1.9</formula>
    </cfRule>
    <cfRule type="cellIs" dxfId="1783" priority="124" stopIfTrue="1" operator="between">
      <formula>3</formula>
      <formula>3.9</formula>
    </cfRule>
    <cfRule type="cellIs" dxfId="1782" priority="125" stopIfTrue="1" operator="between">
      <formula>4</formula>
      <formula>5</formula>
    </cfRule>
  </conditionalFormatting>
  <conditionalFormatting sqref="F26">
    <cfRule type="cellIs" dxfId="1781" priority="117" stopIfTrue="1" operator="between">
      <formula>0.1</formula>
      <formula>1.9</formula>
    </cfRule>
    <cfRule type="cellIs" dxfId="1780" priority="118" stopIfTrue="1" operator="between">
      <formula>3</formula>
      <formula>3.9</formula>
    </cfRule>
    <cfRule type="cellIs" dxfId="1779" priority="119" stopIfTrue="1" operator="between">
      <formula>4</formula>
      <formula>5</formula>
    </cfRule>
  </conditionalFormatting>
  <conditionalFormatting sqref="F20">
    <cfRule type="cellIs" dxfId="1778" priority="114" stopIfTrue="1" operator="between">
      <formula>0.1</formula>
      <formula>1.9</formula>
    </cfRule>
    <cfRule type="cellIs" dxfId="1777" priority="115" stopIfTrue="1" operator="between">
      <formula>3</formula>
      <formula>3.9</formula>
    </cfRule>
    <cfRule type="cellIs" dxfId="1776" priority="116" stopIfTrue="1" operator="between">
      <formula>4</formula>
      <formula>5</formula>
    </cfRule>
  </conditionalFormatting>
  <conditionalFormatting sqref="F21">
    <cfRule type="cellIs" dxfId="1775" priority="111" stopIfTrue="1" operator="between">
      <formula>0.1</formula>
      <formula>1.9</formula>
    </cfRule>
    <cfRule type="cellIs" dxfId="1774" priority="112" stopIfTrue="1" operator="between">
      <formula>3</formula>
      <formula>3.9</formula>
    </cfRule>
    <cfRule type="cellIs" dxfId="1773" priority="113" stopIfTrue="1" operator="between">
      <formula>4</formula>
      <formula>5</formula>
    </cfRule>
  </conditionalFormatting>
  <conditionalFormatting sqref="E31">
    <cfRule type="cellIs" dxfId="1772" priority="108" stopIfTrue="1" operator="between">
      <formula>0.1</formula>
      <formula>1.9</formula>
    </cfRule>
    <cfRule type="cellIs" dxfId="1771" priority="109" stopIfTrue="1" operator="between">
      <formula>3</formula>
      <formula>3.9</formula>
    </cfRule>
    <cfRule type="cellIs" dxfId="1770" priority="110" stopIfTrue="1" operator="between">
      <formula>4</formula>
      <formula>5</formula>
    </cfRule>
  </conditionalFormatting>
  <conditionalFormatting sqref="E32">
    <cfRule type="cellIs" dxfId="1769" priority="105" stopIfTrue="1" operator="between">
      <formula>0.1</formula>
      <formula>1.9</formula>
    </cfRule>
    <cfRule type="cellIs" dxfId="1768" priority="106" stopIfTrue="1" operator="between">
      <formula>3</formula>
      <formula>3.9</formula>
    </cfRule>
    <cfRule type="cellIs" dxfId="1767" priority="107" stopIfTrue="1" operator="between">
      <formula>4</formula>
      <formula>5</formula>
    </cfRule>
  </conditionalFormatting>
  <conditionalFormatting sqref="H30:H36 G33:G36">
    <cfRule type="cellIs" dxfId="1766" priority="102" stopIfTrue="1" operator="between">
      <formula>0.1</formula>
      <formula>1.9</formula>
    </cfRule>
    <cfRule type="cellIs" dxfId="1765" priority="103" stopIfTrue="1" operator="between">
      <formula>3</formula>
      <formula>3.9</formula>
    </cfRule>
    <cfRule type="cellIs" dxfId="1764" priority="104" stopIfTrue="1" operator="between">
      <formula>4</formula>
      <formula>5</formula>
    </cfRule>
  </conditionalFormatting>
  <conditionalFormatting sqref="G30">
    <cfRule type="cellIs" dxfId="1763" priority="99" stopIfTrue="1" operator="between">
      <formula>0.1</formula>
      <formula>1.9</formula>
    </cfRule>
    <cfRule type="cellIs" dxfId="1762" priority="100" stopIfTrue="1" operator="between">
      <formula>3</formula>
      <formula>3.9</formula>
    </cfRule>
    <cfRule type="cellIs" dxfId="1761" priority="101" stopIfTrue="1" operator="between">
      <formula>4</formula>
      <formula>5</formula>
    </cfRule>
  </conditionalFormatting>
  <conditionalFormatting sqref="G30:H34">
    <cfRule type="cellIs" dxfId="1760" priority="96" stopIfTrue="1" operator="between">
      <formula>0.1</formula>
      <formula>1.9</formula>
    </cfRule>
    <cfRule type="cellIs" dxfId="1759" priority="97" stopIfTrue="1" operator="between">
      <formula>3</formula>
      <formula>3.9</formula>
    </cfRule>
    <cfRule type="cellIs" dxfId="1758" priority="98" stopIfTrue="1" operator="between">
      <formula>4</formula>
      <formula>5</formula>
    </cfRule>
  </conditionalFormatting>
  <conditionalFormatting sqref="G30:H36">
    <cfRule type="cellIs" dxfId="1757" priority="95" operator="between">
      <formula>2</formula>
      <formula>2.9</formula>
    </cfRule>
  </conditionalFormatting>
  <conditionalFormatting sqref="G23:H31">
    <cfRule type="cellIs" dxfId="1756" priority="79" operator="between">
      <formula>2</formula>
      <formula>2.9</formula>
    </cfRule>
  </conditionalFormatting>
  <conditionalFormatting sqref="H26">
    <cfRule type="cellIs" dxfId="1755" priority="76" stopIfTrue="1" operator="between">
      <formula>0.1</formula>
      <formula>1.9</formula>
    </cfRule>
    <cfRule type="cellIs" dxfId="1754" priority="77" stopIfTrue="1" operator="between">
      <formula>3</formula>
      <formula>3.9</formula>
    </cfRule>
    <cfRule type="cellIs" dxfId="1753" priority="78" stopIfTrue="1" operator="between">
      <formula>4</formula>
      <formula>5</formula>
    </cfRule>
  </conditionalFormatting>
  <conditionalFormatting sqref="G26:H26">
    <cfRule type="cellIs" dxfId="1752" priority="73" stopIfTrue="1" operator="between">
      <formula>0.1</formula>
      <formula>1.9</formula>
    </cfRule>
    <cfRule type="cellIs" dxfId="1751" priority="74" stopIfTrue="1" operator="between">
      <formula>3</formula>
      <formula>3.9</formula>
    </cfRule>
    <cfRule type="cellIs" dxfId="1750" priority="75" stopIfTrue="1" operator="between">
      <formula>4</formula>
      <formula>5</formula>
    </cfRule>
  </conditionalFormatting>
  <conditionalFormatting sqref="H27">
    <cfRule type="cellIs" dxfId="1749" priority="70" stopIfTrue="1" operator="between">
      <formula>0.1</formula>
      <formula>1.9</formula>
    </cfRule>
    <cfRule type="cellIs" dxfId="1748" priority="71" stopIfTrue="1" operator="between">
      <formula>3</formula>
      <formula>3.9</formula>
    </cfRule>
    <cfRule type="cellIs" dxfId="1747" priority="72" stopIfTrue="1" operator="between">
      <formula>4</formula>
      <formula>5</formula>
    </cfRule>
  </conditionalFormatting>
  <conditionalFormatting sqref="G24:H24">
    <cfRule type="cellIs" dxfId="1746" priority="67" stopIfTrue="1" operator="between">
      <formula>0.1</formula>
      <formula>1.9</formula>
    </cfRule>
    <cfRule type="cellIs" dxfId="1745" priority="68" stopIfTrue="1" operator="between">
      <formula>3</formula>
      <formula>3.9</formula>
    </cfRule>
    <cfRule type="cellIs" dxfId="1744" priority="69" stopIfTrue="1" operator="between">
      <formula>4</formula>
      <formula>5</formula>
    </cfRule>
  </conditionalFormatting>
  <conditionalFormatting sqref="H25">
    <cfRule type="cellIs" dxfId="1743" priority="64" stopIfTrue="1" operator="between">
      <formula>0.1</formula>
      <formula>1.9</formula>
    </cfRule>
    <cfRule type="cellIs" dxfId="1742" priority="65" stopIfTrue="1" operator="between">
      <formula>3</formula>
      <formula>3.9</formula>
    </cfRule>
    <cfRule type="cellIs" dxfId="1741" priority="66" stopIfTrue="1" operator="between">
      <formula>4</formula>
      <formula>5</formula>
    </cfRule>
  </conditionalFormatting>
  <conditionalFormatting sqref="G25:H25">
    <cfRule type="cellIs" dxfId="1740" priority="61" stopIfTrue="1" operator="between">
      <formula>0.1</formula>
      <formula>1.9</formula>
    </cfRule>
    <cfRule type="cellIs" dxfId="1739" priority="62" stopIfTrue="1" operator="between">
      <formula>3</formula>
      <formula>3.9</formula>
    </cfRule>
    <cfRule type="cellIs" dxfId="1738" priority="63" stopIfTrue="1" operator="between">
      <formula>4</formula>
      <formula>5</formula>
    </cfRule>
  </conditionalFormatting>
  <conditionalFormatting sqref="H26">
    <cfRule type="cellIs" dxfId="1737" priority="58" stopIfTrue="1" operator="between">
      <formula>0.1</formula>
      <formula>1.9</formula>
    </cfRule>
    <cfRule type="cellIs" dxfId="1736" priority="59" stopIfTrue="1" operator="between">
      <formula>3</formula>
      <formula>3.9</formula>
    </cfRule>
    <cfRule type="cellIs" dxfId="1735" priority="60" stopIfTrue="1" operator="between">
      <formula>4</formula>
      <formula>5</formula>
    </cfRule>
  </conditionalFormatting>
  <conditionalFormatting sqref="G23:H36">
    <cfRule type="cellIs" dxfId="1734" priority="57" operator="equal">
      <formula>""</formula>
    </cfRule>
  </conditionalFormatting>
  <conditionalFormatting sqref="H9:H23">
    <cfRule type="cellIs" dxfId="1733" priority="54" stopIfTrue="1" operator="between">
      <formula>0.1</formula>
      <formula>1.9</formula>
    </cfRule>
    <cfRule type="cellIs" dxfId="1732" priority="55" stopIfTrue="1" operator="between">
      <formula>3</formula>
      <formula>3.9</formula>
    </cfRule>
    <cfRule type="cellIs" dxfId="1731" priority="56" stopIfTrue="1" operator="between">
      <formula>4</formula>
      <formula>5</formula>
    </cfRule>
  </conditionalFormatting>
  <conditionalFormatting sqref="G19:H19">
    <cfRule type="cellIs" dxfId="1730" priority="51" stopIfTrue="1" operator="between">
      <formula>0.1</formula>
      <formula>1.9</formula>
    </cfRule>
    <cfRule type="cellIs" dxfId="1729" priority="52" stopIfTrue="1" operator="between">
      <formula>3</formula>
      <formula>3.9</formula>
    </cfRule>
    <cfRule type="cellIs" dxfId="1728" priority="53" stopIfTrue="1" operator="between">
      <formula>4</formula>
      <formula>5</formula>
    </cfRule>
  </conditionalFormatting>
  <conditionalFormatting sqref="H9:H21 G9:G23">
    <cfRule type="cellIs" dxfId="1727" priority="48" stopIfTrue="1" operator="between">
      <formula>0.1</formula>
      <formula>1.9</formula>
    </cfRule>
    <cfRule type="cellIs" dxfId="1726" priority="49" stopIfTrue="1" operator="between">
      <formula>3</formula>
      <formula>3.9</formula>
    </cfRule>
    <cfRule type="cellIs" dxfId="1725" priority="50" stopIfTrue="1" operator="between">
      <formula>4</formula>
      <formula>5</formula>
    </cfRule>
  </conditionalFormatting>
  <conditionalFormatting sqref="G20:H23">
    <cfRule type="cellIs" dxfId="1724" priority="45" stopIfTrue="1" operator="between">
      <formula>0.1</formula>
      <formula>1.9</formula>
    </cfRule>
    <cfRule type="cellIs" dxfId="1723" priority="46" stopIfTrue="1" operator="between">
      <formula>3</formula>
      <formula>3.9</formula>
    </cfRule>
    <cfRule type="cellIs" dxfId="1722" priority="47" stopIfTrue="1" operator="between">
      <formula>4</formula>
      <formula>5</formula>
    </cfRule>
  </conditionalFormatting>
  <conditionalFormatting sqref="G9:H23">
    <cfRule type="cellIs" dxfId="1721" priority="44" operator="between">
      <formula>2</formula>
      <formula>2.9</formula>
    </cfRule>
  </conditionalFormatting>
  <conditionalFormatting sqref="G20:H20">
    <cfRule type="cellIs" dxfId="1720" priority="41" stopIfTrue="1" operator="between">
      <formula>0.1</formula>
      <formula>1.9</formula>
    </cfRule>
    <cfRule type="cellIs" dxfId="1719" priority="42" stopIfTrue="1" operator="between">
      <formula>3</formula>
      <formula>3.9</formula>
    </cfRule>
    <cfRule type="cellIs" dxfId="1718" priority="43" stopIfTrue="1" operator="between">
      <formula>4</formula>
      <formula>5</formula>
    </cfRule>
  </conditionalFormatting>
  <conditionalFormatting sqref="G9:H23">
    <cfRule type="cellIs" dxfId="1717" priority="40" operator="equal">
      <formula>""</formula>
    </cfRule>
  </conditionalFormatting>
  <conditionalFormatting sqref="G26:H26">
    <cfRule type="cellIs" dxfId="1716" priority="34" stopIfTrue="1" operator="between">
      <formula>0.1</formula>
      <formula>1.9</formula>
    </cfRule>
    <cfRule type="cellIs" dxfId="1715" priority="35" stopIfTrue="1" operator="between">
      <formula>3</formula>
      <formula>3.9</formula>
    </cfRule>
    <cfRule type="cellIs" dxfId="1714" priority="36" stopIfTrue="1" operator="between">
      <formula>4</formula>
      <formula>5</formula>
    </cfRule>
  </conditionalFormatting>
  <conditionalFormatting sqref="H27">
    <cfRule type="cellIs" dxfId="1713" priority="31" stopIfTrue="1" operator="between">
      <formula>0.1</formula>
      <formula>1.9</formula>
    </cfRule>
    <cfRule type="cellIs" dxfId="1712" priority="32" stopIfTrue="1" operator="between">
      <formula>3</formula>
      <formula>3.9</formula>
    </cfRule>
    <cfRule type="cellIs" dxfId="1711" priority="33" stopIfTrue="1" operator="between">
      <formula>4</formula>
      <formula>5</formula>
    </cfRule>
  </conditionalFormatting>
  <conditionalFormatting sqref="G27:H27">
    <cfRule type="cellIs" dxfId="1710" priority="28" stopIfTrue="1" operator="between">
      <formula>0.1</formula>
      <formula>1.9</formula>
    </cfRule>
    <cfRule type="cellIs" dxfId="1709" priority="29" stopIfTrue="1" operator="between">
      <formula>3</formula>
      <formula>3.9</formula>
    </cfRule>
    <cfRule type="cellIs" dxfId="1708" priority="30" stopIfTrue="1" operator="between">
      <formula>4</formula>
      <formula>5</formula>
    </cfRule>
  </conditionalFormatting>
  <conditionalFormatting sqref="H28">
    <cfRule type="cellIs" dxfId="1707" priority="25" stopIfTrue="1" operator="between">
      <formula>0.1</formula>
      <formula>1.9</formula>
    </cfRule>
    <cfRule type="cellIs" dxfId="1706" priority="26" stopIfTrue="1" operator="between">
      <formula>3</formula>
      <formula>3.9</formula>
    </cfRule>
    <cfRule type="cellIs" dxfId="1705" priority="27" stopIfTrue="1" operator="between">
      <formula>4</formula>
      <formula>5</formula>
    </cfRule>
  </conditionalFormatting>
  <conditionalFormatting sqref="G25:H25">
    <cfRule type="cellIs" dxfId="1704" priority="22" stopIfTrue="1" operator="between">
      <formula>0.1</formula>
      <formula>1.9</formula>
    </cfRule>
    <cfRule type="cellIs" dxfId="1703" priority="23" stopIfTrue="1" operator="between">
      <formula>3</formula>
      <formula>3.9</formula>
    </cfRule>
    <cfRule type="cellIs" dxfId="1702" priority="24" stopIfTrue="1" operator="between">
      <formula>4</formula>
      <formula>5</formula>
    </cfRule>
  </conditionalFormatting>
  <conditionalFormatting sqref="H26">
    <cfRule type="cellIs" dxfId="1701" priority="19" stopIfTrue="1" operator="between">
      <formula>0.1</formula>
      <formula>1.9</formula>
    </cfRule>
    <cfRule type="cellIs" dxfId="1700" priority="20" stopIfTrue="1" operator="between">
      <formula>3</formula>
      <formula>3.9</formula>
    </cfRule>
    <cfRule type="cellIs" dxfId="1699" priority="21" stopIfTrue="1" operator="between">
      <formula>4</formula>
      <formula>5</formula>
    </cfRule>
  </conditionalFormatting>
  <dataValidations count="1">
    <dataValidation type="list" allowBlank="1" showInputMessage="1" showErrorMessage="1" sqref="O9:Q44" xr:uid="{72001901-DEF6-4CEC-BF1D-417007574943}">
      <formula1>"&lt;1F,1F,2F/1S,"</formula1>
    </dataValidation>
  </dataValidations>
  <pageMargins left="0.54" right="0.26" top="0.49" bottom="0.43" header="0.24" footer="0.24"/>
  <pageSetup paperSize="9" scale="81" orientation="portrait" r:id="rId1"/>
  <headerFooter alignWithMargins="0">
    <oddHeader>&amp;C&amp;"Comic Sans MS,Standaard"&amp;16Leerrendement</oddHeader>
    <oddFooter>&amp;R© www.meesterharrie.nl</oddFooter>
  </headerFooter>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2"/>
  <dimension ref="A1"/>
  <sheetViews>
    <sheetView showGridLines="0" showRowColHeaders="0" zoomScaleNormal="100" workbookViewId="0"/>
  </sheetViews>
  <sheetFormatPr defaultRowHeight="12.75" x14ac:dyDescent="0.2"/>
  <sheetData/>
  <sheetProtection sheet="1" objects="1" scenarios="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D362A-6536-44A2-A0CB-B528116E6475}">
  <dimension ref="C2:AQ71"/>
  <sheetViews>
    <sheetView showGridLines="0" showRowColHeaders="0" zoomScale="60" zoomScaleNormal="60" workbookViewId="0"/>
  </sheetViews>
  <sheetFormatPr defaultColWidth="8.85546875" defaultRowHeight="15" x14ac:dyDescent="0.25"/>
  <cols>
    <col min="1" max="1" width="8.85546875" style="859"/>
    <col min="2" max="2" width="5.5703125" style="859" customWidth="1"/>
    <col min="3" max="4" width="18.5703125" style="859" customWidth="1"/>
    <col min="5" max="5" width="9.5703125" style="858" customWidth="1"/>
    <col min="6" max="7" width="18.5703125" style="859" customWidth="1"/>
    <col min="8" max="8" width="9.5703125" style="859" customWidth="1"/>
    <col min="9" max="10" width="18.5703125" style="859" customWidth="1"/>
    <col min="11" max="11" width="9.5703125" style="859" customWidth="1"/>
    <col min="12" max="13" width="18.5703125" style="859" customWidth="1"/>
    <col min="14" max="14" width="6.5703125" style="859" customWidth="1"/>
    <col min="15" max="15" width="3.140625" style="859" customWidth="1"/>
    <col min="16" max="17" width="8.85546875" style="859" customWidth="1"/>
    <col min="18" max="20" width="8.85546875" style="859"/>
    <col min="21" max="21" width="6.5703125" style="859" customWidth="1"/>
    <col min="22" max="22" width="3.28515625" style="859" customWidth="1"/>
    <col min="23" max="24" width="8.7109375" style="859" customWidth="1"/>
    <col min="25" max="33" width="8.85546875" style="859"/>
    <col min="34" max="36" width="8.85546875" style="860"/>
    <col min="37" max="16384" width="8.85546875" style="859"/>
  </cols>
  <sheetData>
    <row r="2" spans="3:36" ht="15.75" thickBot="1" x14ac:dyDescent="0.3">
      <c r="C2" s="857"/>
      <c r="D2" s="857"/>
    </row>
    <row r="3" spans="3:36" ht="21.95" customHeight="1" thickTop="1" x14ac:dyDescent="0.25">
      <c r="C3" s="954"/>
      <c r="D3" s="955"/>
      <c r="E3" s="861">
        <f>D10</f>
        <v>0.85</v>
      </c>
      <c r="W3" s="862"/>
    </row>
    <row r="4" spans="3:36" s="863" customFormat="1" ht="24.95" customHeight="1" thickBot="1" x14ac:dyDescent="0.25">
      <c r="C4" s="956"/>
      <c r="D4" s="957"/>
      <c r="E4" s="861">
        <f>D12</f>
        <v>0.96</v>
      </c>
      <c r="W4" s="864"/>
      <c r="X4" s="864" t="s">
        <v>453</v>
      </c>
      <c r="Y4" s="865" t="s">
        <v>454</v>
      </c>
      <c r="AA4" s="864"/>
      <c r="AB4" s="864" t="s">
        <v>453</v>
      </c>
      <c r="AC4" s="865" t="s">
        <v>454</v>
      </c>
      <c r="AE4" s="864"/>
      <c r="AF4" s="864" t="s">
        <v>453</v>
      </c>
      <c r="AG4" s="864" t="s">
        <v>506</v>
      </c>
      <c r="AH4" s="950" t="s">
        <v>453</v>
      </c>
      <c r="AI4" s="866" t="s">
        <v>507</v>
      </c>
      <c r="AJ4" s="866">
        <v>0</v>
      </c>
    </row>
    <row r="5" spans="3:36" s="863" customFormat="1" ht="24.95" customHeight="1" thickTop="1" thickBot="1" x14ac:dyDescent="0.4">
      <c r="C5" s="958" t="s">
        <v>460</v>
      </c>
      <c r="D5" s="958"/>
      <c r="E5" s="861">
        <f>D18</f>
        <v>0.47299999999999998</v>
      </c>
      <c r="W5" s="864" t="s">
        <v>507</v>
      </c>
      <c r="X5" s="867">
        <v>0</v>
      </c>
      <c r="Y5" s="867">
        <v>0</v>
      </c>
      <c r="AA5" s="864" t="s">
        <v>507</v>
      </c>
      <c r="AB5" s="867">
        <v>0.4</v>
      </c>
      <c r="AC5" s="867">
        <v>0</v>
      </c>
      <c r="AE5" s="864" t="s">
        <v>507</v>
      </c>
      <c r="AF5" s="867">
        <v>0</v>
      </c>
      <c r="AG5" s="867">
        <v>0</v>
      </c>
      <c r="AH5" s="950"/>
      <c r="AI5" s="866" t="s">
        <v>275</v>
      </c>
      <c r="AJ5" s="866">
        <v>0</v>
      </c>
    </row>
    <row r="6" spans="3:36" s="863" customFormat="1" ht="24.95" customHeight="1" thickTop="1" thickBot="1" x14ac:dyDescent="0.25">
      <c r="C6" s="740">
        <v>2020</v>
      </c>
      <c r="D6" s="740">
        <v>2021</v>
      </c>
      <c r="E6" s="861">
        <f>D20</f>
        <v>0.59199999999999997</v>
      </c>
      <c r="W6" s="864" t="s">
        <v>275</v>
      </c>
      <c r="X6" s="867">
        <v>0.4</v>
      </c>
      <c r="Y6" s="867">
        <v>0</v>
      </c>
      <c r="AA6" s="864" t="s">
        <v>275</v>
      </c>
      <c r="AB6" s="867">
        <v>0.5</v>
      </c>
      <c r="AC6" s="867">
        <v>0</v>
      </c>
      <c r="AE6" s="864" t="s">
        <v>275</v>
      </c>
      <c r="AF6" s="867">
        <v>0.1</v>
      </c>
      <c r="AG6" s="867">
        <v>0</v>
      </c>
      <c r="AH6" s="950"/>
      <c r="AI6" s="866" t="s">
        <v>508</v>
      </c>
      <c r="AJ6" s="866">
        <v>0</v>
      </c>
    </row>
    <row r="7" spans="3:36" s="863" customFormat="1" ht="24.95" customHeight="1" thickTop="1" thickBot="1" x14ac:dyDescent="0.25">
      <c r="C7" s="868" t="s">
        <v>474</v>
      </c>
      <c r="D7" s="740">
        <v>30</v>
      </c>
      <c r="E7" s="869"/>
      <c r="W7" s="864" t="s">
        <v>508</v>
      </c>
      <c r="X7" s="867">
        <v>0.5</v>
      </c>
      <c r="Y7" s="867">
        <v>0.05</v>
      </c>
      <c r="AA7" s="864" t="s">
        <v>508</v>
      </c>
      <c r="AB7" s="867">
        <v>0.6</v>
      </c>
      <c r="AC7" s="867">
        <v>0</v>
      </c>
      <c r="AE7" s="864" t="s">
        <v>508</v>
      </c>
      <c r="AF7" s="867">
        <v>0.4</v>
      </c>
      <c r="AG7" s="867">
        <v>0</v>
      </c>
      <c r="AH7" s="950"/>
      <c r="AI7" s="866" t="s">
        <v>509</v>
      </c>
      <c r="AJ7" s="866">
        <v>0</v>
      </c>
    </row>
    <row r="8" spans="3:36" s="863" customFormat="1" ht="24.95" customHeight="1" thickTop="1" x14ac:dyDescent="0.25">
      <c r="C8" s="870"/>
      <c r="D8" s="871"/>
      <c r="E8" s="872">
        <f>$D24</f>
        <v>0.26923076923076922</v>
      </c>
      <c r="F8" s="873"/>
      <c r="G8" s="873"/>
      <c r="H8" s="873"/>
      <c r="I8" s="873"/>
      <c r="J8" s="873"/>
      <c r="K8" s="873"/>
      <c r="L8" s="873"/>
      <c r="M8" s="873"/>
      <c r="W8" s="864" t="s">
        <v>509</v>
      </c>
      <c r="X8" s="867">
        <v>0.7</v>
      </c>
      <c r="Y8" s="867">
        <v>0.2</v>
      </c>
      <c r="AA8" s="864" t="s">
        <v>509</v>
      </c>
      <c r="AB8" s="867">
        <v>0.75</v>
      </c>
      <c r="AC8" s="867">
        <v>0.2</v>
      </c>
      <c r="AE8" s="864" t="s">
        <v>509</v>
      </c>
      <c r="AF8" s="867">
        <v>0.6</v>
      </c>
      <c r="AG8" s="867">
        <v>0.1</v>
      </c>
      <c r="AH8" s="950"/>
      <c r="AI8" s="866" t="s">
        <v>510</v>
      </c>
      <c r="AJ8" s="860">
        <v>0</v>
      </c>
    </row>
    <row r="9" spans="3:36" s="863" customFormat="1" ht="24.95" customHeight="1" thickBot="1" x14ac:dyDescent="0.3">
      <c r="C9" s="874" t="s">
        <v>461</v>
      </c>
      <c r="D9" s="874"/>
      <c r="E9" s="872">
        <f>$G24</f>
        <v>0.19230769230769232</v>
      </c>
      <c r="F9" s="873"/>
      <c r="G9" s="873"/>
      <c r="H9" s="873"/>
      <c r="I9" s="873"/>
      <c r="J9" s="873"/>
      <c r="K9" s="873"/>
      <c r="L9" s="873"/>
      <c r="M9" s="873"/>
      <c r="W9" s="864" t="s">
        <v>510</v>
      </c>
      <c r="X9" s="867">
        <v>0.75</v>
      </c>
      <c r="Y9" s="867">
        <v>0.25</v>
      </c>
      <c r="AA9" s="864" t="s">
        <v>510</v>
      </c>
      <c r="AB9" s="867">
        <v>0.8</v>
      </c>
      <c r="AC9" s="867">
        <v>0.25</v>
      </c>
      <c r="AE9" s="864" t="s">
        <v>510</v>
      </c>
      <c r="AF9" s="867">
        <v>0.75</v>
      </c>
      <c r="AG9" s="867">
        <v>0.2</v>
      </c>
      <c r="AH9" s="950"/>
      <c r="AI9" s="866" t="s">
        <v>511</v>
      </c>
      <c r="AJ9" s="860">
        <v>0</v>
      </c>
    </row>
    <row r="10" spans="3:36" s="863" customFormat="1" ht="24.95" customHeight="1" thickTop="1" thickBot="1" x14ac:dyDescent="0.3">
      <c r="C10" s="875" t="s">
        <v>462</v>
      </c>
      <c r="D10" s="876">
        <v>0.85</v>
      </c>
      <c r="E10" s="861">
        <f>$J24</f>
        <v>0.65384615384615385</v>
      </c>
      <c r="F10" s="873"/>
      <c r="G10" s="873"/>
      <c r="H10" s="873"/>
      <c r="I10" s="873"/>
      <c r="J10" s="873"/>
      <c r="K10" s="873"/>
      <c r="L10" s="873"/>
      <c r="M10" s="873"/>
      <c r="W10" s="864" t="s">
        <v>511</v>
      </c>
      <c r="X10" s="867">
        <v>0.8</v>
      </c>
      <c r="Y10" s="867">
        <v>0.45</v>
      </c>
      <c r="AA10" s="864" t="s">
        <v>511</v>
      </c>
      <c r="AB10" s="867">
        <v>0.85</v>
      </c>
      <c r="AC10" s="867">
        <v>0.45</v>
      </c>
      <c r="AE10" s="864" t="s">
        <v>511</v>
      </c>
      <c r="AF10" s="867">
        <v>0.9</v>
      </c>
      <c r="AG10" s="867">
        <v>0.3</v>
      </c>
      <c r="AH10" s="950"/>
      <c r="AI10" s="866" t="s">
        <v>512</v>
      </c>
      <c r="AJ10" s="860">
        <v>0</v>
      </c>
    </row>
    <row r="11" spans="3:36" s="863" customFormat="1" ht="15" customHeight="1" thickTop="1" thickBot="1" x14ac:dyDescent="0.25">
      <c r="C11" s="877"/>
      <c r="D11" s="878"/>
      <c r="E11" s="861">
        <f>$M24</f>
        <v>0</v>
      </c>
      <c r="F11" s="873"/>
      <c r="G11" s="873"/>
      <c r="H11" s="873"/>
      <c r="I11" s="873"/>
      <c r="J11" s="873"/>
      <c r="K11" s="873"/>
      <c r="L11" s="873"/>
      <c r="M11" s="873"/>
      <c r="W11" s="864" t="s">
        <v>512</v>
      </c>
      <c r="X11" s="867">
        <f>$D$12</f>
        <v>0.96</v>
      </c>
      <c r="Y11" s="867">
        <f>65%</f>
        <v>0.65</v>
      </c>
      <c r="AA11" s="864" t="s">
        <v>512</v>
      </c>
      <c r="AB11" s="867">
        <f>$D$12</f>
        <v>0.96</v>
      </c>
      <c r="AC11" s="867">
        <f>65%</f>
        <v>0.65</v>
      </c>
      <c r="AE11" s="864" t="s">
        <v>512</v>
      </c>
      <c r="AF11" s="867">
        <f>$D$12</f>
        <v>0.96</v>
      </c>
      <c r="AG11" s="867">
        <f>45%</f>
        <v>0.45</v>
      </c>
      <c r="AH11" s="950" t="s">
        <v>454</v>
      </c>
      <c r="AI11" s="866" t="s">
        <v>507</v>
      </c>
      <c r="AJ11" s="866">
        <v>0</v>
      </c>
    </row>
    <row r="12" spans="3:36" s="863" customFormat="1" ht="24.95" customHeight="1" thickTop="1" thickBot="1" x14ac:dyDescent="0.25">
      <c r="C12" s="879" t="s">
        <v>463</v>
      </c>
      <c r="D12" s="736">
        <f>IF($D$7="","",IF($D$7&gt;0,(VLOOKUP($D$7,schoolweging!$A$64:$E$202,5,0))))</f>
        <v>0.96</v>
      </c>
      <c r="E12" s="861"/>
      <c r="F12" s="873"/>
      <c r="G12" s="873"/>
      <c r="H12" s="873"/>
      <c r="I12" s="873"/>
      <c r="J12" s="873"/>
      <c r="K12" s="873"/>
      <c r="L12" s="873"/>
      <c r="M12" s="873"/>
      <c r="W12" s="863">
        <v>0</v>
      </c>
      <c r="X12" s="863">
        <v>0</v>
      </c>
      <c r="Y12" s="863">
        <v>0</v>
      </c>
      <c r="Z12" s="863">
        <v>0</v>
      </c>
      <c r="AA12" s="863">
        <v>0</v>
      </c>
      <c r="AB12" s="863">
        <v>0</v>
      </c>
      <c r="AC12" s="863">
        <v>0</v>
      </c>
      <c r="AH12" s="950"/>
      <c r="AI12" s="866" t="s">
        <v>275</v>
      </c>
      <c r="AJ12" s="866">
        <v>0</v>
      </c>
    </row>
    <row r="13" spans="3:36" s="863" customFormat="1" ht="24.95" customHeight="1" thickTop="1" x14ac:dyDescent="0.25">
      <c r="C13" s="870"/>
      <c r="D13" s="737"/>
      <c r="E13" s="872">
        <f>$D25</f>
        <v>0</v>
      </c>
      <c r="F13" s="873"/>
      <c r="G13" s="873"/>
      <c r="H13" s="873"/>
      <c r="I13" s="873"/>
      <c r="J13" s="873"/>
      <c r="K13" s="873"/>
      <c r="L13" s="873"/>
      <c r="M13" s="873"/>
      <c r="Y13" s="865"/>
      <c r="Z13" s="865"/>
      <c r="AA13" s="865"/>
      <c r="AB13" s="865"/>
      <c r="AC13" s="865"/>
      <c r="AH13" s="950"/>
      <c r="AI13" s="866" t="s">
        <v>508</v>
      </c>
      <c r="AJ13" s="866">
        <v>0</v>
      </c>
    </row>
    <row r="14" spans="3:36" s="863" customFormat="1" ht="24.95" customHeight="1" x14ac:dyDescent="0.25">
      <c r="C14" s="870"/>
      <c r="D14" s="737"/>
      <c r="E14" s="872">
        <f>$G25</f>
        <v>0</v>
      </c>
      <c r="F14" s="873"/>
      <c r="G14" s="873"/>
      <c r="H14" s="873"/>
      <c r="I14" s="873"/>
      <c r="J14" s="873"/>
      <c r="K14" s="873"/>
      <c r="L14" s="873"/>
      <c r="M14" s="873"/>
      <c r="AH14" s="950"/>
      <c r="AI14" s="866" t="s">
        <v>509</v>
      </c>
      <c r="AJ14" s="866">
        <v>0</v>
      </c>
    </row>
    <row r="15" spans="3:36" s="863" customFormat="1" ht="24.95" customHeight="1" x14ac:dyDescent="0.25">
      <c r="E15" s="861">
        <f>$J25</f>
        <v>7.6923076923076927E-2</v>
      </c>
      <c r="F15" s="873"/>
      <c r="G15" s="873"/>
      <c r="H15" s="873"/>
      <c r="I15" s="873"/>
      <c r="J15" s="873"/>
      <c r="K15" s="873"/>
      <c r="L15" s="873"/>
      <c r="M15" s="873"/>
      <c r="AH15" s="950"/>
      <c r="AI15" s="866" t="s">
        <v>510</v>
      </c>
      <c r="AJ15" s="860">
        <v>0</v>
      </c>
    </row>
    <row r="16" spans="3:36" s="863" customFormat="1" ht="24.95" customHeight="1" x14ac:dyDescent="0.25">
      <c r="E16" s="861">
        <f>$M25</f>
        <v>0</v>
      </c>
      <c r="F16" s="873"/>
      <c r="G16" s="873"/>
      <c r="H16" s="873"/>
      <c r="I16" s="873"/>
      <c r="J16" s="873"/>
      <c r="K16" s="873"/>
      <c r="L16" s="873"/>
      <c r="M16" s="873"/>
      <c r="AH16" s="950"/>
      <c r="AI16" s="866" t="s">
        <v>511</v>
      </c>
      <c r="AJ16" s="860">
        <v>0</v>
      </c>
    </row>
    <row r="17" spans="3:43" ht="24.95" customHeight="1" thickBot="1" x14ac:dyDescent="0.3">
      <c r="C17" s="880" t="s">
        <v>464</v>
      </c>
      <c r="D17" s="880"/>
      <c r="E17" s="861"/>
      <c r="F17" s="881"/>
      <c r="G17" s="881"/>
      <c r="H17" s="881"/>
      <c r="I17" s="881"/>
      <c r="J17" s="881"/>
      <c r="K17" s="881"/>
      <c r="L17" s="881"/>
      <c r="M17" s="881"/>
      <c r="AH17" s="950"/>
      <c r="AI17" s="866" t="s">
        <v>512</v>
      </c>
      <c r="AJ17" s="860">
        <v>0</v>
      </c>
    </row>
    <row r="18" spans="3:43" ht="24.95" customHeight="1" thickTop="1" thickBot="1" x14ac:dyDescent="0.3">
      <c r="C18" s="882" t="s">
        <v>465</v>
      </c>
      <c r="D18" s="738">
        <f>IF($D$7="","",IF($D$7&gt;0,(VLOOKUP($D$7,schoolweging!$A$64:$E$202,2,0))))</f>
        <v>0.47299999999999998</v>
      </c>
      <c r="E18" s="872">
        <f>$D27</f>
        <v>0.65384615384615385</v>
      </c>
      <c r="F18" s="881"/>
      <c r="G18" s="881"/>
      <c r="H18" s="881"/>
      <c r="I18" s="881"/>
      <c r="J18" s="881"/>
      <c r="K18" s="881"/>
      <c r="L18" s="881"/>
      <c r="M18" s="881"/>
      <c r="AH18" s="950" t="s">
        <v>453</v>
      </c>
      <c r="AI18" s="866" t="s">
        <v>507</v>
      </c>
      <c r="AJ18" s="866">
        <v>0</v>
      </c>
    </row>
    <row r="19" spans="3:43" ht="15" customHeight="1" thickTop="1" thickBot="1" x14ac:dyDescent="0.5">
      <c r="C19" s="883"/>
      <c r="D19" s="737"/>
      <c r="E19" s="872">
        <f>$G27</f>
        <v>0.65384615384615385</v>
      </c>
      <c r="F19" s="881"/>
      <c r="G19" s="881"/>
      <c r="H19" s="881"/>
      <c r="I19" s="881"/>
      <c r="J19" s="881"/>
      <c r="K19" s="881"/>
      <c r="L19" s="881"/>
      <c r="M19" s="881"/>
      <c r="AH19" s="950"/>
      <c r="AI19" s="866" t="s">
        <v>275</v>
      </c>
      <c r="AJ19" s="866">
        <v>0</v>
      </c>
    </row>
    <row r="20" spans="3:43" s="890" customFormat="1" ht="24.95" customHeight="1" thickTop="1" thickBot="1" x14ac:dyDescent="0.25">
      <c r="C20" s="884" t="s">
        <v>466</v>
      </c>
      <c r="D20" s="739">
        <f>IF($D$7="","",IF($D$7&gt;0,(VLOOKUP($D$7,schoolweging!$A$64:$E$202,3,0))))</f>
        <v>0.59199999999999997</v>
      </c>
      <c r="E20" s="861">
        <f>$J27</f>
        <v>0.88461538461538458</v>
      </c>
      <c r="F20" s="885"/>
      <c r="G20" s="886"/>
      <c r="H20" s="887"/>
      <c r="I20" s="888"/>
      <c r="J20" s="888"/>
      <c r="K20" s="887"/>
      <c r="L20" s="887"/>
      <c r="M20" s="889"/>
      <c r="O20" s="891"/>
      <c r="P20" s="891"/>
      <c r="Q20" s="871"/>
      <c r="V20" s="891"/>
      <c r="W20" s="891"/>
      <c r="X20" s="871"/>
      <c r="AH20" s="950"/>
      <c r="AI20" s="866" t="s">
        <v>508</v>
      </c>
      <c r="AJ20" s="866">
        <v>0</v>
      </c>
    </row>
    <row r="21" spans="3:43" ht="30" thickTop="1" thickBot="1" x14ac:dyDescent="0.5">
      <c r="C21" s="883"/>
      <c r="D21" s="737"/>
      <c r="E21" s="861">
        <f>$M27</f>
        <v>0</v>
      </c>
      <c r="AH21" s="950"/>
      <c r="AI21" s="866" t="s">
        <v>509</v>
      </c>
      <c r="AJ21" s="866">
        <v>0</v>
      </c>
    </row>
    <row r="22" spans="3:43" ht="24.95" customHeight="1" x14ac:dyDescent="0.35">
      <c r="C22" s="951" t="s">
        <v>467</v>
      </c>
      <c r="D22" s="952"/>
      <c r="E22" s="892"/>
      <c r="F22" s="951" t="s">
        <v>477</v>
      </c>
      <c r="G22" s="952"/>
      <c r="I22" s="951" t="s">
        <v>478</v>
      </c>
      <c r="J22" s="952"/>
      <c r="L22" s="951" t="s">
        <v>479</v>
      </c>
      <c r="M22" s="952"/>
      <c r="V22" s="971" t="s">
        <v>476</v>
      </c>
      <c r="W22" s="972"/>
      <c r="X22" s="972"/>
      <c r="Y22" s="972"/>
      <c r="Z22" s="973"/>
      <c r="AA22" s="893"/>
      <c r="AB22" s="893"/>
      <c r="AC22" s="893"/>
      <c r="AD22" s="893"/>
      <c r="AE22" s="893"/>
      <c r="AF22" s="893"/>
      <c r="AG22" s="893"/>
      <c r="AH22" s="950"/>
      <c r="AI22" s="866" t="s">
        <v>510</v>
      </c>
      <c r="AJ22" s="860">
        <v>0</v>
      </c>
      <c r="AK22" s="893"/>
      <c r="AL22" s="893"/>
      <c r="AM22" s="893"/>
      <c r="AN22" s="893"/>
      <c r="AO22" s="893"/>
      <c r="AP22" s="893"/>
      <c r="AQ22" s="893"/>
    </row>
    <row r="23" spans="3:43" ht="24.95" customHeight="1" thickBot="1" x14ac:dyDescent="0.3">
      <c r="C23" s="894" t="s">
        <v>476</v>
      </c>
      <c r="D23" s="895" t="s">
        <v>475</v>
      </c>
      <c r="E23" s="872">
        <f>$D28</f>
        <v>7.6923076923076927E-2</v>
      </c>
      <c r="F23" s="894" t="s">
        <v>476</v>
      </c>
      <c r="G23" s="895" t="s">
        <v>475</v>
      </c>
      <c r="I23" s="896" t="s">
        <v>476</v>
      </c>
      <c r="J23" s="897" t="s">
        <v>475</v>
      </c>
      <c r="L23" s="894" t="s">
        <v>476</v>
      </c>
      <c r="M23" s="895" t="s">
        <v>475</v>
      </c>
      <c r="V23" s="974" t="s">
        <v>468</v>
      </c>
      <c r="W23" s="975"/>
      <c r="X23" s="975"/>
      <c r="Y23" s="975"/>
      <c r="Z23" s="976"/>
      <c r="AA23" s="893"/>
      <c r="AB23" s="893"/>
      <c r="AC23" s="893"/>
      <c r="AD23" s="893"/>
      <c r="AE23" s="893"/>
      <c r="AF23" s="893"/>
      <c r="AG23" s="893"/>
      <c r="AH23" s="950"/>
      <c r="AI23" s="866" t="s">
        <v>511</v>
      </c>
      <c r="AJ23" s="860">
        <v>0</v>
      </c>
      <c r="AK23" s="893"/>
      <c r="AL23" s="893"/>
      <c r="AM23" s="893"/>
      <c r="AN23" s="893"/>
      <c r="AO23" s="893"/>
      <c r="AP23" s="893"/>
      <c r="AQ23" s="893"/>
    </row>
    <row r="24" spans="3:43" ht="21" x14ac:dyDescent="0.35">
      <c r="C24" s="898" t="s">
        <v>468</v>
      </c>
      <c r="D24" s="918">
        <f>'NIVEAU WAARDE - vorig jaar'!$O$48</f>
        <v>0.26923076923076922</v>
      </c>
      <c r="E24" s="872">
        <f>$G28</f>
        <v>0.11538461538461539</v>
      </c>
      <c r="F24" s="898" t="s">
        <v>468</v>
      </c>
      <c r="G24" s="918">
        <f>'NIVEAU WAARDE - 1e toetsperiode'!$O$48</f>
        <v>0.19230769230769232</v>
      </c>
      <c r="I24" s="899" t="s">
        <v>468</v>
      </c>
      <c r="J24" s="922">
        <f>'NIVEAU WAARDE - 2e toetsperiode'!$O$48</f>
        <v>0.65384615384615385</v>
      </c>
      <c r="K24" s="881"/>
      <c r="L24" s="898" t="s">
        <v>468</v>
      </c>
      <c r="M24" s="923">
        <f>'VERWIJZING - VO'!$V$43</f>
        <v>0</v>
      </c>
      <c r="N24" s="881"/>
      <c r="V24" s="977" t="s">
        <v>469</v>
      </c>
      <c r="W24" s="978"/>
      <c r="X24" s="978"/>
      <c r="Y24" s="978"/>
      <c r="Z24" s="979"/>
      <c r="AA24" s="893"/>
      <c r="AB24" s="893"/>
      <c r="AC24" s="893"/>
      <c r="AD24" s="893"/>
      <c r="AE24" s="893"/>
      <c r="AF24" s="893"/>
      <c r="AG24" s="893"/>
      <c r="AH24" s="950" t="s">
        <v>454</v>
      </c>
      <c r="AI24" s="866" t="s">
        <v>512</v>
      </c>
      <c r="AJ24" s="860">
        <v>0</v>
      </c>
      <c r="AK24" s="893"/>
      <c r="AL24" s="893"/>
      <c r="AM24" s="893"/>
      <c r="AN24" s="893"/>
      <c r="AO24" s="893"/>
      <c r="AP24" s="893"/>
      <c r="AQ24" s="893"/>
    </row>
    <row r="25" spans="3:43" ht="21" customHeight="1" thickBot="1" x14ac:dyDescent="0.4">
      <c r="C25" s="900" t="s">
        <v>469</v>
      </c>
      <c r="D25" s="919">
        <f>'NIVEAU WAARDE - vorig jaar'!$O$47</f>
        <v>0</v>
      </c>
      <c r="E25" s="861">
        <f>$J28</f>
        <v>0.42307692307692307</v>
      </c>
      <c r="F25" s="900" t="s">
        <v>469</v>
      </c>
      <c r="G25" s="919">
        <f>'NIVEAU WAARDE - 1e toetsperiode'!$O$47</f>
        <v>0</v>
      </c>
      <c r="H25" s="881"/>
      <c r="I25" s="900" t="s">
        <v>469</v>
      </c>
      <c r="J25" s="919">
        <f>'NIVEAU WAARDE - 2e toetsperiode'!$O$47</f>
        <v>7.6923076923076927E-2</v>
      </c>
      <c r="L25" s="900" t="s">
        <v>469</v>
      </c>
      <c r="M25" s="924">
        <f>'VERWIJZING - VO'!$W$43</f>
        <v>0</v>
      </c>
      <c r="N25" s="881"/>
      <c r="V25" s="980"/>
      <c r="W25" s="981"/>
      <c r="X25" s="981"/>
      <c r="Y25" s="981"/>
      <c r="Z25" s="982"/>
      <c r="AA25" s="893"/>
      <c r="AB25" s="893"/>
      <c r="AC25" s="893"/>
      <c r="AD25" s="893"/>
      <c r="AE25" s="893"/>
      <c r="AF25" s="893"/>
      <c r="AG25" s="893"/>
      <c r="AH25" s="950"/>
      <c r="AI25" s="866" t="s">
        <v>507</v>
      </c>
      <c r="AJ25" s="866">
        <v>0</v>
      </c>
      <c r="AK25" s="893"/>
      <c r="AL25" s="893"/>
      <c r="AM25" s="893"/>
      <c r="AN25" s="893"/>
      <c r="AO25" s="893"/>
      <c r="AP25" s="893"/>
      <c r="AQ25" s="893"/>
    </row>
    <row r="26" spans="3:43" s="903" customFormat="1" ht="21.75" thickBot="1" x14ac:dyDescent="0.4">
      <c r="C26" s="901"/>
      <c r="D26" s="902"/>
      <c r="E26" s="861">
        <f>$M28</f>
        <v>0</v>
      </c>
      <c r="F26" s="901"/>
      <c r="G26" s="902"/>
      <c r="I26" s="901"/>
      <c r="J26" s="902"/>
      <c r="L26" s="901"/>
      <c r="M26" s="904"/>
      <c r="N26" s="905"/>
      <c r="U26" s="859"/>
      <c r="V26" s="983" t="s">
        <v>470</v>
      </c>
      <c r="W26" s="984"/>
      <c r="X26" s="984"/>
      <c r="Y26" s="984"/>
      <c r="Z26" s="985"/>
      <c r="AA26" s="893"/>
      <c r="AB26" s="893"/>
      <c r="AC26" s="893"/>
      <c r="AD26" s="893"/>
      <c r="AE26" s="893"/>
      <c r="AF26" s="893"/>
      <c r="AG26" s="893"/>
      <c r="AH26" s="950"/>
      <c r="AI26" s="866" t="s">
        <v>275</v>
      </c>
      <c r="AJ26" s="866">
        <v>0</v>
      </c>
      <c r="AK26" s="893"/>
      <c r="AL26" s="893"/>
      <c r="AM26" s="893"/>
      <c r="AN26" s="893"/>
      <c r="AO26" s="893"/>
      <c r="AP26" s="893"/>
      <c r="AQ26" s="893"/>
    </row>
    <row r="27" spans="3:43" ht="21" x14ac:dyDescent="0.25">
      <c r="C27" s="906" t="s">
        <v>470</v>
      </c>
      <c r="D27" s="920">
        <f>'NIVEAU WAARDE - vorig jaar'!$P$48</f>
        <v>0.65384615384615385</v>
      </c>
      <c r="E27" s="907"/>
      <c r="F27" s="906" t="s">
        <v>470</v>
      </c>
      <c r="G27" s="920">
        <f>'NIVEAU WAARDE - 1e toetsperiode'!$P$48</f>
        <v>0.65384615384615385</v>
      </c>
      <c r="I27" s="906" t="s">
        <v>470</v>
      </c>
      <c r="J27" s="920">
        <f>'NIVEAU WAARDE - 2e toetsperiode'!$P$48</f>
        <v>0.88461538461538458</v>
      </c>
      <c r="L27" s="906" t="s">
        <v>470</v>
      </c>
      <c r="M27" s="923">
        <f>'VERWIJZING - VO'!$Z$43</f>
        <v>0</v>
      </c>
      <c r="V27" s="959" t="s">
        <v>471</v>
      </c>
      <c r="W27" s="960"/>
      <c r="X27" s="960"/>
      <c r="Y27" s="960"/>
      <c r="Z27" s="961"/>
      <c r="AA27" s="893"/>
      <c r="AB27" s="893"/>
      <c r="AC27" s="893"/>
      <c r="AD27" s="893"/>
      <c r="AE27" s="893"/>
      <c r="AF27" s="893"/>
      <c r="AG27" s="893"/>
      <c r="AH27" s="950"/>
      <c r="AI27" s="866" t="s">
        <v>508</v>
      </c>
      <c r="AJ27" s="866">
        <v>0</v>
      </c>
      <c r="AK27" s="893"/>
      <c r="AL27" s="893"/>
      <c r="AM27" s="893"/>
      <c r="AN27" s="893"/>
      <c r="AO27" s="893"/>
      <c r="AP27" s="893"/>
      <c r="AQ27" s="893"/>
    </row>
    <row r="28" spans="3:43" ht="21.75" thickBot="1" x14ac:dyDescent="0.3">
      <c r="C28" s="908" t="s">
        <v>471</v>
      </c>
      <c r="D28" s="921">
        <f>'NIVEAU WAARDE - vorig jaar'!$P$47</f>
        <v>7.6923076923076927E-2</v>
      </c>
      <c r="E28" s="872">
        <f>$D30</f>
        <v>0.11538461538461539</v>
      </c>
      <c r="F28" s="908" t="s">
        <v>471</v>
      </c>
      <c r="G28" s="921">
        <f>'NIVEAU WAARDE - 1e toetsperiode'!$P$47</f>
        <v>0.11538461538461539</v>
      </c>
      <c r="I28" s="908" t="s">
        <v>471</v>
      </c>
      <c r="J28" s="921">
        <f>'NIVEAU WAARDE - 2e toetsperiode'!$P$47</f>
        <v>0.42307692307692307</v>
      </c>
      <c r="L28" s="908" t="s">
        <v>471</v>
      </c>
      <c r="M28" s="924">
        <f>'VERWIJZING - VO'!$AA$43</f>
        <v>0</v>
      </c>
      <c r="V28" s="962"/>
      <c r="W28" s="963"/>
      <c r="X28" s="963"/>
      <c r="Y28" s="963"/>
      <c r="Z28" s="964"/>
      <c r="AA28" s="893"/>
      <c r="AB28" s="893"/>
      <c r="AC28" s="893"/>
      <c r="AD28" s="893"/>
      <c r="AE28" s="893"/>
      <c r="AF28" s="893"/>
      <c r="AG28" s="893"/>
      <c r="AH28" s="950"/>
      <c r="AI28" s="866" t="s">
        <v>509</v>
      </c>
      <c r="AJ28" s="866">
        <v>0</v>
      </c>
      <c r="AK28" s="893"/>
      <c r="AL28" s="893"/>
      <c r="AM28" s="893"/>
      <c r="AN28" s="893"/>
      <c r="AO28" s="893"/>
      <c r="AP28" s="893"/>
      <c r="AQ28" s="893"/>
    </row>
    <row r="29" spans="3:43" ht="21.75" thickBot="1" x14ac:dyDescent="0.3">
      <c r="C29" s="909"/>
      <c r="D29" s="910"/>
      <c r="E29" s="872">
        <f>$G30</f>
        <v>0.23076923076923078</v>
      </c>
      <c r="F29" s="909"/>
      <c r="G29" s="910"/>
      <c r="I29" s="909"/>
      <c r="J29" s="910"/>
      <c r="L29" s="909"/>
      <c r="M29" s="911"/>
      <c r="V29" s="965" t="s">
        <v>472</v>
      </c>
      <c r="W29" s="966"/>
      <c r="X29" s="966"/>
      <c r="Y29" s="966"/>
      <c r="Z29" s="967"/>
      <c r="AA29" s="893"/>
      <c r="AB29" s="893"/>
      <c r="AC29" s="893"/>
      <c r="AD29" s="893"/>
      <c r="AE29" s="893"/>
      <c r="AF29" s="893"/>
      <c r="AG29" s="893"/>
      <c r="AH29" s="950"/>
      <c r="AI29" s="866" t="s">
        <v>510</v>
      </c>
      <c r="AJ29" s="860">
        <v>0</v>
      </c>
      <c r="AK29" s="893"/>
      <c r="AL29" s="893"/>
      <c r="AM29" s="893"/>
      <c r="AN29" s="893"/>
      <c r="AO29" s="893"/>
      <c r="AP29" s="893"/>
      <c r="AQ29" s="893"/>
    </row>
    <row r="30" spans="3:43" ht="21.75" thickBot="1" x14ac:dyDescent="0.3">
      <c r="C30" s="912" t="s">
        <v>472</v>
      </c>
      <c r="D30" s="920">
        <f>'NIVEAU WAARDE - vorig jaar'!$Q$48</f>
        <v>0.11538461538461539</v>
      </c>
      <c r="E30" s="861">
        <f>$J30</f>
        <v>0.73076923076923073</v>
      </c>
      <c r="F30" s="912" t="s">
        <v>472</v>
      </c>
      <c r="G30" s="920">
        <f>'NIVEAU WAARDE - 1e toetsperiode'!$Q$48</f>
        <v>0.23076923076923078</v>
      </c>
      <c r="I30" s="912" t="s">
        <v>472</v>
      </c>
      <c r="J30" s="920">
        <f>'NIVEAU WAARDE - 2e toetsperiode'!$Q$48</f>
        <v>0.73076923076923073</v>
      </c>
      <c r="L30" s="912" t="s">
        <v>472</v>
      </c>
      <c r="M30" s="923">
        <f>'VERWIJZING - VO'!$AD$43</f>
        <v>0</v>
      </c>
      <c r="V30" s="968" t="s">
        <v>520</v>
      </c>
      <c r="W30" s="969"/>
      <c r="X30" s="969"/>
      <c r="Y30" s="969"/>
      <c r="Z30" s="970"/>
      <c r="AA30" s="893"/>
      <c r="AB30" s="893"/>
      <c r="AC30" s="893"/>
      <c r="AD30" s="893"/>
      <c r="AE30" s="893"/>
      <c r="AF30" s="893"/>
      <c r="AG30" s="893"/>
      <c r="AH30" s="950"/>
      <c r="AI30" s="866" t="s">
        <v>511</v>
      </c>
      <c r="AJ30" s="860">
        <v>0</v>
      </c>
      <c r="AK30" s="893"/>
      <c r="AL30" s="893"/>
      <c r="AM30" s="893"/>
      <c r="AN30" s="893"/>
      <c r="AO30" s="893"/>
      <c r="AP30" s="893"/>
      <c r="AQ30" s="893"/>
    </row>
    <row r="31" spans="3:43" ht="21.75" thickBot="1" x14ac:dyDescent="0.3">
      <c r="C31" s="913" t="s">
        <v>473</v>
      </c>
      <c r="D31" s="921">
        <f>'NIVEAU WAARDE - vorig jaar'!$Q$47</f>
        <v>0</v>
      </c>
      <c r="E31" s="861">
        <f>$M30</f>
        <v>0</v>
      </c>
      <c r="F31" s="913" t="s">
        <v>473</v>
      </c>
      <c r="G31" s="921">
        <f>'NIVEAU WAARDE - 1e toetsperiode'!$Q$47</f>
        <v>0</v>
      </c>
      <c r="I31" s="913" t="s">
        <v>473</v>
      </c>
      <c r="J31" s="921">
        <f>'NIVEAU WAARDE - 2e toetsperiode'!$Q$47</f>
        <v>0.11538461538461539</v>
      </c>
      <c r="L31" s="913" t="s">
        <v>473</v>
      </c>
      <c r="M31" s="924">
        <f>'VERWIJZING - VO'!$AE$43</f>
        <v>0</v>
      </c>
      <c r="W31" s="893"/>
      <c r="X31" s="893"/>
      <c r="Y31" s="893"/>
      <c r="Z31" s="893"/>
      <c r="AA31" s="893"/>
      <c r="AB31" s="893"/>
      <c r="AC31" s="893"/>
      <c r="AD31" s="893"/>
      <c r="AE31" s="893"/>
      <c r="AF31" s="893"/>
      <c r="AG31" s="893"/>
      <c r="AH31" s="950"/>
      <c r="AI31" s="866" t="s">
        <v>512</v>
      </c>
      <c r="AJ31" s="860">
        <v>0</v>
      </c>
      <c r="AK31" s="893"/>
      <c r="AL31" s="893"/>
      <c r="AM31" s="893"/>
      <c r="AN31" s="893"/>
      <c r="AO31" s="893"/>
      <c r="AP31" s="893"/>
      <c r="AQ31" s="893"/>
    </row>
    <row r="32" spans="3:43" ht="15.75" x14ac:dyDescent="0.25">
      <c r="E32" s="861"/>
      <c r="F32" s="914"/>
      <c r="W32" s="893"/>
      <c r="X32" s="893"/>
      <c r="Y32" s="893"/>
      <c r="Z32" s="893"/>
      <c r="AA32" s="893"/>
      <c r="AB32" s="893"/>
      <c r="AC32" s="893"/>
      <c r="AD32" s="893"/>
      <c r="AE32" s="893"/>
      <c r="AF32" s="893"/>
      <c r="AG32" s="893"/>
      <c r="AH32" s="950" t="s">
        <v>453</v>
      </c>
      <c r="AI32" s="866" t="s">
        <v>507</v>
      </c>
      <c r="AJ32" s="866">
        <v>0</v>
      </c>
      <c r="AK32" s="893"/>
      <c r="AL32" s="893"/>
      <c r="AM32" s="893"/>
      <c r="AN32" s="893"/>
      <c r="AO32" s="893"/>
      <c r="AP32" s="893"/>
      <c r="AQ32" s="893"/>
    </row>
    <row r="33" spans="3:43" ht="15.75" x14ac:dyDescent="0.25">
      <c r="E33" s="872">
        <f>$D31</f>
        <v>0</v>
      </c>
      <c r="F33" s="881"/>
      <c r="W33" s="893"/>
      <c r="X33" s="893"/>
      <c r="Y33" s="893"/>
      <c r="Z33" s="893"/>
      <c r="AA33" s="893"/>
      <c r="AB33" s="893"/>
      <c r="AC33" s="893"/>
      <c r="AD33" s="893"/>
      <c r="AE33" s="893"/>
      <c r="AF33" s="893"/>
      <c r="AG33" s="893"/>
      <c r="AH33" s="950"/>
      <c r="AI33" s="866" t="s">
        <v>275</v>
      </c>
      <c r="AJ33" s="866">
        <v>0</v>
      </c>
      <c r="AK33" s="893"/>
      <c r="AL33" s="893"/>
      <c r="AM33" s="893"/>
      <c r="AN33" s="893"/>
      <c r="AO33" s="893"/>
      <c r="AP33" s="893"/>
      <c r="AQ33" s="893"/>
    </row>
    <row r="34" spans="3:43" ht="15.75" x14ac:dyDescent="0.25">
      <c r="E34" s="872">
        <f>$G31</f>
        <v>0</v>
      </c>
      <c r="F34" s="881"/>
      <c r="W34" s="893"/>
      <c r="X34" s="893"/>
      <c r="Y34" s="893"/>
      <c r="Z34" s="893"/>
      <c r="AA34" s="893"/>
      <c r="AB34" s="893"/>
      <c r="AC34" s="893"/>
      <c r="AD34" s="893"/>
      <c r="AE34" s="893"/>
      <c r="AF34" s="893"/>
      <c r="AG34" s="893"/>
      <c r="AH34" s="950"/>
      <c r="AI34" s="866" t="s">
        <v>508</v>
      </c>
      <c r="AJ34" s="866">
        <v>0</v>
      </c>
      <c r="AK34" s="893"/>
      <c r="AL34" s="893"/>
      <c r="AM34" s="893"/>
      <c r="AN34" s="893"/>
      <c r="AO34" s="893"/>
      <c r="AP34" s="893"/>
      <c r="AQ34" s="893"/>
    </row>
    <row r="35" spans="3:43" ht="15.75" x14ac:dyDescent="0.25">
      <c r="E35" s="861">
        <f>$J31</f>
        <v>0.11538461538461539</v>
      </c>
      <c r="W35" s="893"/>
      <c r="X35" s="893"/>
      <c r="Y35" s="893"/>
      <c r="Z35" s="893"/>
      <c r="AA35" s="893"/>
      <c r="AB35" s="893"/>
      <c r="AC35" s="893"/>
      <c r="AD35" s="893"/>
      <c r="AE35" s="893"/>
      <c r="AF35" s="893"/>
      <c r="AG35" s="893"/>
      <c r="AH35" s="950"/>
      <c r="AI35" s="866" t="s">
        <v>509</v>
      </c>
      <c r="AJ35" s="866">
        <v>0</v>
      </c>
      <c r="AK35" s="893"/>
      <c r="AL35" s="893"/>
      <c r="AM35" s="893"/>
      <c r="AN35" s="893"/>
      <c r="AO35" s="893"/>
      <c r="AP35" s="893"/>
      <c r="AQ35" s="893"/>
    </row>
    <row r="36" spans="3:43" ht="15.75" x14ac:dyDescent="0.25">
      <c r="E36" s="861">
        <f>$M31</f>
        <v>0</v>
      </c>
      <c r="W36" s="893"/>
      <c r="X36" s="893"/>
      <c r="Y36" s="893"/>
      <c r="Z36" s="893"/>
      <c r="AA36" s="893"/>
      <c r="AB36" s="893"/>
      <c r="AC36" s="893"/>
      <c r="AD36" s="893"/>
      <c r="AE36" s="893"/>
      <c r="AF36" s="893"/>
      <c r="AG36" s="893"/>
      <c r="AH36" s="950"/>
      <c r="AI36" s="866" t="s">
        <v>510</v>
      </c>
      <c r="AJ36" s="860">
        <v>0</v>
      </c>
      <c r="AK36" s="893"/>
      <c r="AL36" s="893"/>
      <c r="AM36" s="893"/>
      <c r="AN36" s="893"/>
      <c r="AO36" s="893"/>
      <c r="AP36" s="893"/>
      <c r="AQ36" s="893"/>
    </row>
    <row r="37" spans="3:43" x14ac:dyDescent="0.25">
      <c r="W37" s="893"/>
      <c r="X37" s="893"/>
      <c r="Y37" s="893"/>
      <c r="Z37" s="893"/>
      <c r="AA37" s="893"/>
      <c r="AB37" s="893"/>
      <c r="AC37" s="893"/>
      <c r="AD37" s="893"/>
      <c r="AE37" s="893"/>
      <c r="AF37" s="893"/>
      <c r="AG37" s="893"/>
      <c r="AH37" s="950"/>
      <c r="AI37" s="866" t="s">
        <v>511</v>
      </c>
      <c r="AJ37" s="860">
        <v>0</v>
      </c>
      <c r="AK37" s="893"/>
      <c r="AL37" s="893"/>
      <c r="AM37" s="893"/>
      <c r="AN37" s="893"/>
      <c r="AO37" s="893"/>
      <c r="AP37" s="893"/>
      <c r="AQ37" s="893"/>
    </row>
    <row r="38" spans="3:43" x14ac:dyDescent="0.25">
      <c r="W38" s="893"/>
      <c r="X38" s="893"/>
      <c r="Y38" s="893"/>
      <c r="Z38" s="893"/>
      <c r="AA38" s="893"/>
      <c r="AB38" s="893"/>
      <c r="AC38" s="893"/>
      <c r="AD38" s="893"/>
      <c r="AE38" s="893"/>
      <c r="AF38" s="893"/>
      <c r="AG38" s="893"/>
      <c r="AH38" s="950"/>
      <c r="AI38" s="866" t="s">
        <v>512</v>
      </c>
      <c r="AJ38" s="860">
        <v>0</v>
      </c>
      <c r="AK38" s="893"/>
      <c r="AL38" s="893"/>
      <c r="AM38" s="893"/>
      <c r="AN38" s="893"/>
      <c r="AO38" s="893"/>
      <c r="AP38" s="893"/>
      <c r="AQ38" s="893"/>
    </row>
    <row r="39" spans="3:43" x14ac:dyDescent="0.25">
      <c r="W39" s="893"/>
      <c r="X39" s="893"/>
      <c r="Y39" s="893"/>
      <c r="Z39" s="893"/>
      <c r="AA39" s="893"/>
      <c r="AB39" s="893"/>
      <c r="AC39" s="893"/>
      <c r="AD39" s="893"/>
      <c r="AE39" s="893"/>
      <c r="AF39" s="893"/>
      <c r="AG39" s="893"/>
      <c r="AH39" s="950" t="s">
        <v>506</v>
      </c>
      <c r="AI39" s="866" t="s">
        <v>507</v>
      </c>
      <c r="AJ39" s="866">
        <v>0</v>
      </c>
      <c r="AK39" s="893"/>
      <c r="AL39" s="893"/>
      <c r="AM39" s="893"/>
      <c r="AN39" s="893"/>
      <c r="AO39" s="893"/>
      <c r="AP39" s="893"/>
      <c r="AQ39" s="893"/>
    </row>
    <row r="40" spans="3:43" x14ac:dyDescent="0.25">
      <c r="W40" s="893"/>
      <c r="X40" s="893"/>
      <c r="Y40" s="893"/>
      <c r="Z40" s="893"/>
      <c r="AA40" s="893"/>
      <c r="AB40" s="893"/>
      <c r="AC40" s="893"/>
      <c r="AD40" s="893"/>
      <c r="AE40" s="893"/>
      <c r="AF40" s="893"/>
      <c r="AG40" s="893"/>
      <c r="AH40" s="950"/>
      <c r="AI40" s="866" t="s">
        <v>275</v>
      </c>
      <c r="AJ40" s="866">
        <v>0</v>
      </c>
      <c r="AK40" s="893"/>
      <c r="AL40" s="893"/>
      <c r="AM40" s="893"/>
      <c r="AN40" s="893"/>
      <c r="AO40" s="893"/>
      <c r="AP40" s="893"/>
      <c r="AQ40" s="893"/>
    </row>
    <row r="41" spans="3:43" ht="15.75" x14ac:dyDescent="0.25">
      <c r="C41" s="953"/>
      <c r="D41" s="953"/>
      <c r="E41" s="861"/>
      <c r="W41" s="893"/>
      <c r="X41" s="893"/>
      <c r="Y41" s="893"/>
      <c r="Z41" s="893"/>
      <c r="AA41" s="893"/>
      <c r="AB41" s="893"/>
      <c r="AC41" s="893"/>
      <c r="AD41" s="893"/>
      <c r="AE41" s="893"/>
      <c r="AF41" s="893"/>
      <c r="AG41" s="893"/>
      <c r="AH41" s="950"/>
      <c r="AI41" s="866" t="s">
        <v>508</v>
      </c>
      <c r="AJ41" s="866">
        <v>0</v>
      </c>
      <c r="AK41" s="893"/>
      <c r="AL41" s="893"/>
      <c r="AM41" s="893"/>
      <c r="AN41" s="893"/>
      <c r="AO41" s="893"/>
      <c r="AP41" s="893"/>
      <c r="AQ41" s="893"/>
    </row>
    <row r="42" spans="3:43" ht="15.75" x14ac:dyDescent="0.25">
      <c r="C42" s="915"/>
      <c r="D42" s="915"/>
      <c r="E42" s="861"/>
      <c r="AH42" s="950"/>
      <c r="AI42" s="866" t="s">
        <v>509</v>
      </c>
      <c r="AJ42" s="866">
        <v>0</v>
      </c>
    </row>
    <row r="43" spans="3:43" ht="15.75" x14ac:dyDescent="0.25">
      <c r="C43" s="915"/>
      <c r="D43" s="915"/>
      <c r="E43" s="861"/>
      <c r="AH43" s="950"/>
      <c r="AI43" s="866" t="s">
        <v>510</v>
      </c>
      <c r="AJ43" s="860">
        <v>0</v>
      </c>
    </row>
    <row r="44" spans="3:43" ht="15.75" x14ac:dyDescent="0.25">
      <c r="C44" s="915"/>
      <c r="D44" s="915"/>
      <c r="E44" s="861"/>
      <c r="AH44" s="950"/>
      <c r="AI44" s="866" t="s">
        <v>511</v>
      </c>
      <c r="AJ44" s="860">
        <v>0</v>
      </c>
    </row>
    <row r="45" spans="3:43" ht="15.75" x14ac:dyDescent="0.25">
      <c r="C45" s="915"/>
      <c r="D45" s="915"/>
      <c r="E45" s="861"/>
      <c r="AH45" s="950"/>
      <c r="AI45" s="866" t="s">
        <v>512</v>
      </c>
      <c r="AJ45" s="860">
        <v>0</v>
      </c>
    </row>
    <row r="46" spans="3:43" ht="15.75" x14ac:dyDescent="0.25">
      <c r="C46" s="915"/>
      <c r="D46" s="915"/>
      <c r="E46" s="861"/>
    </row>
    <row r="47" spans="3:43" ht="15.75" x14ac:dyDescent="0.25">
      <c r="C47" s="915"/>
      <c r="D47" s="915"/>
      <c r="E47" s="861"/>
    </row>
    <row r="48" spans="3:43" ht="15.75" x14ac:dyDescent="0.25">
      <c r="C48" s="915"/>
      <c r="D48" s="915"/>
      <c r="E48" s="861"/>
    </row>
    <row r="49" spans="3:5" ht="15.75" x14ac:dyDescent="0.25">
      <c r="C49" s="915"/>
      <c r="D49" s="915"/>
      <c r="E49" s="861"/>
    </row>
    <row r="50" spans="3:5" ht="15.75" x14ac:dyDescent="0.25">
      <c r="C50" s="915"/>
      <c r="D50" s="915"/>
      <c r="E50" s="861"/>
    </row>
    <row r="51" spans="3:5" ht="15.75" x14ac:dyDescent="0.25">
      <c r="C51" s="915"/>
      <c r="D51" s="915"/>
      <c r="E51" s="861"/>
    </row>
    <row r="52" spans="3:5" ht="15.75" x14ac:dyDescent="0.25">
      <c r="C52" s="915"/>
      <c r="D52" s="915"/>
      <c r="E52" s="861"/>
    </row>
    <row r="53" spans="3:5" ht="15.75" x14ac:dyDescent="0.25">
      <c r="C53" s="915"/>
      <c r="D53" s="915"/>
      <c r="E53" s="861"/>
    </row>
    <row r="54" spans="3:5" ht="15.75" x14ac:dyDescent="0.25">
      <c r="C54" s="915"/>
      <c r="D54" s="915"/>
      <c r="E54" s="861"/>
    </row>
    <row r="55" spans="3:5" ht="15.75" x14ac:dyDescent="0.25">
      <c r="C55" s="915"/>
      <c r="D55" s="915"/>
      <c r="E55" s="861"/>
    </row>
    <row r="56" spans="3:5" ht="15.75" x14ac:dyDescent="0.25">
      <c r="C56" s="915"/>
      <c r="D56" s="915"/>
      <c r="E56" s="861"/>
    </row>
    <row r="57" spans="3:5" ht="15.75" x14ac:dyDescent="0.25">
      <c r="C57" s="915"/>
      <c r="D57" s="915"/>
      <c r="E57" s="861"/>
    </row>
    <row r="58" spans="3:5" ht="15.75" x14ac:dyDescent="0.25">
      <c r="C58" s="916"/>
      <c r="D58" s="916"/>
      <c r="E58" s="861"/>
    </row>
    <row r="59" spans="3:5" ht="15.75" x14ac:dyDescent="0.25">
      <c r="C59" s="915"/>
      <c r="D59" s="915"/>
      <c r="E59" s="861"/>
    </row>
    <row r="60" spans="3:5" ht="15.75" x14ac:dyDescent="0.25">
      <c r="C60" s="915"/>
      <c r="D60" s="915"/>
      <c r="E60" s="861"/>
    </row>
    <row r="61" spans="3:5" ht="15.75" x14ac:dyDescent="0.25">
      <c r="C61" s="915"/>
      <c r="D61" s="915"/>
      <c r="E61" s="861"/>
    </row>
    <row r="62" spans="3:5" ht="15.75" x14ac:dyDescent="0.25">
      <c r="C62" s="915"/>
      <c r="D62" s="915"/>
      <c r="E62" s="861"/>
    </row>
    <row r="63" spans="3:5" ht="15.75" x14ac:dyDescent="0.25">
      <c r="C63" s="915"/>
      <c r="D63" s="915"/>
      <c r="E63" s="861"/>
    </row>
    <row r="64" spans="3:5" ht="15.75" x14ac:dyDescent="0.25">
      <c r="C64" s="915"/>
      <c r="D64" s="915"/>
      <c r="E64" s="861"/>
    </row>
    <row r="65" spans="3:5" ht="15.75" x14ac:dyDescent="0.25">
      <c r="C65" s="915"/>
      <c r="D65" s="915"/>
      <c r="E65" s="861"/>
    </row>
    <row r="66" spans="3:5" ht="15.75" x14ac:dyDescent="0.25">
      <c r="C66" s="915"/>
      <c r="D66" s="915"/>
      <c r="E66" s="861"/>
    </row>
    <row r="67" spans="3:5" ht="15.75" x14ac:dyDescent="0.25">
      <c r="C67" s="915"/>
      <c r="D67" s="915"/>
      <c r="E67" s="861"/>
    </row>
    <row r="68" spans="3:5" ht="15.75" x14ac:dyDescent="0.25">
      <c r="C68" s="915"/>
      <c r="D68" s="915"/>
      <c r="E68" s="861"/>
    </row>
    <row r="69" spans="3:5" ht="15.75" x14ac:dyDescent="0.25">
      <c r="C69" s="915"/>
      <c r="D69" s="915"/>
      <c r="E69" s="861"/>
    </row>
    <row r="70" spans="3:5" ht="15.75" x14ac:dyDescent="0.25">
      <c r="C70" s="915"/>
      <c r="D70" s="915"/>
      <c r="E70" s="861"/>
    </row>
    <row r="71" spans="3:5" ht="15.75" x14ac:dyDescent="0.25">
      <c r="C71" s="916"/>
      <c r="D71" s="916"/>
      <c r="E71" s="861"/>
    </row>
  </sheetData>
  <sheetProtection algorithmName="SHA-512" hashValue="ILzdh/S+wrj/XuhjpSfRBDcV/IYjmyyqvnri+P/q9iyNZ+CPIlhMVbEJPNFaiBguw8nepmK9BFyU4VowmJpnew==" saltValue="JIkYLW+yiT64e5/8pciLAg==" spinCount="100000" sheet="1" objects="1" scenarios="1"/>
  <mergeCells count="22">
    <mergeCell ref="V27:Z27"/>
    <mergeCell ref="V28:Z28"/>
    <mergeCell ref="V29:Z29"/>
    <mergeCell ref="V30:Z30"/>
    <mergeCell ref="V22:Z22"/>
    <mergeCell ref="V23:Z23"/>
    <mergeCell ref="V24:Z24"/>
    <mergeCell ref="V25:Z25"/>
    <mergeCell ref="V26:Z26"/>
    <mergeCell ref="I22:J22"/>
    <mergeCell ref="L22:M22"/>
    <mergeCell ref="C41:D41"/>
    <mergeCell ref="C3:D4"/>
    <mergeCell ref="C5:D5"/>
    <mergeCell ref="C22:D22"/>
    <mergeCell ref="F22:G22"/>
    <mergeCell ref="AH39:AH45"/>
    <mergeCell ref="AH4:AH10"/>
    <mergeCell ref="AH11:AH17"/>
    <mergeCell ref="AH18:AH23"/>
    <mergeCell ref="AH24:AH31"/>
    <mergeCell ref="AH32:AH38"/>
  </mergeCells>
  <pageMargins left="0.23622047244094491" right="0.23622047244094491" top="0.74803149606299213" bottom="0.74803149606299213" header="0.31496062992125984" footer="0.31496062992125984"/>
  <pageSetup paperSize="9" scale="71" orientation="landscape" horizontalDpi="4294967293" r:id="rId1"/>
  <headerFooter>
    <oddHeader>&amp;C&amp;"-,Vet"&amp;16REFERENTIESCORES - LVS TOETSEN GROEP 6-7-8 + EINDTOETS GROEP 8</oddHeader>
  </headerFooter>
  <colBreaks count="2" manualBreakCount="2">
    <brk id="14" min="1" max="30" man="1"/>
    <brk id="20" min="1" max="30"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CD18-66FE-464E-A5A3-CF5B13BB95CB}">
  <dimension ref="A1:E202"/>
  <sheetViews>
    <sheetView zoomScaleNormal="100" workbookViewId="0">
      <selection activeCell="I14" sqref="I14"/>
    </sheetView>
  </sheetViews>
  <sheetFormatPr defaultColWidth="9.140625" defaultRowHeight="15" x14ac:dyDescent="0.25"/>
  <cols>
    <col min="1" max="1" width="13.42578125" style="731" bestFit="1" customWidth="1"/>
    <col min="2" max="2" width="18.5703125" style="732" bestFit="1" customWidth="1"/>
    <col min="3" max="3" width="8.42578125" style="732" bestFit="1" customWidth="1"/>
    <col min="4" max="1025" width="8.5703125" style="732" customWidth="1"/>
    <col min="1026" max="16384" width="9.140625" style="732"/>
  </cols>
  <sheetData>
    <row r="1" spans="1:5" x14ac:dyDescent="0.25">
      <c r="A1" s="731" t="s">
        <v>456</v>
      </c>
      <c r="B1" s="732" t="s">
        <v>457</v>
      </c>
      <c r="C1" s="732" t="s">
        <v>458</v>
      </c>
      <c r="E1" s="732" t="s">
        <v>459</v>
      </c>
    </row>
    <row r="2" spans="1:5" x14ac:dyDescent="0.25">
      <c r="A2" s="733">
        <v>20</v>
      </c>
      <c r="B2" s="734">
        <v>0.66800000000000004</v>
      </c>
      <c r="C2" s="734">
        <v>0.78</v>
      </c>
      <c r="E2" s="735">
        <v>0.99</v>
      </c>
    </row>
    <row r="3" spans="1:5" x14ac:dyDescent="0.25">
      <c r="A3" s="733">
        <f t="shared" ref="A3:A37" si="0">A2+0.1</f>
        <v>20.100000000000001</v>
      </c>
      <c r="B3" s="734">
        <v>0.66800000000000004</v>
      </c>
      <c r="C3" s="734">
        <v>0.78</v>
      </c>
      <c r="E3" s="735">
        <v>0.99</v>
      </c>
    </row>
    <row r="4" spans="1:5" x14ac:dyDescent="0.25">
      <c r="A4" s="733">
        <f t="shared" si="0"/>
        <v>20.200000000000003</v>
      </c>
      <c r="B4" s="734">
        <v>0.66800000000000004</v>
      </c>
      <c r="C4" s="734">
        <v>0.78</v>
      </c>
      <c r="E4" s="735">
        <v>0.99</v>
      </c>
    </row>
    <row r="5" spans="1:5" x14ac:dyDescent="0.25">
      <c r="A5" s="733">
        <f t="shared" si="0"/>
        <v>20.300000000000004</v>
      </c>
      <c r="B5" s="734">
        <v>0.66800000000000004</v>
      </c>
      <c r="C5" s="734">
        <v>0.78</v>
      </c>
      <c r="E5" s="735">
        <v>0.99</v>
      </c>
    </row>
    <row r="6" spans="1:5" x14ac:dyDescent="0.25">
      <c r="A6" s="733">
        <f t="shared" si="0"/>
        <v>20.400000000000006</v>
      </c>
      <c r="B6" s="734">
        <v>0.66800000000000004</v>
      </c>
      <c r="C6" s="734">
        <v>0.78</v>
      </c>
      <c r="E6" s="735">
        <v>0.99</v>
      </c>
    </row>
    <row r="7" spans="1:5" x14ac:dyDescent="0.25">
      <c r="A7" s="733">
        <f t="shared" si="0"/>
        <v>20.500000000000007</v>
      </c>
      <c r="B7" s="734">
        <v>0.66800000000000004</v>
      </c>
      <c r="C7" s="734">
        <v>0.78</v>
      </c>
      <c r="E7" s="735">
        <v>0.99</v>
      </c>
    </row>
    <row r="8" spans="1:5" x14ac:dyDescent="0.25">
      <c r="A8" s="733">
        <f t="shared" si="0"/>
        <v>20.600000000000009</v>
      </c>
      <c r="B8" s="734">
        <v>0.66800000000000004</v>
      </c>
      <c r="C8" s="734">
        <v>0.78</v>
      </c>
      <c r="E8" s="735">
        <v>0.99</v>
      </c>
    </row>
    <row r="9" spans="1:5" x14ac:dyDescent="0.25">
      <c r="A9" s="733">
        <f t="shared" si="0"/>
        <v>20.70000000000001</v>
      </c>
      <c r="B9" s="734">
        <v>0.66800000000000004</v>
      </c>
      <c r="C9" s="734">
        <v>0.78</v>
      </c>
      <c r="E9" s="735">
        <v>0.99</v>
      </c>
    </row>
    <row r="10" spans="1:5" x14ac:dyDescent="0.25">
      <c r="A10" s="733">
        <f t="shared" si="0"/>
        <v>20.800000000000011</v>
      </c>
      <c r="B10" s="734">
        <v>0.66800000000000004</v>
      </c>
      <c r="C10" s="734">
        <v>0.78</v>
      </c>
      <c r="E10" s="735">
        <v>0.99</v>
      </c>
    </row>
    <row r="11" spans="1:5" x14ac:dyDescent="0.25">
      <c r="A11" s="733">
        <f t="shared" si="0"/>
        <v>20.900000000000013</v>
      </c>
      <c r="B11" s="734">
        <v>0.66800000000000004</v>
      </c>
      <c r="C11" s="734">
        <v>0.78</v>
      </c>
      <c r="E11" s="735">
        <v>0.99</v>
      </c>
    </row>
    <row r="12" spans="1:5" x14ac:dyDescent="0.25">
      <c r="A12" s="733">
        <f t="shared" si="0"/>
        <v>21.000000000000014</v>
      </c>
      <c r="B12" s="734">
        <v>0.63900000000000001</v>
      </c>
      <c r="C12" s="734">
        <v>0.751</v>
      </c>
      <c r="E12" s="735">
        <v>0.98699999999999999</v>
      </c>
    </row>
    <row r="13" spans="1:5" x14ac:dyDescent="0.25">
      <c r="A13" s="733">
        <f t="shared" si="0"/>
        <v>21.100000000000016</v>
      </c>
      <c r="B13" s="734">
        <v>0.63900000000000001</v>
      </c>
      <c r="C13" s="734">
        <v>0.751</v>
      </c>
      <c r="E13" s="735">
        <v>0.98699999999999999</v>
      </c>
    </row>
    <row r="14" spans="1:5" x14ac:dyDescent="0.25">
      <c r="A14" s="733">
        <f t="shared" si="0"/>
        <v>21.200000000000017</v>
      </c>
      <c r="B14" s="734">
        <v>0.63900000000000001</v>
      </c>
      <c r="C14" s="734">
        <v>0.751</v>
      </c>
      <c r="E14" s="735">
        <v>0.98699999999999999</v>
      </c>
    </row>
    <row r="15" spans="1:5" x14ac:dyDescent="0.25">
      <c r="A15" s="733">
        <f t="shared" si="0"/>
        <v>21.300000000000018</v>
      </c>
      <c r="B15" s="734">
        <v>0.63900000000000001</v>
      </c>
      <c r="C15" s="734">
        <v>0.751</v>
      </c>
      <c r="E15" s="735">
        <v>0.98699999999999999</v>
      </c>
    </row>
    <row r="16" spans="1:5" x14ac:dyDescent="0.25">
      <c r="A16" s="733">
        <f t="shared" si="0"/>
        <v>21.40000000000002</v>
      </c>
      <c r="B16" s="734">
        <v>0.63900000000000001</v>
      </c>
      <c r="C16" s="734">
        <v>0.751</v>
      </c>
      <c r="E16" s="735">
        <v>0.98699999999999999</v>
      </c>
    </row>
    <row r="17" spans="1:5" x14ac:dyDescent="0.25">
      <c r="A17" s="733">
        <f t="shared" si="0"/>
        <v>21.500000000000021</v>
      </c>
      <c r="B17" s="734">
        <v>0.63900000000000001</v>
      </c>
      <c r="C17" s="734">
        <v>0.751</v>
      </c>
      <c r="E17" s="735">
        <v>0.98699999999999999</v>
      </c>
    </row>
    <row r="18" spans="1:5" x14ac:dyDescent="0.25">
      <c r="A18" s="733">
        <f t="shared" si="0"/>
        <v>21.600000000000023</v>
      </c>
      <c r="B18" s="734">
        <v>0.63900000000000001</v>
      </c>
      <c r="C18" s="734">
        <v>0.751</v>
      </c>
      <c r="E18" s="735">
        <v>0.98699999999999999</v>
      </c>
    </row>
    <row r="19" spans="1:5" x14ac:dyDescent="0.25">
      <c r="A19" s="733">
        <f t="shared" si="0"/>
        <v>21.700000000000024</v>
      </c>
      <c r="B19" s="734">
        <v>0.63900000000000001</v>
      </c>
      <c r="C19" s="734">
        <v>0.751</v>
      </c>
      <c r="E19" s="735">
        <v>0.98699999999999999</v>
      </c>
    </row>
    <row r="20" spans="1:5" x14ac:dyDescent="0.25">
      <c r="A20" s="733">
        <f t="shared" si="0"/>
        <v>21.800000000000026</v>
      </c>
      <c r="B20" s="734">
        <v>0.63900000000000001</v>
      </c>
      <c r="C20" s="734">
        <v>0.751</v>
      </c>
      <c r="E20" s="735">
        <v>0.98699999999999999</v>
      </c>
    </row>
    <row r="21" spans="1:5" x14ac:dyDescent="0.25">
      <c r="A21" s="733">
        <f t="shared" si="0"/>
        <v>21.900000000000027</v>
      </c>
      <c r="B21" s="734">
        <v>0.63900000000000001</v>
      </c>
      <c r="C21" s="734">
        <v>0.751</v>
      </c>
      <c r="E21" s="735">
        <v>0.98699999999999999</v>
      </c>
    </row>
    <row r="22" spans="1:5" x14ac:dyDescent="0.25">
      <c r="A22" s="733">
        <f t="shared" si="0"/>
        <v>22.000000000000028</v>
      </c>
      <c r="B22" s="734">
        <v>0.61099999999999999</v>
      </c>
      <c r="C22" s="734">
        <v>0.70699999999999996</v>
      </c>
      <c r="E22" s="735">
        <v>0.97599999999999998</v>
      </c>
    </row>
    <row r="23" spans="1:5" x14ac:dyDescent="0.25">
      <c r="A23" s="733">
        <f t="shared" si="0"/>
        <v>22.10000000000003</v>
      </c>
      <c r="B23" s="734">
        <v>0.61099999999999999</v>
      </c>
      <c r="C23" s="734">
        <v>0.70699999999999996</v>
      </c>
      <c r="E23" s="735">
        <v>0.97599999999999998</v>
      </c>
    </row>
    <row r="24" spans="1:5" x14ac:dyDescent="0.25">
      <c r="A24" s="733">
        <f t="shared" si="0"/>
        <v>22.200000000000031</v>
      </c>
      <c r="B24" s="734">
        <v>0.61099999999999999</v>
      </c>
      <c r="C24" s="734">
        <v>0.70699999999999996</v>
      </c>
      <c r="E24" s="735">
        <v>0.97599999999999998</v>
      </c>
    </row>
    <row r="25" spans="1:5" x14ac:dyDescent="0.25">
      <c r="A25" s="733">
        <f t="shared" si="0"/>
        <v>22.300000000000033</v>
      </c>
      <c r="B25" s="734">
        <v>0.61099999999999999</v>
      </c>
      <c r="C25" s="734">
        <v>0.70699999999999996</v>
      </c>
      <c r="E25" s="735">
        <v>0.97599999999999998</v>
      </c>
    </row>
    <row r="26" spans="1:5" x14ac:dyDescent="0.25">
      <c r="A26" s="733">
        <f t="shared" si="0"/>
        <v>22.400000000000034</v>
      </c>
      <c r="B26" s="734">
        <v>0.61099999999999999</v>
      </c>
      <c r="C26" s="734">
        <v>0.70699999999999996</v>
      </c>
      <c r="E26" s="735">
        <v>0.97599999999999998</v>
      </c>
    </row>
    <row r="27" spans="1:5" x14ac:dyDescent="0.25">
      <c r="A27" s="733">
        <f t="shared" si="0"/>
        <v>22.500000000000036</v>
      </c>
      <c r="B27" s="734">
        <v>0.61099999999999999</v>
      </c>
      <c r="C27" s="734">
        <v>0.70699999999999996</v>
      </c>
      <c r="E27" s="735">
        <v>0.97599999999999998</v>
      </c>
    </row>
    <row r="28" spans="1:5" x14ac:dyDescent="0.25">
      <c r="A28" s="733">
        <f t="shared" si="0"/>
        <v>22.600000000000037</v>
      </c>
      <c r="B28" s="734">
        <v>0.61099999999999999</v>
      </c>
      <c r="C28" s="734">
        <v>0.70699999999999996</v>
      </c>
      <c r="E28" s="735">
        <v>0.97599999999999998</v>
      </c>
    </row>
    <row r="29" spans="1:5" x14ac:dyDescent="0.25">
      <c r="A29" s="733">
        <f t="shared" si="0"/>
        <v>22.700000000000038</v>
      </c>
      <c r="B29" s="734">
        <v>0.61099999999999999</v>
      </c>
      <c r="C29" s="734">
        <v>0.70699999999999996</v>
      </c>
      <c r="E29" s="735">
        <v>0.97599999999999998</v>
      </c>
    </row>
    <row r="30" spans="1:5" x14ac:dyDescent="0.25">
      <c r="A30" s="733">
        <f t="shared" si="0"/>
        <v>22.80000000000004</v>
      </c>
      <c r="B30" s="734">
        <v>0.61099999999999999</v>
      </c>
      <c r="C30" s="734">
        <v>0.70699999999999996</v>
      </c>
      <c r="E30" s="735">
        <v>0.97599999999999998</v>
      </c>
    </row>
    <row r="31" spans="1:5" x14ac:dyDescent="0.25">
      <c r="A31" s="733">
        <f t="shared" si="0"/>
        <v>22.900000000000041</v>
      </c>
      <c r="B31" s="734">
        <v>0.61099999999999999</v>
      </c>
      <c r="C31" s="734">
        <v>0.70699999999999996</v>
      </c>
      <c r="E31" s="735">
        <v>0.97599999999999998</v>
      </c>
    </row>
    <row r="32" spans="1:5" x14ac:dyDescent="0.25">
      <c r="A32" s="733">
        <f t="shared" si="0"/>
        <v>23.000000000000043</v>
      </c>
      <c r="B32" s="734">
        <v>0.58599999999999997</v>
      </c>
      <c r="C32" s="734">
        <v>0.68400000000000005</v>
      </c>
      <c r="E32" s="735">
        <v>0.97399999999999998</v>
      </c>
    </row>
    <row r="33" spans="1:5" x14ac:dyDescent="0.25">
      <c r="A33" s="733">
        <f t="shared" si="0"/>
        <v>23.100000000000044</v>
      </c>
      <c r="B33" s="734">
        <v>0.58599999999999997</v>
      </c>
      <c r="C33" s="734">
        <v>0.68400000000000005</v>
      </c>
      <c r="E33" s="735">
        <v>0.97399999999999998</v>
      </c>
    </row>
    <row r="34" spans="1:5" x14ac:dyDescent="0.25">
      <c r="A34" s="733">
        <f t="shared" si="0"/>
        <v>23.200000000000045</v>
      </c>
      <c r="B34" s="734">
        <v>0.58599999999999997</v>
      </c>
      <c r="C34" s="734">
        <v>0.68400000000000005</v>
      </c>
      <c r="E34" s="735">
        <v>0.97399999999999998</v>
      </c>
    </row>
    <row r="35" spans="1:5" x14ac:dyDescent="0.25">
      <c r="A35" s="733">
        <f t="shared" si="0"/>
        <v>23.300000000000047</v>
      </c>
      <c r="B35" s="734">
        <v>0.58599999999999997</v>
      </c>
      <c r="C35" s="734">
        <v>0.68400000000000005</v>
      </c>
      <c r="E35" s="735">
        <v>0.97399999999999998</v>
      </c>
    </row>
    <row r="36" spans="1:5" x14ac:dyDescent="0.25">
      <c r="A36" s="733">
        <f t="shared" si="0"/>
        <v>23.400000000000048</v>
      </c>
      <c r="B36" s="734">
        <v>0.58599999999999997</v>
      </c>
      <c r="C36" s="734">
        <v>0.68400000000000005</v>
      </c>
      <c r="E36" s="735">
        <v>0.97399999999999998</v>
      </c>
    </row>
    <row r="37" spans="1:5" x14ac:dyDescent="0.25">
      <c r="A37" s="733">
        <f t="shared" si="0"/>
        <v>23.50000000000005</v>
      </c>
      <c r="B37" s="734">
        <v>0.58599999999999997</v>
      </c>
      <c r="C37" s="734">
        <v>0.68400000000000005</v>
      </c>
      <c r="E37" s="735">
        <v>0.97399999999999998</v>
      </c>
    </row>
    <row r="38" spans="1:5" x14ac:dyDescent="0.25">
      <c r="A38" s="733">
        <v>23.6</v>
      </c>
      <c r="B38" s="734">
        <v>0.58599999999999997</v>
      </c>
      <c r="C38" s="734">
        <v>0.68400000000000005</v>
      </c>
      <c r="E38" s="735">
        <v>0.97399999999999998</v>
      </c>
    </row>
    <row r="39" spans="1:5" x14ac:dyDescent="0.25">
      <c r="A39" s="733">
        <v>23.7</v>
      </c>
      <c r="B39" s="734">
        <v>0.58599999999999997</v>
      </c>
      <c r="C39" s="734">
        <v>0.68400000000000005</v>
      </c>
      <c r="E39" s="735">
        <v>0.97399999999999998</v>
      </c>
    </row>
    <row r="40" spans="1:5" x14ac:dyDescent="0.25">
      <c r="A40" s="733">
        <v>23.8</v>
      </c>
      <c r="B40" s="734">
        <v>0.58599999999999997</v>
      </c>
      <c r="C40" s="734">
        <v>0.68400000000000005</v>
      </c>
      <c r="E40" s="735">
        <v>0.97399999999999998</v>
      </c>
    </row>
    <row r="41" spans="1:5" x14ac:dyDescent="0.25">
      <c r="A41" s="733">
        <v>23.9</v>
      </c>
      <c r="B41" s="734">
        <v>0.58599999999999997</v>
      </c>
      <c r="C41" s="734">
        <v>0.68400000000000005</v>
      </c>
      <c r="E41" s="735">
        <v>0.97399999999999998</v>
      </c>
    </row>
    <row r="42" spans="1:5" x14ac:dyDescent="0.25">
      <c r="A42" s="733">
        <v>24</v>
      </c>
      <c r="B42" s="734">
        <v>0.56599999999999995</v>
      </c>
      <c r="C42" s="734">
        <v>0.66400000000000003</v>
      </c>
      <c r="E42" s="735">
        <v>0.97199999999999998</v>
      </c>
    </row>
    <row r="43" spans="1:5" x14ac:dyDescent="0.25">
      <c r="A43" s="733">
        <v>24.1</v>
      </c>
      <c r="B43" s="734">
        <v>0.56599999999999995</v>
      </c>
      <c r="C43" s="734">
        <v>0.66400000000000003</v>
      </c>
      <c r="E43" s="735">
        <v>0.97199999999999998</v>
      </c>
    </row>
    <row r="44" spans="1:5" x14ac:dyDescent="0.25">
      <c r="A44" s="733">
        <v>24.2</v>
      </c>
      <c r="B44" s="734">
        <v>0.56599999999999995</v>
      </c>
      <c r="C44" s="734">
        <v>0.66400000000000003</v>
      </c>
      <c r="E44" s="735">
        <v>0.97199999999999998</v>
      </c>
    </row>
    <row r="45" spans="1:5" x14ac:dyDescent="0.25">
      <c r="A45" s="733">
        <v>24.3</v>
      </c>
      <c r="B45" s="734">
        <v>0.56599999999999995</v>
      </c>
      <c r="C45" s="734">
        <v>0.66400000000000003</v>
      </c>
      <c r="E45" s="735">
        <v>0.97199999999999998</v>
      </c>
    </row>
    <row r="46" spans="1:5" x14ac:dyDescent="0.25">
      <c r="A46" s="733">
        <v>24.4</v>
      </c>
      <c r="B46" s="734">
        <v>0.56599999999999995</v>
      </c>
      <c r="C46" s="734">
        <v>0.66400000000000003</v>
      </c>
      <c r="E46" s="735">
        <v>0.97199999999999998</v>
      </c>
    </row>
    <row r="47" spans="1:5" x14ac:dyDescent="0.25">
      <c r="A47" s="733">
        <v>24.5</v>
      </c>
      <c r="B47" s="734">
        <v>0.56599999999999995</v>
      </c>
      <c r="C47" s="734">
        <v>0.66400000000000003</v>
      </c>
      <c r="E47" s="735">
        <v>0.97199999999999998</v>
      </c>
    </row>
    <row r="48" spans="1:5" x14ac:dyDescent="0.25">
      <c r="A48" s="733">
        <v>24.6</v>
      </c>
      <c r="B48" s="734">
        <v>0.56599999999999995</v>
      </c>
      <c r="C48" s="734">
        <v>0.66400000000000003</v>
      </c>
      <c r="E48" s="735">
        <v>0.97199999999999998</v>
      </c>
    </row>
    <row r="49" spans="1:5" x14ac:dyDescent="0.25">
      <c r="A49" s="733">
        <v>24.7</v>
      </c>
      <c r="B49" s="734">
        <v>0.56599999999999995</v>
      </c>
      <c r="C49" s="734">
        <v>0.66400000000000003</v>
      </c>
      <c r="E49" s="735">
        <v>0.97199999999999998</v>
      </c>
    </row>
    <row r="50" spans="1:5" x14ac:dyDescent="0.25">
      <c r="A50" s="733">
        <v>24.8</v>
      </c>
      <c r="B50" s="734">
        <v>0.56599999999999995</v>
      </c>
      <c r="C50" s="734">
        <v>0.66400000000000003</v>
      </c>
      <c r="E50" s="735">
        <v>0.97199999999999998</v>
      </c>
    </row>
    <row r="51" spans="1:5" x14ac:dyDescent="0.25">
      <c r="A51" s="733">
        <v>24.9</v>
      </c>
      <c r="B51" s="734">
        <v>0.56599999999999995</v>
      </c>
      <c r="C51" s="734">
        <v>0.66400000000000003</v>
      </c>
      <c r="E51" s="735">
        <v>0.97199999999999998</v>
      </c>
    </row>
    <row r="52" spans="1:5" x14ac:dyDescent="0.25">
      <c r="A52" s="733">
        <v>25</v>
      </c>
      <c r="B52" s="734">
        <v>0.55100000000000005</v>
      </c>
      <c r="C52" s="734">
        <v>0.64900000000000002</v>
      </c>
      <c r="E52" s="735">
        <v>0.96899999999999997</v>
      </c>
    </row>
    <row r="53" spans="1:5" x14ac:dyDescent="0.25">
      <c r="A53" s="733">
        <v>25.1</v>
      </c>
      <c r="B53" s="734">
        <v>0.55100000000000005</v>
      </c>
      <c r="C53" s="734">
        <v>0.64900000000000002</v>
      </c>
      <c r="E53" s="735">
        <v>0.96899999999999997</v>
      </c>
    </row>
    <row r="54" spans="1:5" x14ac:dyDescent="0.25">
      <c r="A54" s="733">
        <v>25.2</v>
      </c>
      <c r="B54" s="734">
        <v>0.55100000000000005</v>
      </c>
      <c r="C54" s="734">
        <v>0.64900000000000002</v>
      </c>
      <c r="E54" s="735">
        <v>0.96899999999999997</v>
      </c>
    </row>
    <row r="55" spans="1:5" x14ac:dyDescent="0.25">
      <c r="A55" s="733">
        <v>25.3</v>
      </c>
      <c r="B55" s="734">
        <v>0.55100000000000005</v>
      </c>
      <c r="C55" s="734">
        <v>0.64900000000000002</v>
      </c>
      <c r="E55" s="735">
        <v>0.96899999999999997</v>
      </c>
    </row>
    <row r="56" spans="1:5" x14ac:dyDescent="0.25">
      <c r="A56" s="733">
        <v>25.4</v>
      </c>
      <c r="B56" s="734">
        <v>0.55100000000000005</v>
      </c>
      <c r="C56" s="734">
        <v>0.64900000000000002</v>
      </c>
      <c r="E56" s="735">
        <v>0.96899999999999997</v>
      </c>
    </row>
    <row r="57" spans="1:5" x14ac:dyDescent="0.25">
      <c r="A57" s="733">
        <v>25.5</v>
      </c>
      <c r="B57" s="734">
        <v>0.55100000000000005</v>
      </c>
      <c r="C57" s="734">
        <v>0.64900000000000002</v>
      </c>
      <c r="E57" s="735">
        <v>0.96899999999999997</v>
      </c>
    </row>
    <row r="58" spans="1:5" x14ac:dyDescent="0.25">
      <c r="A58" s="733">
        <v>25.6</v>
      </c>
      <c r="B58" s="734">
        <v>0.55100000000000005</v>
      </c>
      <c r="C58" s="734">
        <v>0.64900000000000002</v>
      </c>
      <c r="E58" s="735">
        <v>0.96899999999999997</v>
      </c>
    </row>
    <row r="59" spans="1:5" x14ac:dyDescent="0.25">
      <c r="A59" s="733">
        <v>25.7</v>
      </c>
      <c r="B59" s="734">
        <v>0.55100000000000005</v>
      </c>
      <c r="C59" s="734">
        <v>0.64900000000000002</v>
      </c>
      <c r="E59" s="735">
        <v>0.96899999999999997</v>
      </c>
    </row>
    <row r="60" spans="1:5" x14ac:dyDescent="0.25">
      <c r="A60" s="733">
        <v>25.8</v>
      </c>
      <c r="B60" s="734">
        <v>0.55100000000000005</v>
      </c>
      <c r="C60" s="734">
        <v>0.64900000000000002</v>
      </c>
      <c r="E60" s="735">
        <v>0.96899999999999997</v>
      </c>
    </row>
    <row r="61" spans="1:5" x14ac:dyDescent="0.25">
      <c r="A61" s="733">
        <v>25.9</v>
      </c>
      <c r="B61" s="734">
        <v>0.55100000000000005</v>
      </c>
      <c r="C61" s="734">
        <v>0.64900000000000002</v>
      </c>
      <c r="E61" s="735">
        <v>0.96899999999999997</v>
      </c>
    </row>
    <row r="62" spans="1:5" x14ac:dyDescent="0.25">
      <c r="A62" s="733">
        <v>26</v>
      </c>
      <c r="B62" s="734">
        <v>0.53600000000000003</v>
      </c>
      <c r="C62" s="734">
        <v>0.64100000000000001</v>
      </c>
      <c r="E62" s="735">
        <v>0.96899999999999997</v>
      </c>
    </row>
    <row r="63" spans="1:5" x14ac:dyDescent="0.25">
      <c r="A63" s="733">
        <v>26.1</v>
      </c>
      <c r="B63" s="734">
        <v>0.53600000000000003</v>
      </c>
      <c r="C63" s="734">
        <v>0.64100000000000001</v>
      </c>
      <c r="E63" s="735">
        <v>0.96899999999999997</v>
      </c>
    </row>
    <row r="64" spans="1:5" x14ac:dyDescent="0.25">
      <c r="A64" s="733">
        <v>26.2</v>
      </c>
      <c r="B64" s="734">
        <v>0.53600000000000003</v>
      </c>
      <c r="C64" s="734">
        <v>0.64100000000000001</v>
      </c>
      <c r="E64" s="735">
        <v>0.96899999999999997</v>
      </c>
    </row>
    <row r="65" spans="1:5" x14ac:dyDescent="0.25">
      <c r="A65" s="733">
        <v>26.3</v>
      </c>
      <c r="B65" s="734">
        <v>0.53600000000000003</v>
      </c>
      <c r="C65" s="734">
        <v>0.64100000000000001</v>
      </c>
      <c r="E65" s="735">
        <v>0.96899999999999997</v>
      </c>
    </row>
    <row r="66" spans="1:5" x14ac:dyDescent="0.25">
      <c r="A66" s="733">
        <v>26.4</v>
      </c>
      <c r="B66" s="734">
        <v>0.53600000000000003</v>
      </c>
      <c r="C66" s="734">
        <v>0.64100000000000001</v>
      </c>
      <c r="E66" s="735">
        <v>0.96899999999999997</v>
      </c>
    </row>
    <row r="67" spans="1:5" x14ac:dyDescent="0.25">
      <c r="A67" s="733">
        <v>26.5</v>
      </c>
      <c r="B67" s="734">
        <v>0.53600000000000003</v>
      </c>
      <c r="C67" s="734">
        <v>0.64100000000000001</v>
      </c>
      <c r="E67" s="735">
        <v>0.96899999999999997</v>
      </c>
    </row>
    <row r="68" spans="1:5" x14ac:dyDescent="0.25">
      <c r="A68" s="733">
        <v>26.6</v>
      </c>
      <c r="B68" s="734">
        <v>0.53600000000000003</v>
      </c>
      <c r="C68" s="734">
        <v>0.64100000000000001</v>
      </c>
      <c r="E68" s="735">
        <v>0.96899999999999997</v>
      </c>
    </row>
    <row r="69" spans="1:5" x14ac:dyDescent="0.25">
      <c r="A69" s="733">
        <v>26.7</v>
      </c>
      <c r="B69" s="734">
        <v>0.53600000000000003</v>
      </c>
      <c r="C69" s="734">
        <v>0.64100000000000001</v>
      </c>
      <c r="E69" s="735">
        <v>0.96899999999999997</v>
      </c>
    </row>
    <row r="70" spans="1:5" x14ac:dyDescent="0.25">
      <c r="A70" s="733">
        <v>26.8</v>
      </c>
      <c r="B70" s="734">
        <v>0.53600000000000003</v>
      </c>
      <c r="C70" s="734">
        <v>0.64100000000000001</v>
      </c>
      <c r="E70" s="735">
        <v>0.96899999999999997</v>
      </c>
    </row>
    <row r="71" spans="1:5" x14ac:dyDescent="0.25">
      <c r="A71" s="733">
        <v>26.9</v>
      </c>
      <c r="B71" s="734">
        <v>0.53600000000000003</v>
      </c>
      <c r="C71" s="734">
        <v>0.64100000000000001</v>
      </c>
      <c r="E71" s="735">
        <v>0.96899999999999997</v>
      </c>
    </row>
    <row r="72" spans="1:5" x14ac:dyDescent="0.25">
      <c r="A72" s="733">
        <v>27</v>
      </c>
      <c r="B72" s="734">
        <v>0.52100000000000002</v>
      </c>
      <c r="C72" s="734">
        <v>0.628</v>
      </c>
      <c r="E72" s="735">
        <v>0.96699999999999997</v>
      </c>
    </row>
    <row r="73" spans="1:5" x14ac:dyDescent="0.25">
      <c r="A73" s="733">
        <v>27.1</v>
      </c>
      <c r="B73" s="734">
        <v>0.52100000000000002</v>
      </c>
      <c r="C73" s="734">
        <v>0.628</v>
      </c>
      <c r="E73" s="735">
        <v>0.96699999999999997</v>
      </c>
    </row>
    <row r="74" spans="1:5" x14ac:dyDescent="0.25">
      <c r="A74" s="733">
        <v>27.2</v>
      </c>
      <c r="B74" s="734">
        <v>0.52100000000000002</v>
      </c>
      <c r="C74" s="734">
        <v>0.628</v>
      </c>
      <c r="E74" s="735">
        <v>0.96699999999999997</v>
      </c>
    </row>
    <row r="75" spans="1:5" x14ac:dyDescent="0.25">
      <c r="A75" s="733">
        <v>27.3</v>
      </c>
      <c r="B75" s="734">
        <v>0.52100000000000002</v>
      </c>
      <c r="C75" s="734">
        <v>0.628</v>
      </c>
      <c r="E75" s="735">
        <v>0.96699999999999997</v>
      </c>
    </row>
    <row r="76" spans="1:5" x14ac:dyDescent="0.25">
      <c r="A76" s="733">
        <v>27.4</v>
      </c>
      <c r="B76" s="734">
        <v>0.52100000000000002</v>
      </c>
      <c r="C76" s="734">
        <v>0.628</v>
      </c>
      <c r="E76" s="735">
        <v>0.96699999999999997</v>
      </c>
    </row>
    <row r="77" spans="1:5" x14ac:dyDescent="0.25">
      <c r="A77" s="733">
        <v>27.5</v>
      </c>
      <c r="B77" s="734">
        <v>0.52100000000000002</v>
      </c>
      <c r="C77" s="734">
        <v>0.628</v>
      </c>
      <c r="E77" s="735">
        <v>0.96699999999999997</v>
      </c>
    </row>
    <row r="78" spans="1:5" x14ac:dyDescent="0.25">
      <c r="A78" s="733">
        <v>27.6</v>
      </c>
      <c r="B78" s="734">
        <v>0.52100000000000002</v>
      </c>
      <c r="C78" s="734">
        <v>0.628</v>
      </c>
      <c r="E78" s="735">
        <v>0.96699999999999997</v>
      </c>
    </row>
    <row r="79" spans="1:5" x14ac:dyDescent="0.25">
      <c r="A79" s="733">
        <v>27.7</v>
      </c>
      <c r="B79" s="734">
        <v>0.52100000000000002</v>
      </c>
      <c r="C79" s="734">
        <v>0.628</v>
      </c>
      <c r="E79" s="735">
        <v>0.96699999999999997</v>
      </c>
    </row>
    <row r="80" spans="1:5" x14ac:dyDescent="0.25">
      <c r="A80" s="733">
        <v>27.8</v>
      </c>
      <c r="B80" s="734">
        <v>0.52100000000000002</v>
      </c>
      <c r="C80" s="734">
        <v>0.628</v>
      </c>
      <c r="E80" s="735">
        <v>0.96699999999999997</v>
      </c>
    </row>
    <row r="81" spans="1:5" x14ac:dyDescent="0.25">
      <c r="A81" s="733">
        <v>27.9</v>
      </c>
      <c r="B81" s="734">
        <v>0.52100000000000002</v>
      </c>
      <c r="C81" s="734">
        <v>0.628</v>
      </c>
      <c r="E81" s="735">
        <v>0.96699999999999997</v>
      </c>
    </row>
    <row r="82" spans="1:5" x14ac:dyDescent="0.25">
      <c r="A82" s="733">
        <v>28</v>
      </c>
      <c r="B82" s="734">
        <v>0.50600000000000001</v>
      </c>
      <c r="C82" s="734">
        <v>0.62</v>
      </c>
      <c r="E82" s="735">
        <v>0.96499999999999997</v>
      </c>
    </row>
    <row r="83" spans="1:5" x14ac:dyDescent="0.25">
      <c r="A83" s="733">
        <v>28.1</v>
      </c>
      <c r="B83" s="734">
        <v>0.50600000000000001</v>
      </c>
      <c r="C83" s="734">
        <v>0.62</v>
      </c>
      <c r="E83" s="735">
        <v>0.96499999999999997</v>
      </c>
    </row>
    <row r="84" spans="1:5" x14ac:dyDescent="0.25">
      <c r="A84" s="733">
        <v>28.2</v>
      </c>
      <c r="B84" s="734">
        <v>0.50600000000000001</v>
      </c>
      <c r="C84" s="734">
        <v>0.62</v>
      </c>
      <c r="E84" s="735">
        <v>0.96499999999999997</v>
      </c>
    </row>
    <row r="85" spans="1:5" x14ac:dyDescent="0.25">
      <c r="A85" s="733">
        <v>28.3</v>
      </c>
      <c r="B85" s="734">
        <v>0.50600000000000001</v>
      </c>
      <c r="C85" s="734">
        <v>0.62</v>
      </c>
      <c r="E85" s="735">
        <v>0.96499999999999997</v>
      </c>
    </row>
    <row r="86" spans="1:5" x14ac:dyDescent="0.25">
      <c r="A86" s="733">
        <v>28.4</v>
      </c>
      <c r="B86" s="734">
        <v>0.50600000000000001</v>
      </c>
      <c r="C86" s="734">
        <v>0.62</v>
      </c>
      <c r="E86" s="735">
        <v>0.96499999999999997</v>
      </c>
    </row>
    <row r="87" spans="1:5" x14ac:dyDescent="0.25">
      <c r="A87" s="733">
        <v>28.5</v>
      </c>
      <c r="B87" s="734">
        <v>0.50600000000000001</v>
      </c>
      <c r="C87" s="734">
        <v>0.62</v>
      </c>
      <c r="E87" s="735">
        <v>0.96499999999999997</v>
      </c>
    </row>
    <row r="88" spans="1:5" x14ac:dyDescent="0.25">
      <c r="A88" s="733">
        <v>28.6</v>
      </c>
      <c r="B88" s="734">
        <v>0.50600000000000001</v>
      </c>
      <c r="C88" s="734">
        <v>0.62</v>
      </c>
      <c r="E88" s="735">
        <v>0.96499999999999997</v>
      </c>
    </row>
    <row r="89" spans="1:5" x14ac:dyDescent="0.25">
      <c r="A89" s="733">
        <v>28.7</v>
      </c>
      <c r="B89" s="734">
        <v>0.50600000000000001</v>
      </c>
      <c r="C89" s="734">
        <v>0.62</v>
      </c>
      <c r="E89" s="735">
        <v>0.96499999999999997</v>
      </c>
    </row>
    <row r="90" spans="1:5" x14ac:dyDescent="0.25">
      <c r="A90" s="733">
        <v>28.8</v>
      </c>
      <c r="B90" s="734">
        <v>0.50600000000000001</v>
      </c>
      <c r="C90" s="734">
        <v>0.62</v>
      </c>
      <c r="E90" s="735">
        <v>0.96499999999999997</v>
      </c>
    </row>
    <row r="91" spans="1:5" x14ac:dyDescent="0.25">
      <c r="A91" s="733">
        <v>28.9</v>
      </c>
      <c r="B91" s="734">
        <v>0.50600000000000001</v>
      </c>
      <c r="C91" s="734">
        <v>0.62</v>
      </c>
      <c r="E91" s="735">
        <v>0.96499999999999997</v>
      </c>
    </row>
    <row r="92" spans="1:5" x14ac:dyDescent="0.25">
      <c r="A92" s="733">
        <v>29</v>
      </c>
      <c r="B92" s="734">
        <v>0.49</v>
      </c>
      <c r="C92" s="734">
        <v>0.60299999999999998</v>
      </c>
      <c r="E92" s="735">
        <v>0.96099999999999997</v>
      </c>
    </row>
    <row r="93" spans="1:5" x14ac:dyDescent="0.25">
      <c r="A93" s="733">
        <v>29.1</v>
      </c>
      <c r="B93" s="734">
        <v>0.49</v>
      </c>
      <c r="C93" s="734">
        <v>0.60299999999999998</v>
      </c>
      <c r="E93" s="735">
        <v>0.96099999999999997</v>
      </c>
    </row>
    <row r="94" spans="1:5" x14ac:dyDescent="0.25">
      <c r="A94" s="733">
        <v>29.2</v>
      </c>
      <c r="B94" s="734">
        <v>0.49</v>
      </c>
      <c r="C94" s="734">
        <v>0.60299999999999998</v>
      </c>
      <c r="E94" s="735">
        <v>0.96099999999999997</v>
      </c>
    </row>
    <row r="95" spans="1:5" x14ac:dyDescent="0.25">
      <c r="A95" s="733">
        <v>29.3</v>
      </c>
      <c r="B95" s="734">
        <v>0.49</v>
      </c>
      <c r="C95" s="734">
        <v>0.60299999999999998</v>
      </c>
      <c r="E95" s="735">
        <v>0.96099999999999997</v>
      </c>
    </row>
    <row r="96" spans="1:5" x14ac:dyDescent="0.25">
      <c r="A96" s="733">
        <v>29.4</v>
      </c>
      <c r="B96" s="734">
        <v>0.49</v>
      </c>
      <c r="C96" s="734">
        <v>0.60299999999999998</v>
      </c>
      <c r="E96" s="735">
        <v>0.96099999999999997</v>
      </c>
    </row>
    <row r="97" spans="1:5" x14ac:dyDescent="0.25">
      <c r="A97" s="733">
        <v>29.5</v>
      </c>
      <c r="B97" s="734">
        <v>0.49</v>
      </c>
      <c r="C97" s="734">
        <v>0.60299999999999998</v>
      </c>
      <c r="E97" s="735">
        <v>0.96099999999999997</v>
      </c>
    </row>
    <row r="98" spans="1:5" x14ac:dyDescent="0.25">
      <c r="A98" s="733">
        <v>29.6</v>
      </c>
      <c r="B98" s="734">
        <v>0.49</v>
      </c>
      <c r="C98" s="734">
        <v>0.60299999999999998</v>
      </c>
      <c r="E98" s="735">
        <v>0.96099999999999997</v>
      </c>
    </row>
    <row r="99" spans="1:5" x14ac:dyDescent="0.25">
      <c r="A99" s="733">
        <v>29.7</v>
      </c>
      <c r="B99" s="734">
        <v>0.49</v>
      </c>
      <c r="C99" s="734">
        <v>0.60299999999999998</v>
      </c>
      <c r="E99" s="735">
        <v>0.96099999999999997</v>
      </c>
    </row>
    <row r="100" spans="1:5" x14ac:dyDescent="0.25">
      <c r="A100" s="733">
        <v>29.8</v>
      </c>
      <c r="B100" s="734">
        <v>0.49</v>
      </c>
      <c r="C100" s="734">
        <v>0.60299999999999998</v>
      </c>
      <c r="E100" s="735">
        <v>0.96099999999999997</v>
      </c>
    </row>
    <row r="101" spans="1:5" x14ac:dyDescent="0.25">
      <c r="A101" s="733">
        <v>29.9</v>
      </c>
      <c r="B101" s="734">
        <v>0.49</v>
      </c>
      <c r="C101" s="734">
        <v>0.60299999999999998</v>
      </c>
      <c r="E101" s="735">
        <v>0.96099999999999997</v>
      </c>
    </row>
    <row r="102" spans="1:5" x14ac:dyDescent="0.25">
      <c r="A102" s="733">
        <v>30</v>
      </c>
      <c r="B102" s="734">
        <v>0.47299999999999998</v>
      </c>
      <c r="C102" s="734">
        <v>0.59199999999999997</v>
      </c>
      <c r="E102" s="735">
        <v>0.96</v>
      </c>
    </row>
    <row r="103" spans="1:5" x14ac:dyDescent="0.25">
      <c r="A103" s="733">
        <v>30.1</v>
      </c>
      <c r="B103" s="734">
        <v>0.47299999999999998</v>
      </c>
      <c r="C103" s="734">
        <v>0.59199999999999997</v>
      </c>
      <c r="E103" s="735">
        <v>0.96</v>
      </c>
    </row>
    <row r="104" spans="1:5" x14ac:dyDescent="0.25">
      <c r="A104" s="733">
        <v>30.2</v>
      </c>
      <c r="B104" s="734">
        <v>0.47299999999999998</v>
      </c>
      <c r="C104" s="734">
        <v>0.59199999999999997</v>
      </c>
      <c r="E104" s="735">
        <v>0.96</v>
      </c>
    </row>
    <row r="105" spans="1:5" x14ac:dyDescent="0.25">
      <c r="A105" s="733">
        <v>30.3</v>
      </c>
      <c r="B105" s="734">
        <v>0.47299999999999998</v>
      </c>
      <c r="C105" s="734">
        <v>0.59199999999999997</v>
      </c>
      <c r="E105" s="735">
        <v>0.96</v>
      </c>
    </row>
    <row r="106" spans="1:5" x14ac:dyDescent="0.25">
      <c r="A106" s="733">
        <v>30.4</v>
      </c>
      <c r="B106" s="734">
        <v>0.47299999999999998</v>
      </c>
      <c r="C106" s="734">
        <v>0.59199999999999997</v>
      </c>
      <c r="E106" s="735">
        <v>0.96</v>
      </c>
    </row>
    <row r="107" spans="1:5" x14ac:dyDescent="0.25">
      <c r="A107" s="733">
        <v>30.5</v>
      </c>
      <c r="B107" s="734">
        <v>0.47299999999999998</v>
      </c>
      <c r="C107" s="734">
        <v>0.59199999999999997</v>
      </c>
      <c r="E107" s="735">
        <v>0.96</v>
      </c>
    </row>
    <row r="108" spans="1:5" x14ac:dyDescent="0.25">
      <c r="A108" s="733">
        <v>30.6</v>
      </c>
      <c r="B108" s="734">
        <v>0.47299999999999998</v>
      </c>
      <c r="C108" s="734">
        <v>0.59199999999999997</v>
      </c>
      <c r="E108" s="735">
        <v>0.96</v>
      </c>
    </row>
    <row r="109" spans="1:5" x14ac:dyDescent="0.25">
      <c r="A109" s="733">
        <v>30.7</v>
      </c>
      <c r="B109" s="734">
        <v>0.47299999999999998</v>
      </c>
      <c r="C109" s="734">
        <v>0.59199999999999997</v>
      </c>
      <c r="E109" s="735">
        <v>0.96</v>
      </c>
    </row>
    <row r="110" spans="1:5" x14ac:dyDescent="0.25">
      <c r="A110" s="733">
        <v>30.8</v>
      </c>
      <c r="B110" s="734">
        <v>0.47299999999999998</v>
      </c>
      <c r="C110" s="734">
        <v>0.59199999999999997</v>
      </c>
      <c r="E110" s="735">
        <v>0.96</v>
      </c>
    </row>
    <row r="111" spans="1:5" x14ac:dyDescent="0.25">
      <c r="A111" s="733">
        <v>30.9</v>
      </c>
      <c r="B111" s="734">
        <v>0.47299999999999998</v>
      </c>
      <c r="C111" s="734">
        <v>0.59199999999999997</v>
      </c>
      <c r="E111" s="735">
        <v>0.96</v>
      </c>
    </row>
    <row r="112" spans="1:5" x14ac:dyDescent="0.25">
      <c r="A112" s="733">
        <v>31</v>
      </c>
      <c r="B112" s="734">
        <v>0.45500000000000002</v>
      </c>
      <c r="C112" s="734">
        <v>0.57099999999999995</v>
      </c>
      <c r="E112" s="735">
        <v>0.95199999999999996</v>
      </c>
    </row>
    <row r="113" spans="1:5" x14ac:dyDescent="0.25">
      <c r="A113" s="733">
        <v>31.1</v>
      </c>
      <c r="B113" s="734">
        <v>0.45500000000000002</v>
      </c>
      <c r="C113" s="734">
        <v>0.57099999999999995</v>
      </c>
      <c r="E113" s="735">
        <v>0.95199999999999996</v>
      </c>
    </row>
    <row r="114" spans="1:5" x14ac:dyDescent="0.25">
      <c r="A114" s="733">
        <v>31.2</v>
      </c>
      <c r="B114" s="734">
        <v>0.45500000000000002</v>
      </c>
      <c r="C114" s="734">
        <v>0.57099999999999995</v>
      </c>
      <c r="E114" s="735">
        <v>0.95199999999999996</v>
      </c>
    </row>
    <row r="115" spans="1:5" x14ac:dyDescent="0.25">
      <c r="A115" s="733">
        <v>31.3</v>
      </c>
      <c r="B115" s="734">
        <v>0.45500000000000002</v>
      </c>
      <c r="C115" s="734">
        <v>0.57099999999999995</v>
      </c>
      <c r="E115" s="735">
        <v>0.95199999999999996</v>
      </c>
    </row>
    <row r="116" spans="1:5" x14ac:dyDescent="0.25">
      <c r="A116" s="733">
        <v>31.4</v>
      </c>
      <c r="B116" s="734">
        <v>0.45500000000000002</v>
      </c>
      <c r="C116" s="734">
        <v>0.57099999999999995</v>
      </c>
      <c r="E116" s="735">
        <v>0.95199999999999996</v>
      </c>
    </row>
    <row r="117" spans="1:5" x14ac:dyDescent="0.25">
      <c r="A117" s="733">
        <v>31.5</v>
      </c>
      <c r="B117" s="734">
        <v>0.45500000000000002</v>
      </c>
      <c r="C117" s="734">
        <v>0.57099999999999995</v>
      </c>
      <c r="E117" s="735">
        <v>0.95199999999999996</v>
      </c>
    </row>
    <row r="118" spans="1:5" x14ac:dyDescent="0.25">
      <c r="A118" s="733">
        <v>31.6</v>
      </c>
      <c r="B118" s="734">
        <v>0.45500000000000002</v>
      </c>
      <c r="C118" s="734">
        <v>0.57099999999999995</v>
      </c>
      <c r="E118" s="735">
        <v>0.95199999999999996</v>
      </c>
    </row>
    <row r="119" spans="1:5" x14ac:dyDescent="0.25">
      <c r="A119" s="733">
        <v>31.7</v>
      </c>
      <c r="B119" s="734">
        <v>0.45500000000000002</v>
      </c>
      <c r="C119" s="734">
        <v>0.57099999999999995</v>
      </c>
      <c r="E119" s="735">
        <v>0.95199999999999996</v>
      </c>
    </row>
    <row r="120" spans="1:5" x14ac:dyDescent="0.25">
      <c r="A120" s="733">
        <v>31.8</v>
      </c>
      <c r="B120" s="734">
        <v>0.45500000000000002</v>
      </c>
      <c r="C120" s="734">
        <v>0.57099999999999995</v>
      </c>
      <c r="E120" s="735">
        <v>0.95199999999999996</v>
      </c>
    </row>
    <row r="121" spans="1:5" x14ac:dyDescent="0.25">
      <c r="A121" s="733">
        <v>31.9</v>
      </c>
      <c r="B121" s="734">
        <v>0.45500000000000002</v>
      </c>
      <c r="C121" s="734">
        <v>0.57099999999999995</v>
      </c>
      <c r="E121" s="735">
        <v>0.95199999999999996</v>
      </c>
    </row>
    <row r="122" spans="1:5" x14ac:dyDescent="0.25">
      <c r="A122" s="733">
        <v>32</v>
      </c>
      <c r="B122" s="734">
        <v>0.435</v>
      </c>
      <c r="C122" s="734">
        <v>0.55500000000000005</v>
      </c>
      <c r="E122" s="735">
        <v>0.95099999999999996</v>
      </c>
    </row>
    <row r="123" spans="1:5" x14ac:dyDescent="0.25">
      <c r="A123" s="733">
        <v>32.1</v>
      </c>
      <c r="B123" s="734">
        <v>0.435</v>
      </c>
      <c r="C123" s="734">
        <v>0.55500000000000005</v>
      </c>
      <c r="E123" s="735">
        <v>0.95099999999999996</v>
      </c>
    </row>
    <row r="124" spans="1:5" x14ac:dyDescent="0.25">
      <c r="A124" s="733">
        <v>32.200000000000003</v>
      </c>
      <c r="B124" s="734">
        <v>0.435</v>
      </c>
      <c r="C124" s="734">
        <v>0.55500000000000005</v>
      </c>
      <c r="E124" s="735">
        <v>0.95099999999999996</v>
      </c>
    </row>
    <row r="125" spans="1:5" x14ac:dyDescent="0.25">
      <c r="A125" s="733">
        <v>32.299999999999997</v>
      </c>
      <c r="B125" s="734">
        <v>0.435</v>
      </c>
      <c r="C125" s="734">
        <v>0.55500000000000005</v>
      </c>
      <c r="E125" s="735">
        <v>0.95099999999999996</v>
      </c>
    </row>
    <row r="126" spans="1:5" x14ac:dyDescent="0.25">
      <c r="A126" s="733">
        <v>32.4</v>
      </c>
      <c r="B126" s="734">
        <v>0.435</v>
      </c>
      <c r="C126" s="734">
        <v>0.55500000000000005</v>
      </c>
      <c r="E126" s="735">
        <v>0.95099999999999996</v>
      </c>
    </row>
    <row r="127" spans="1:5" x14ac:dyDescent="0.25">
      <c r="A127" s="733">
        <v>32.5</v>
      </c>
      <c r="B127" s="734">
        <v>0.435</v>
      </c>
      <c r="C127" s="734">
        <v>0.55500000000000005</v>
      </c>
      <c r="E127" s="735">
        <v>0.95099999999999996</v>
      </c>
    </row>
    <row r="128" spans="1:5" x14ac:dyDescent="0.25">
      <c r="A128" s="733">
        <v>32.6</v>
      </c>
      <c r="B128" s="734">
        <v>0.435</v>
      </c>
      <c r="C128" s="734">
        <v>0.55500000000000005</v>
      </c>
      <c r="E128" s="735">
        <v>0.95099999999999996</v>
      </c>
    </row>
    <row r="129" spans="1:5" x14ac:dyDescent="0.25">
      <c r="A129" s="733">
        <v>32.700000000000003</v>
      </c>
      <c r="B129" s="734">
        <v>0.435</v>
      </c>
      <c r="C129" s="734">
        <v>0.55500000000000005</v>
      </c>
      <c r="E129" s="735">
        <v>0.95099999999999996</v>
      </c>
    </row>
    <row r="130" spans="1:5" x14ac:dyDescent="0.25">
      <c r="A130" s="733">
        <v>32.799999999999997</v>
      </c>
      <c r="B130" s="734">
        <v>0.435</v>
      </c>
      <c r="C130" s="734">
        <v>0.55500000000000005</v>
      </c>
      <c r="E130" s="735">
        <v>0.95099999999999996</v>
      </c>
    </row>
    <row r="131" spans="1:5" x14ac:dyDescent="0.25">
      <c r="A131" s="733">
        <v>32.9</v>
      </c>
      <c r="B131" s="734">
        <v>0.435</v>
      </c>
      <c r="C131" s="734">
        <v>0.55500000000000005</v>
      </c>
      <c r="E131" s="735">
        <v>0.95099999999999996</v>
      </c>
    </row>
    <row r="132" spans="1:5" x14ac:dyDescent="0.25">
      <c r="A132" s="733">
        <v>33</v>
      </c>
      <c r="B132" s="734">
        <v>0.41499999999999998</v>
      </c>
      <c r="C132" s="734">
        <v>0.53700000000000003</v>
      </c>
      <c r="E132" s="735">
        <v>0.94599999999999995</v>
      </c>
    </row>
    <row r="133" spans="1:5" x14ac:dyDescent="0.25">
      <c r="A133" s="733">
        <v>33.1</v>
      </c>
      <c r="B133" s="734">
        <v>0.41499999999999998</v>
      </c>
      <c r="C133" s="734">
        <v>0.53700000000000003</v>
      </c>
      <c r="E133" s="735">
        <v>0.94599999999999995</v>
      </c>
    </row>
    <row r="134" spans="1:5" x14ac:dyDescent="0.25">
      <c r="A134" s="733">
        <v>33.200000000000003</v>
      </c>
      <c r="B134" s="734">
        <v>0.41499999999999998</v>
      </c>
      <c r="C134" s="734">
        <v>0.53700000000000003</v>
      </c>
      <c r="E134" s="735">
        <v>0.94599999999999995</v>
      </c>
    </row>
    <row r="135" spans="1:5" x14ac:dyDescent="0.25">
      <c r="A135" s="733">
        <v>33.299999999999997</v>
      </c>
      <c r="B135" s="734">
        <v>0.41499999999999998</v>
      </c>
      <c r="C135" s="734">
        <v>0.53700000000000003</v>
      </c>
      <c r="E135" s="735">
        <v>0.94599999999999995</v>
      </c>
    </row>
    <row r="136" spans="1:5" x14ac:dyDescent="0.25">
      <c r="A136" s="733">
        <v>33.4</v>
      </c>
      <c r="B136" s="734">
        <v>0.41499999999999998</v>
      </c>
      <c r="C136" s="734">
        <v>0.53700000000000003</v>
      </c>
      <c r="E136" s="735">
        <v>0.94599999999999995</v>
      </c>
    </row>
    <row r="137" spans="1:5" x14ac:dyDescent="0.25">
      <c r="A137" s="733">
        <v>33.5</v>
      </c>
      <c r="B137" s="734">
        <v>0.41499999999999998</v>
      </c>
      <c r="C137" s="734">
        <v>0.53700000000000003</v>
      </c>
      <c r="E137" s="735">
        <v>0.94599999999999995</v>
      </c>
    </row>
    <row r="138" spans="1:5" x14ac:dyDescent="0.25">
      <c r="A138" s="733">
        <v>33.6</v>
      </c>
      <c r="B138" s="734">
        <v>0.41499999999999998</v>
      </c>
      <c r="C138" s="734">
        <v>0.53700000000000003</v>
      </c>
      <c r="E138" s="735">
        <v>0.94599999999999995</v>
      </c>
    </row>
    <row r="139" spans="1:5" x14ac:dyDescent="0.25">
      <c r="A139" s="733">
        <v>33.700000000000003</v>
      </c>
      <c r="B139" s="734">
        <v>0.41499999999999998</v>
      </c>
      <c r="C139" s="734">
        <v>0.53700000000000003</v>
      </c>
      <c r="E139" s="735">
        <v>0.94599999999999995</v>
      </c>
    </row>
    <row r="140" spans="1:5" x14ac:dyDescent="0.25">
      <c r="A140" s="733">
        <v>33.799999999999997</v>
      </c>
      <c r="B140" s="734">
        <v>0.41499999999999998</v>
      </c>
      <c r="C140" s="734">
        <v>0.53700000000000003</v>
      </c>
      <c r="E140" s="735">
        <v>0.94599999999999995</v>
      </c>
    </row>
    <row r="141" spans="1:5" x14ac:dyDescent="0.25">
      <c r="A141" s="733">
        <v>33.9</v>
      </c>
      <c r="B141" s="734">
        <v>0.41499999999999998</v>
      </c>
      <c r="C141" s="734">
        <v>0.53700000000000003</v>
      </c>
      <c r="E141" s="735">
        <v>0.94599999999999995</v>
      </c>
    </row>
    <row r="142" spans="1:5" x14ac:dyDescent="0.25">
      <c r="A142" s="733">
        <v>34</v>
      </c>
      <c r="B142" s="734">
        <v>0.39500000000000002</v>
      </c>
      <c r="C142" s="734">
        <v>0.504</v>
      </c>
      <c r="E142" s="735">
        <v>0.94099999999999995</v>
      </c>
    </row>
    <row r="143" spans="1:5" x14ac:dyDescent="0.25">
      <c r="A143" s="733">
        <v>34.1</v>
      </c>
      <c r="B143" s="734">
        <v>0.39500000000000002</v>
      </c>
      <c r="C143" s="734">
        <v>0.504</v>
      </c>
      <c r="E143" s="735">
        <v>0.94099999999999995</v>
      </c>
    </row>
    <row r="144" spans="1:5" x14ac:dyDescent="0.25">
      <c r="A144" s="733">
        <v>34.200000000000003</v>
      </c>
      <c r="B144" s="734">
        <v>0.39500000000000002</v>
      </c>
      <c r="C144" s="734">
        <v>0.504</v>
      </c>
      <c r="E144" s="735">
        <v>0.94099999999999995</v>
      </c>
    </row>
    <row r="145" spans="1:5" x14ac:dyDescent="0.25">
      <c r="A145" s="733">
        <v>34.299999999999997</v>
      </c>
      <c r="B145" s="734">
        <v>0.39500000000000002</v>
      </c>
      <c r="C145" s="734">
        <v>0.504</v>
      </c>
      <c r="E145" s="735">
        <v>0.94099999999999995</v>
      </c>
    </row>
    <row r="146" spans="1:5" x14ac:dyDescent="0.25">
      <c r="A146" s="733">
        <v>34.4</v>
      </c>
      <c r="B146" s="734">
        <v>0.39500000000000002</v>
      </c>
      <c r="C146" s="734">
        <v>0.504</v>
      </c>
      <c r="E146" s="735">
        <v>0.94099999999999995</v>
      </c>
    </row>
    <row r="147" spans="1:5" x14ac:dyDescent="0.25">
      <c r="A147" s="733">
        <v>34.5</v>
      </c>
      <c r="B147" s="734">
        <v>0.39500000000000002</v>
      </c>
      <c r="C147" s="734">
        <v>0.504</v>
      </c>
      <c r="E147" s="735">
        <v>0.94099999999999995</v>
      </c>
    </row>
    <row r="148" spans="1:5" x14ac:dyDescent="0.25">
      <c r="A148" s="733">
        <v>34.6</v>
      </c>
      <c r="B148" s="734">
        <v>0.39500000000000002</v>
      </c>
      <c r="C148" s="734">
        <v>0.504</v>
      </c>
      <c r="E148" s="735">
        <v>0.94099999999999995</v>
      </c>
    </row>
    <row r="149" spans="1:5" x14ac:dyDescent="0.25">
      <c r="A149" s="733">
        <v>34.700000000000003</v>
      </c>
      <c r="B149" s="734">
        <v>0.39500000000000002</v>
      </c>
      <c r="C149" s="734">
        <v>0.504</v>
      </c>
      <c r="E149" s="735">
        <v>0.94099999999999995</v>
      </c>
    </row>
    <row r="150" spans="1:5" x14ac:dyDescent="0.25">
      <c r="A150" s="733">
        <v>34.799999999999997</v>
      </c>
      <c r="B150" s="734">
        <v>0.39500000000000002</v>
      </c>
      <c r="C150" s="734">
        <v>0.504</v>
      </c>
      <c r="E150" s="735">
        <v>0.94099999999999995</v>
      </c>
    </row>
    <row r="151" spans="1:5" x14ac:dyDescent="0.25">
      <c r="A151" s="733">
        <v>34.9</v>
      </c>
      <c r="B151" s="734">
        <v>0.39500000000000002</v>
      </c>
      <c r="C151" s="734">
        <v>0.504</v>
      </c>
      <c r="E151" s="735">
        <v>0.94099999999999995</v>
      </c>
    </row>
    <row r="152" spans="1:5" x14ac:dyDescent="0.25">
      <c r="A152" s="733">
        <v>35</v>
      </c>
      <c r="B152" s="734">
        <v>0.375</v>
      </c>
      <c r="C152" s="734">
        <v>0.498</v>
      </c>
      <c r="E152" s="735">
        <v>0.93200000000000005</v>
      </c>
    </row>
    <row r="153" spans="1:5" x14ac:dyDescent="0.25">
      <c r="A153" s="733">
        <v>35.1</v>
      </c>
      <c r="B153" s="734">
        <v>0.375</v>
      </c>
      <c r="C153" s="734">
        <v>0.498</v>
      </c>
      <c r="E153" s="735">
        <v>0.93200000000000005</v>
      </c>
    </row>
    <row r="154" spans="1:5" x14ac:dyDescent="0.25">
      <c r="A154" s="733">
        <v>35.200000000000003</v>
      </c>
      <c r="B154" s="734">
        <v>0.375</v>
      </c>
      <c r="C154" s="734">
        <v>0.498</v>
      </c>
      <c r="E154" s="735">
        <v>0.93200000000000005</v>
      </c>
    </row>
    <row r="155" spans="1:5" x14ac:dyDescent="0.25">
      <c r="A155" s="733">
        <v>35.299999999999997</v>
      </c>
      <c r="B155" s="734">
        <v>0.375</v>
      </c>
      <c r="C155" s="734">
        <v>0.498</v>
      </c>
      <c r="E155" s="735">
        <v>0.93200000000000005</v>
      </c>
    </row>
    <row r="156" spans="1:5" x14ac:dyDescent="0.25">
      <c r="A156" s="733">
        <v>35.4</v>
      </c>
      <c r="B156" s="734">
        <v>0.375</v>
      </c>
      <c r="C156" s="734">
        <v>0.498</v>
      </c>
      <c r="E156" s="735">
        <v>0.93200000000000005</v>
      </c>
    </row>
    <row r="157" spans="1:5" x14ac:dyDescent="0.25">
      <c r="A157" s="733">
        <v>35.5</v>
      </c>
      <c r="B157" s="734">
        <v>0.375</v>
      </c>
      <c r="C157" s="734">
        <v>0.498</v>
      </c>
      <c r="E157" s="735">
        <v>0.93200000000000005</v>
      </c>
    </row>
    <row r="158" spans="1:5" x14ac:dyDescent="0.25">
      <c r="A158" s="733">
        <v>35.6</v>
      </c>
      <c r="B158" s="734">
        <v>0.375</v>
      </c>
      <c r="C158" s="734">
        <v>0.498</v>
      </c>
      <c r="E158" s="735">
        <v>0.93200000000000005</v>
      </c>
    </row>
    <row r="159" spans="1:5" x14ac:dyDescent="0.25">
      <c r="A159" s="733">
        <v>35.700000000000003</v>
      </c>
      <c r="B159" s="734">
        <v>0.375</v>
      </c>
      <c r="C159" s="734">
        <v>0.498</v>
      </c>
      <c r="E159" s="735">
        <v>0.93200000000000005</v>
      </c>
    </row>
    <row r="160" spans="1:5" x14ac:dyDescent="0.25">
      <c r="A160" s="733">
        <v>35.799999999999997</v>
      </c>
      <c r="B160" s="734">
        <v>0.375</v>
      </c>
      <c r="C160" s="734">
        <v>0.498</v>
      </c>
      <c r="E160" s="735">
        <v>0.93200000000000005</v>
      </c>
    </row>
    <row r="161" spans="1:5" x14ac:dyDescent="0.25">
      <c r="A161" s="733">
        <v>35.9</v>
      </c>
      <c r="B161" s="734">
        <v>0.375</v>
      </c>
      <c r="C161" s="734">
        <v>0.498</v>
      </c>
      <c r="E161" s="735">
        <v>0.93200000000000005</v>
      </c>
    </row>
    <row r="162" spans="1:5" x14ac:dyDescent="0.25">
      <c r="A162" s="733">
        <v>36</v>
      </c>
      <c r="B162" s="734">
        <v>0.35699999999999998</v>
      </c>
      <c r="C162" s="734">
        <v>0.47499999999999998</v>
      </c>
      <c r="E162" s="735">
        <v>0.92900000000000005</v>
      </c>
    </row>
    <row r="163" spans="1:5" x14ac:dyDescent="0.25">
      <c r="A163" s="733">
        <v>36.1</v>
      </c>
      <c r="B163" s="734">
        <v>0.35699999999999998</v>
      </c>
      <c r="C163" s="734">
        <v>0.47499999999999998</v>
      </c>
      <c r="E163" s="735">
        <v>0.92900000000000005</v>
      </c>
    </row>
    <row r="164" spans="1:5" x14ac:dyDescent="0.25">
      <c r="A164" s="733">
        <v>36.200000000000003</v>
      </c>
      <c r="B164" s="734">
        <v>0.35699999999999998</v>
      </c>
      <c r="C164" s="734">
        <v>0.47499999999999998</v>
      </c>
      <c r="E164" s="735">
        <v>0.92900000000000005</v>
      </c>
    </row>
    <row r="165" spans="1:5" x14ac:dyDescent="0.25">
      <c r="A165" s="733">
        <v>36.299999999999997</v>
      </c>
      <c r="B165" s="734">
        <v>0.35699999999999998</v>
      </c>
      <c r="C165" s="734">
        <v>0.47499999999999998</v>
      </c>
      <c r="E165" s="735">
        <v>0.92900000000000005</v>
      </c>
    </row>
    <row r="166" spans="1:5" x14ac:dyDescent="0.25">
      <c r="A166" s="733">
        <v>36.4</v>
      </c>
      <c r="B166" s="734">
        <v>0.35699999999999998</v>
      </c>
      <c r="C166" s="734">
        <v>0.47499999999999998</v>
      </c>
      <c r="E166" s="735">
        <v>0.92900000000000005</v>
      </c>
    </row>
    <row r="167" spans="1:5" x14ac:dyDescent="0.25">
      <c r="A167" s="733">
        <v>36.5</v>
      </c>
      <c r="B167" s="734">
        <v>0.35699999999999998</v>
      </c>
      <c r="C167" s="734">
        <v>0.47499999999999998</v>
      </c>
      <c r="E167" s="735">
        <v>0.92900000000000005</v>
      </c>
    </row>
    <row r="168" spans="1:5" x14ac:dyDescent="0.25">
      <c r="A168" s="733">
        <v>36.6</v>
      </c>
      <c r="B168" s="734">
        <v>0.35699999999999998</v>
      </c>
      <c r="C168" s="734">
        <v>0.47499999999999998</v>
      </c>
      <c r="E168" s="735">
        <v>0.92900000000000005</v>
      </c>
    </row>
    <row r="169" spans="1:5" x14ac:dyDescent="0.25">
      <c r="A169" s="733">
        <v>36.700000000000003</v>
      </c>
      <c r="B169" s="734">
        <v>0.35699999999999998</v>
      </c>
      <c r="C169" s="734">
        <v>0.47499999999999998</v>
      </c>
      <c r="E169" s="735">
        <v>0.92900000000000005</v>
      </c>
    </row>
    <row r="170" spans="1:5" x14ac:dyDescent="0.25">
      <c r="A170" s="733">
        <v>36.799999999999997</v>
      </c>
      <c r="B170" s="734">
        <v>0.35699999999999998</v>
      </c>
      <c r="C170" s="734">
        <v>0.47499999999999998</v>
      </c>
      <c r="E170" s="735">
        <v>0.92900000000000005</v>
      </c>
    </row>
    <row r="171" spans="1:5" x14ac:dyDescent="0.25">
      <c r="A171" s="733">
        <v>36.9</v>
      </c>
      <c r="B171" s="734">
        <v>0.35699999999999998</v>
      </c>
      <c r="C171" s="734">
        <v>0.47499999999999998</v>
      </c>
      <c r="E171" s="735">
        <v>0.92900000000000005</v>
      </c>
    </row>
    <row r="172" spans="1:5" x14ac:dyDescent="0.25">
      <c r="A172" s="733">
        <v>37</v>
      </c>
      <c r="B172" s="734">
        <v>0.33900000000000002</v>
      </c>
      <c r="C172" s="734">
        <v>0.46400000000000002</v>
      </c>
      <c r="E172" s="735">
        <v>0.92500000000000004</v>
      </c>
    </row>
    <row r="173" spans="1:5" x14ac:dyDescent="0.25">
      <c r="A173" s="733">
        <v>37.1</v>
      </c>
      <c r="B173" s="734">
        <v>0.33900000000000002</v>
      </c>
      <c r="C173" s="734">
        <v>0.46400000000000002</v>
      </c>
      <c r="E173" s="735">
        <v>0.92500000000000004</v>
      </c>
    </row>
    <row r="174" spans="1:5" x14ac:dyDescent="0.25">
      <c r="A174" s="733">
        <v>37.200000000000003</v>
      </c>
      <c r="B174" s="734">
        <v>0.33900000000000002</v>
      </c>
      <c r="C174" s="734">
        <v>0.46400000000000002</v>
      </c>
      <c r="E174" s="735">
        <v>0.92500000000000004</v>
      </c>
    </row>
    <row r="175" spans="1:5" x14ac:dyDescent="0.25">
      <c r="A175" s="733">
        <v>37.299999999999997</v>
      </c>
      <c r="B175" s="734">
        <v>0.33900000000000002</v>
      </c>
      <c r="C175" s="734">
        <v>0.46400000000000002</v>
      </c>
      <c r="E175" s="735">
        <v>0.92500000000000004</v>
      </c>
    </row>
    <row r="176" spans="1:5" x14ac:dyDescent="0.25">
      <c r="A176" s="733">
        <v>37.4</v>
      </c>
      <c r="B176" s="734">
        <v>0.33900000000000002</v>
      </c>
      <c r="C176" s="734">
        <v>0.46400000000000002</v>
      </c>
      <c r="E176" s="735">
        <v>0.92500000000000004</v>
      </c>
    </row>
    <row r="177" spans="1:5" x14ac:dyDescent="0.25">
      <c r="A177" s="733">
        <v>37.5</v>
      </c>
      <c r="B177" s="734">
        <v>0.33900000000000002</v>
      </c>
      <c r="C177" s="734">
        <v>0.46400000000000002</v>
      </c>
      <c r="E177" s="735">
        <v>0.92500000000000004</v>
      </c>
    </row>
    <row r="178" spans="1:5" x14ac:dyDescent="0.25">
      <c r="A178" s="733">
        <v>37.6</v>
      </c>
      <c r="B178" s="734">
        <v>0.33900000000000002</v>
      </c>
      <c r="C178" s="734">
        <v>0.46400000000000002</v>
      </c>
      <c r="E178" s="735">
        <v>0.92500000000000004</v>
      </c>
    </row>
    <row r="179" spans="1:5" x14ac:dyDescent="0.25">
      <c r="A179" s="733">
        <v>37.700000000000003</v>
      </c>
      <c r="B179" s="734">
        <v>0.33900000000000002</v>
      </c>
      <c r="C179" s="734">
        <v>0.46400000000000002</v>
      </c>
      <c r="E179" s="735">
        <v>0.92500000000000004</v>
      </c>
    </row>
    <row r="180" spans="1:5" x14ac:dyDescent="0.25">
      <c r="A180" s="733">
        <v>37.799999999999997</v>
      </c>
      <c r="B180" s="734">
        <v>0.33900000000000002</v>
      </c>
      <c r="C180" s="734">
        <v>0.46400000000000002</v>
      </c>
      <c r="E180" s="735">
        <v>0.92500000000000004</v>
      </c>
    </row>
    <row r="181" spans="1:5" x14ac:dyDescent="0.25">
      <c r="A181" s="733">
        <v>37.9</v>
      </c>
      <c r="B181" s="734">
        <v>0.33900000000000002</v>
      </c>
      <c r="C181" s="734">
        <v>0.46400000000000002</v>
      </c>
      <c r="E181" s="735">
        <v>0.92500000000000004</v>
      </c>
    </row>
    <row r="182" spans="1:5" x14ac:dyDescent="0.25">
      <c r="A182" s="733">
        <v>38</v>
      </c>
      <c r="B182" s="734">
        <v>0.32100000000000001</v>
      </c>
      <c r="C182" s="734">
        <v>0.441</v>
      </c>
      <c r="E182" s="735">
        <v>0.91800000000000004</v>
      </c>
    </row>
    <row r="183" spans="1:5" x14ac:dyDescent="0.25">
      <c r="A183" s="733">
        <v>38.1</v>
      </c>
      <c r="B183" s="734">
        <v>0.32100000000000001</v>
      </c>
      <c r="C183" s="734">
        <v>0.441</v>
      </c>
      <c r="E183" s="735">
        <v>0.91800000000000004</v>
      </c>
    </row>
    <row r="184" spans="1:5" x14ac:dyDescent="0.25">
      <c r="A184" s="733">
        <v>38.200000000000003</v>
      </c>
      <c r="B184" s="734">
        <v>0.32100000000000001</v>
      </c>
      <c r="C184" s="734">
        <v>0.441</v>
      </c>
      <c r="E184" s="735">
        <v>0.91800000000000004</v>
      </c>
    </row>
    <row r="185" spans="1:5" x14ac:dyDescent="0.25">
      <c r="A185" s="733">
        <v>38.299999999999997</v>
      </c>
      <c r="B185" s="734">
        <v>0.32100000000000001</v>
      </c>
      <c r="C185" s="734">
        <v>0.441</v>
      </c>
      <c r="E185" s="735">
        <v>0.91800000000000004</v>
      </c>
    </row>
    <row r="186" spans="1:5" x14ac:dyDescent="0.25">
      <c r="A186" s="733">
        <v>38.4</v>
      </c>
      <c r="B186" s="734">
        <v>0.32100000000000001</v>
      </c>
      <c r="C186" s="734">
        <v>0.441</v>
      </c>
      <c r="E186" s="735">
        <v>0.91800000000000004</v>
      </c>
    </row>
    <row r="187" spans="1:5" x14ac:dyDescent="0.25">
      <c r="A187" s="733">
        <v>38.5</v>
      </c>
      <c r="B187" s="734">
        <v>0.32100000000000001</v>
      </c>
      <c r="C187" s="734">
        <v>0.441</v>
      </c>
      <c r="E187" s="735">
        <v>0.91800000000000004</v>
      </c>
    </row>
    <row r="188" spans="1:5" x14ac:dyDescent="0.25">
      <c r="A188" s="733">
        <v>38.6</v>
      </c>
      <c r="B188" s="734">
        <v>0.32100000000000001</v>
      </c>
      <c r="C188" s="734">
        <v>0.441</v>
      </c>
      <c r="E188" s="735">
        <v>0.91800000000000004</v>
      </c>
    </row>
    <row r="189" spans="1:5" x14ac:dyDescent="0.25">
      <c r="A189" s="733">
        <v>38.700000000000003</v>
      </c>
      <c r="B189" s="734">
        <v>0.32100000000000001</v>
      </c>
      <c r="C189" s="734">
        <v>0.441</v>
      </c>
      <c r="E189" s="735">
        <v>0.91800000000000004</v>
      </c>
    </row>
    <row r="190" spans="1:5" x14ac:dyDescent="0.25">
      <c r="A190" s="733">
        <v>38.799999999999997</v>
      </c>
      <c r="B190" s="734">
        <v>0.32100000000000001</v>
      </c>
      <c r="C190" s="734">
        <v>0.441</v>
      </c>
      <c r="E190" s="735">
        <v>0.91800000000000004</v>
      </c>
    </row>
    <row r="191" spans="1:5" x14ac:dyDescent="0.25">
      <c r="A191" s="733">
        <v>38.9</v>
      </c>
      <c r="B191" s="734">
        <v>0.32100000000000001</v>
      </c>
      <c r="C191" s="734">
        <v>0.441</v>
      </c>
      <c r="E191" s="735">
        <v>0.91800000000000004</v>
      </c>
    </row>
    <row r="192" spans="1:5" x14ac:dyDescent="0.25">
      <c r="A192" s="733">
        <v>39</v>
      </c>
      <c r="B192" s="734">
        <v>0.30299999999999999</v>
      </c>
      <c r="C192" s="734">
        <v>0.41299999999999998</v>
      </c>
      <c r="E192" s="735">
        <v>0.89500000000000002</v>
      </c>
    </row>
    <row r="193" spans="1:5" x14ac:dyDescent="0.25">
      <c r="A193" s="733">
        <v>39.1</v>
      </c>
      <c r="B193" s="734">
        <v>0.30299999999999999</v>
      </c>
      <c r="C193" s="734">
        <v>0.41299999999999998</v>
      </c>
      <c r="E193" s="735">
        <v>0.89500000000000002</v>
      </c>
    </row>
    <row r="194" spans="1:5" x14ac:dyDescent="0.25">
      <c r="A194" s="733">
        <v>39.200000000000003</v>
      </c>
      <c r="B194" s="734">
        <v>0.30299999999999999</v>
      </c>
      <c r="C194" s="734">
        <v>0.41299999999999998</v>
      </c>
      <c r="E194" s="735">
        <v>0.89500000000000002</v>
      </c>
    </row>
    <row r="195" spans="1:5" x14ac:dyDescent="0.25">
      <c r="A195" s="733">
        <v>39.299999999999997</v>
      </c>
      <c r="B195" s="734">
        <v>0.30299999999999999</v>
      </c>
      <c r="C195" s="734">
        <v>0.41299999999999998</v>
      </c>
      <c r="E195" s="735">
        <v>0.89500000000000002</v>
      </c>
    </row>
    <row r="196" spans="1:5" x14ac:dyDescent="0.25">
      <c r="A196" s="733">
        <v>39.4</v>
      </c>
      <c r="B196" s="734">
        <v>0.30299999999999999</v>
      </c>
      <c r="C196" s="734">
        <v>0.41299999999999998</v>
      </c>
      <c r="E196" s="735">
        <v>0.89500000000000002</v>
      </c>
    </row>
    <row r="197" spans="1:5" x14ac:dyDescent="0.25">
      <c r="A197" s="733">
        <v>39.5</v>
      </c>
      <c r="B197" s="734">
        <v>0.30299999999999999</v>
      </c>
      <c r="C197" s="734">
        <v>0.41299999999999998</v>
      </c>
      <c r="E197" s="735">
        <v>0.89500000000000002</v>
      </c>
    </row>
    <row r="198" spans="1:5" x14ac:dyDescent="0.25">
      <c r="A198" s="733">
        <v>39.6</v>
      </c>
      <c r="B198" s="734">
        <v>0.30299999999999999</v>
      </c>
      <c r="C198" s="734">
        <v>0.41299999999999998</v>
      </c>
      <c r="E198" s="735">
        <v>0.89500000000000002</v>
      </c>
    </row>
    <row r="199" spans="1:5" x14ac:dyDescent="0.25">
      <c r="A199" s="733">
        <v>39.700000000000003</v>
      </c>
      <c r="B199" s="734">
        <v>0.30299999999999999</v>
      </c>
      <c r="C199" s="734">
        <v>0.41299999999999998</v>
      </c>
      <c r="E199" s="735">
        <v>0.89500000000000002</v>
      </c>
    </row>
    <row r="200" spans="1:5" x14ac:dyDescent="0.25">
      <c r="A200" s="733">
        <v>39.799999999999997</v>
      </c>
      <c r="B200" s="734">
        <v>0.30299999999999999</v>
      </c>
      <c r="C200" s="734">
        <v>0.41299999999999998</v>
      </c>
      <c r="E200" s="735">
        <v>0.89500000000000002</v>
      </c>
    </row>
    <row r="201" spans="1:5" x14ac:dyDescent="0.25">
      <c r="A201" s="733">
        <v>39.9</v>
      </c>
      <c r="B201" s="734">
        <v>0.30299999999999999</v>
      </c>
      <c r="C201" s="734">
        <v>0.41299999999999998</v>
      </c>
      <c r="E201" s="735">
        <v>0.89500000000000002</v>
      </c>
    </row>
    <row r="202" spans="1:5" x14ac:dyDescent="0.25">
      <c r="A202" s="733">
        <v>40</v>
      </c>
      <c r="B202" s="734">
        <v>0.30299999999999999</v>
      </c>
      <c r="C202" s="734">
        <v>0.41299999999999998</v>
      </c>
      <c r="E202" s="735">
        <v>0.89500000000000002</v>
      </c>
    </row>
  </sheetData>
  <sheetProtection algorithmName="SHA-512" hashValue="tPHyMoPJ8pEYjW014Glohnut2Bib7EZ/FksZ5OVa6V+Jiq0ZD/twLKNEGvd1LqdBzw/JLw607RBSxmPiIAt8Jw==" saltValue="WZJRKoyOMIq/MN6Wl1Gt1A==" spinCount="100000" sheet="1" objects="1" scenarios="1"/>
  <pageMargins left="0.7" right="0.7" top="0.75" bottom="0.75" header="0.51180555555555496" footer="0.51180555555555496"/>
  <pageSetup paperSize="9" firstPageNumber="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CCCFF"/>
    <pageSetUpPr fitToPage="1"/>
  </sheetPr>
  <dimension ref="A1:AD66"/>
  <sheetViews>
    <sheetView showGridLines="0" showRowColHeaders="0" zoomScale="50" zoomScaleNormal="50" workbookViewId="0"/>
  </sheetViews>
  <sheetFormatPr defaultColWidth="9.140625" defaultRowHeight="19.5" x14ac:dyDescent="0.4"/>
  <cols>
    <col min="1" max="1" width="6.140625" style="47" bestFit="1" customWidth="1"/>
    <col min="2" max="2" width="30.85546875" style="48" customWidth="1"/>
    <col min="3" max="3" width="4" style="47" customWidth="1"/>
    <col min="4" max="20" width="8.85546875" style="47" customWidth="1"/>
    <col min="21" max="16384" width="9.140625" style="47"/>
  </cols>
  <sheetData>
    <row r="1" spans="1:30" ht="20.25" thickBot="1" x14ac:dyDescent="0.45"/>
    <row r="2" spans="1:30" s="46" customFormat="1" ht="32.25" thickBot="1" x14ac:dyDescent="0.55000000000000004">
      <c r="A2" s="986" t="s">
        <v>55</v>
      </c>
      <c r="B2" s="987"/>
      <c r="D2" s="226"/>
      <c r="E2" s="230">
        <v>13</v>
      </c>
      <c r="F2" s="994" t="str">
        <f>VLOOKUP($E$2,BEGINBLAD!B4:C39,2)</f>
        <v>leerling 13</v>
      </c>
      <c r="G2" s="995"/>
      <c r="H2" s="995"/>
      <c r="I2" s="995"/>
      <c r="J2" s="995"/>
      <c r="K2" s="995"/>
      <c r="L2" s="995"/>
      <c r="M2" s="995"/>
      <c r="N2" s="995"/>
      <c r="O2" s="995"/>
      <c r="P2" s="995"/>
      <c r="Q2" s="995"/>
      <c r="R2" s="995"/>
      <c r="S2" s="995"/>
      <c r="T2" s="995"/>
      <c r="U2" s="995"/>
      <c r="V2" s="995"/>
      <c r="W2" s="995"/>
      <c r="X2" s="995"/>
      <c r="Y2" s="995"/>
      <c r="Z2" s="995"/>
      <c r="AA2" s="996"/>
      <c r="AB2" s="1006" t="s">
        <v>56</v>
      </c>
      <c r="AC2" s="1007"/>
      <c r="AD2" s="643">
        <f>VLOOKUP($E$2,BEGINBLAD!B4:D39,3)</f>
        <v>0</v>
      </c>
    </row>
    <row r="3" spans="1:30" ht="50.1" customHeight="1" x14ac:dyDescent="0.4"/>
    <row r="4" spans="1:30" ht="19.5" customHeight="1" x14ac:dyDescent="0.4">
      <c r="A4" s="172">
        <v>1</v>
      </c>
      <c r="B4" s="173" t="str">
        <f>BEGINBLAD!C4</f>
        <v>leelring 1</v>
      </c>
    </row>
    <row r="5" spans="1:30" x14ac:dyDescent="0.4">
      <c r="A5" s="172">
        <v>2</v>
      </c>
      <c r="B5" s="173" t="str">
        <f>BEGINBLAD!C5</f>
        <v>leerling 2</v>
      </c>
      <c r="D5" s="56"/>
      <c r="E5" s="56"/>
    </row>
    <row r="6" spans="1:30" x14ac:dyDescent="0.4">
      <c r="A6" s="172">
        <v>3</v>
      </c>
      <c r="B6" s="173" t="str">
        <f>BEGINBLAD!C6</f>
        <v>leerling 3</v>
      </c>
      <c r="D6" s="56"/>
      <c r="E6" s="56"/>
    </row>
    <row r="7" spans="1:30" x14ac:dyDescent="0.4">
      <c r="A7" s="172">
        <v>4</v>
      </c>
      <c r="B7" s="173" t="str">
        <f>BEGINBLAD!C7</f>
        <v>leerling 4</v>
      </c>
      <c r="E7" s="49"/>
      <c r="F7" s="49"/>
      <c r="G7" s="49"/>
      <c r="H7" s="49"/>
      <c r="I7" s="49"/>
      <c r="J7" s="49"/>
      <c r="K7" s="49"/>
      <c r="L7" s="49"/>
      <c r="M7" s="49"/>
      <c r="N7" s="49"/>
    </row>
    <row r="8" spans="1:30" x14ac:dyDescent="0.4">
      <c r="A8" s="172">
        <v>5</v>
      </c>
      <c r="B8" s="173" t="str">
        <f>BEGINBLAD!C8</f>
        <v>leerling 5</v>
      </c>
      <c r="E8" s="49"/>
      <c r="F8" s="49"/>
      <c r="G8" s="49"/>
      <c r="H8" s="49"/>
      <c r="I8" s="49"/>
      <c r="J8" s="49"/>
      <c r="K8" s="49"/>
      <c r="L8" s="49"/>
      <c r="M8" s="49"/>
      <c r="N8" s="49"/>
    </row>
    <row r="9" spans="1:30" x14ac:dyDescent="0.4">
      <c r="A9" s="172">
        <v>6</v>
      </c>
      <c r="B9" s="173" t="str">
        <f>BEGINBLAD!C9</f>
        <v>leerling 6</v>
      </c>
      <c r="E9" s="49"/>
      <c r="F9" s="49"/>
      <c r="G9" s="49"/>
      <c r="H9" s="49"/>
      <c r="I9" s="49"/>
      <c r="J9" s="49"/>
      <c r="K9" s="49"/>
      <c r="L9" s="49"/>
      <c r="M9" s="49"/>
      <c r="N9" s="49"/>
    </row>
    <row r="10" spans="1:30" x14ac:dyDescent="0.4">
      <c r="A10" s="172">
        <v>7</v>
      </c>
      <c r="B10" s="173" t="str">
        <f>BEGINBLAD!C10</f>
        <v>leerling 7</v>
      </c>
      <c r="E10" s="49"/>
      <c r="F10" s="49"/>
      <c r="G10" s="49"/>
      <c r="H10" s="49"/>
      <c r="I10" s="49"/>
      <c r="J10" s="49"/>
      <c r="K10" s="49"/>
      <c r="L10" s="49"/>
      <c r="M10" s="49"/>
      <c r="N10" s="49"/>
    </row>
    <row r="11" spans="1:30" x14ac:dyDescent="0.4">
      <c r="A11" s="172">
        <v>8</v>
      </c>
      <c r="B11" s="173" t="str">
        <f>BEGINBLAD!C11</f>
        <v>leerling 8</v>
      </c>
      <c r="E11" s="49"/>
      <c r="F11" s="49"/>
      <c r="G11" s="49"/>
      <c r="H11" s="49"/>
      <c r="I11" s="49"/>
      <c r="J11" s="49"/>
      <c r="K11" s="49"/>
      <c r="L11" s="49"/>
      <c r="M11" s="49"/>
      <c r="N11" s="49"/>
    </row>
    <row r="12" spans="1:30" x14ac:dyDescent="0.4">
      <c r="A12" s="172">
        <v>9</v>
      </c>
      <c r="B12" s="173" t="str">
        <f>BEGINBLAD!C12</f>
        <v>leerling 9</v>
      </c>
      <c r="E12" s="49"/>
      <c r="F12" s="49"/>
      <c r="G12" s="49"/>
      <c r="H12" s="215" t="s">
        <v>57</v>
      </c>
      <c r="I12" s="217" t="s">
        <v>58</v>
      </c>
      <c r="J12" s="215" t="s">
        <v>59</v>
      </c>
      <c r="K12" s="217" t="s">
        <v>58</v>
      </c>
      <c r="L12" s="215" t="s">
        <v>60</v>
      </c>
      <c r="M12" s="217" t="s">
        <v>58</v>
      </c>
      <c r="N12" s="215" t="s">
        <v>61</v>
      </c>
      <c r="O12" s="217" t="s">
        <v>58</v>
      </c>
      <c r="P12" s="215" t="s">
        <v>62</v>
      </c>
      <c r="Q12" s="217" t="s">
        <v>58</v>
      </c>
      <c r="R12" s="48" t="s">
        <v>63</v>
      </c>
      <c r="S12" s="48"/>
    </row>
    <row r="13" spans="1:30" x14ac:dyDescent="0.4">
      <c r="A13" s="172">
        <v>10</v>
      </c>
      <c r="B13" s="173" t="str">
        <f>BEGINBLAD!C13</f>
        <v>leerling 10</v>
      </c>
      <c r="E13" s="57"/>
      <c r="F13" s="57"/>
      <c r="G13" s="57"/>
      <c r="H13" s="210">
        <f>VLOOKUP($E$2,'NIVEAU WAARDE - vorig jaar'!$B$9:$H$44,3)</f>
        <v>3.1</v>
      </c>
      <c r="I13" s="210">
        <v>5</v>
      </c>
      <c r="J13" s="210">
        <f>VLOOKUP($E$2,'NIVEAU WAARDE - vorig jaar'!$B$9:$H$44,4)</f>
        <v>4.8</v>
      </c>
      <c r="K13" s="210">
        <v>5</v>
      </c>
      <c r="L13" s="210">
        <f>VLOOKUP($E$2,'NIVEAU WAARDE - vorig jaar'!$B$9:$H$44,5)</f>
        <v>3.2</v>
      </c>
      <c r="M13" s="210">
        <v>5</v>
      </c>
      <c r="N13" s="210">
        <f>VLOOKUP($E$2,'NIVEAU WAARDE - vorig jaar'!$B$9:$H$44,6)</f>
        <v>2.8</v>
      </c>
      <c r="O13" s="210">
        <v>5</v>
      </c>
      <c r="P13" s="210">
        <f>VLOOKUP($E$2,'NIVEAU WAARDE - vorig jaar'!$B$9:$H$44,7)</f>
        <v>3.1</v>
      </c>
      <c r="Q13" s="211">
        <v>5</v>
      </c>
      <c r="R13" s="213">
        <f>T13/S13</f>
        <v>3.4000000000000008</v>
      </c>
      <c r="S13" s="213">
        <f>COUNTIF(H13:Q13,"&gt;0")-5</f>
        <v>5</v>
      </c>
      <c r="T13" s="214">
        <f>H13+J13+L13+N13+P13</f>
        <v>17.000000000000004</v>
      </c>
      <c r="U13" s="209"/>
    </row>
    <row r="14" spans="1:30" x14ac:dyDescent="0.4">
      <c r="A14" s="172">
        <v>11</v>
      </c>
      <c r="B14" s="173" t="str">
        <f>BEGINBLAD!C14</f>
        <v>leerling 11</v>
      </c>
      <c r="H14" s="48">
        <f>H13*2</f>
        <v>6.2</v>
      </c>
      <c r="I14" s="48">
        <f t="shared" ref="I14:R14" si="0">I13*2</f>
        <v>10</v>
      </c>
      <c r="J14" s="48">
        <f t="shared" si="0"/>
        <v>9.6</v>
      </c>
      <c r="K14" s="48">
        <f t="shared" si="0"/>
        <v>10</v>
      </c>
      <c r="L14" s="48">
        <f t="shared" si="0"/>
        <v>6.4</v>
      </c>
      <c r="M14" s="48">
        <f t="shared" si="0"/>
        <v>10</v>
      </c>
      <c r="N14" s="48">
        <f t="shared" si="0"/>
        <v>5.6</v>
      </c>
      <c r="O14" s="48">
        <f t="shared" si="0"/>
        <v>10</v>
      </c>
      <c r="P14" s="48">
        <f t="shared" si="0"/>
        <v>6.2</v>
      </c>
      <c r="Q14" s="48">
        <f t="shared" si="0"/>
        <v>10</v>
      </c>
      <c r="R14" s="214">
        <f t="shared" si="0"/>
        <v>6.8000000000000016</v>
      </c>
      <c r="S14" s="48"/>
      <c r="T14" s="48"/>
    </row>
    <row r="15" spans="1:30" x14ac:dyDescent="0.4">
      <c r="A15" s="172">
        <v>12</v>
      </c>
      <c r="B15" s="173" t="str">
        <f>BEGINBLAD!C15</f>
        <v>leerling 12</v>
      </c>
    </row>
    <row r="16" spans="1:30" x14ac:dyDescent="0.4">
      <c r="A16" s="172">
        <v>13</v>
      </c>
      <c r="B16" s="173" t="str">
        <f>BEGINBLAD!C16</f>
        <v>leerling 13</v>
      </c>
      <c r="E16" s="49"/>
      <c r="F16" s="49"/>
      <c r="G16" s="49"/>
      <c r="H16" s="49"/>
      <c r="I16" s="49"/>
      <c r="J16" s="49"/>
      <c r="K16" s="49"/>
      <c r="L16" s="49"/>
      <c r="M16" s="49"/>
      <c r="N16" s="49"/>
    </row>
    <row r="17" spans="1:30" x14ac:dyDescent="0.4">
      <c r="A17" s="172">
        <v>14</v>
      </c>
      <c r="B17" s="173" t="str">
        <f>BEGINBLAD!C17</f>
        <v>leerling 14</v>
      </c>
      <c r="E17" s="49"/>
      <c r="F17" s="49"/>
      <c r="G17" s="49"/>
      <c r="H17" s="49"/>
      <c r="I17" s="49"/>
      <c r="J17" s="49"/>
      <c r="K17" s="49"/>
      <c r="L17" s="49"/>
      <c r="M17" s="49"/>
      <c r="N17" s="49"/>
    </row>
    <row r="18" spans="1:30" x14ac:dyDescent="0.4">
      <c r="A18" s="172">
        <v>15</v>
      </c>
      <c r="B18" s="173" t="str">
        <f>BEGINBLAD!C18</f>
        <v>leerling 15</v>
      </c>
      <c r="E18" s="50"/>
      <c r="F18" s="49"/>
      <c r="G18" s="49"/>
      <c r="H18" s="49"/>
      <c r="I18" s="49"/>
      <c r="J18" s="49"/>
      <c r="K18" s="49"/>
      <c r="L18" s="49"/>
      <c r="M18" s="49"/>
      <c r="N18" s="49"/>
    </row>
    <row r="19" spans="1:30" x14ac:dyDescent="0.4">
      <c r="A19" s="172">
        <v>16</v>
      </c>
      <c r="B19" s="173" t="str">
        <f>BEGINBLAD!C19</f>
        <v>leerling 16</v>
      </c>
      <c r="E19" s="51"/>
      <c r="F19" s="51"/>
      <c r="G19" s="51"/>
      <c r="H19" s="51"/>
      <c r="I19" s="51"/>
      <c r="J19" s="49"/>
      <c r="K19" s="51"/>
      <c r="L19" s="49"/>
      <c r="M19" s="49"/>
      <c r="N19" s="49"/>
    </row>
    <row r="20" spans="1:30" x14ac:dyDescent="0.4">
      <c r="A20" s="172">
        <v>17</v>
      </c>
      <c r="B20" s="173" t="str">
        <f>BEGINBLAD!C20</f>
        <v>leerling 17</v>
      </c>
      <c r="E20" s="52"/>
      <c r="F20" s="52"/>
      <c r="G20" s="53"/>
      <c r="H20" s="53"/>
      <c r="I20" s="52"/>
      <c r="J20" s="49"/>
      <c r="K20" s="53"/>
      <c r="L20" s="49"/>
      <c r="M20" s="49"/>
      <c r="N20" s="49"/>
    </row>
    <row r="21" spans="1:30" x14ac:dyDescent="0.4">
      <c r="A21" s="172">
        <v>18</v>
      </c>
      <c r="B21" s="173" t="str">
        <f>BEGINBLAD!C21</f>
        <v>leerling 18</v>
      </c>
      <c r="E21" s="49"/>
      <c r="F21" s="49"/>
      <c r="G21" s="49"/>
      <c r="H21" s="49"/>
      <c r="I21" s="49"/>
      <c r="J21" s="49"/>
      <c r="K21" s="49"/>
      <c r="L21" s="49"/>
      <c r="M21" s="49"/>
      <c r="N21" s="49"/>
    </row>
    <row r="22" spans="1:30" x14ac:dyDescent="0.4">
      <c r="A22" s="172">
        <v>19</v>
      </c>
      <c r="B22" s="173" t="str">
        <f>BEGINBLAD!C22</f>
        <v>leerling 19</v>
      </c>
      <c r="E22" s="49"/>
      <c r="F22" s="49"/>
      <c r="G22" s="49"/>
      <c r="H22" s="49"/>
      <c r="I22" s="49"/>
      <c r="J22" s="49"/>
      <c r="K22" s="49"/>
      <c r="L22" s="49"/>
      <c r="M22" s="49"/>
      <c r="N22" s="49"/>
    </row>
    <row r="23" spans="1:30" ht="15" customHeight="1" x14ac:dyDescent="0.4">
      <c r="A23" s="172">
        <v>20</v>
      </c>
      <c r="B23" s="173" t="str">
        <f>BEGINBLAD!C23</f>
        <v>leerling 20</v>
      </c>
    </row>
    <row r="24" spans="1:30" x14ac:dyDescent="0.4">
      <c r="A24" s="172">
        <v>21</v>
      </c>
      <c r="B24" s="173" t="str">
        <f>BEGINBLAD!C24</f>
        <v>leerling 21</v>
      </c>
    </row>
    <row r="25" spans="1:30" x14ac:dyDescent="0.4">
      <c r="A25" s="172">
        <v>22</v>
      </c>
      <c r="B25" s="173" t="str">
        <f>BEGINBLAD!C25</f>
        <v>leerling 22</v>
      </c>
    </row>
    <row r="26" spans="1:30" x14ac:dyDescent="0.4">
      <c r="A26" s="172">
        <v>23</v>
      </c>
      <c r="B26" s="173" t="str">
        <f>BEGINBLAD!C26</f>
        <v>leerling 23</v>
      </c>
    </row>
    <row r="27" spans="1:30" x14ac:dyDescent="0.4">
      <c r="A27" s="172">
        <v>24</v>
      </c>
      <c r="B27" s="173" t="str">
        <f>BEGINBLAD!C27</f>
        <v>leerling 24</v>
      </c>
    </row>
    <row r="28" spans="1:30" ht="15.75" customHeight="1" x14ac:dyDescent="0.4">
      <c r="A28" s="172">
        <v>25</v>
      </c>
      <c r="B28" s="173" t="str">
        <f>BEGINBLAD!C28</f>
        <v>leerling 25</v>
      </c>
    </row>
    <row r="29" spans="1:30" x14ac:dyDescent="0.4">
      <c r="A29" s="172">
        <v>26</v>
      </c>
      <c r="B29" s="173" t="str">
        <f>BEGINBLAD!C29</f>
        <v>leerling 26</v>
      </c>
    </row>
    <row r="30" spans="1:30" ht="20.25" thickBot="1" x14ac:dyDescent="0.45">
      <c r="A30" s="172">
        <v>27</v>
      </c>
      <c r="B30" s="173">
        <f>BEGINBLAD!C30</f>
        <v>0</v>
      </c>
    </row>
    <row r="31" spans="1:30" x14ac:dyDescent="0.4">
      <c r="A31" s="172">
        <v>28</v>
      </c>
      <c r="B31" s="173">
        <f>BEGINBLAD!C31</f>
        <v>0</v>
      </c>
      <c r="E31" s="988" t="s">
        <v>64</v>
      </c>
      <c r="F31" s="989"/>
      <c r="G31" s="997" t="s">
        <v>65</v>
      </c>
      <c r="H31" s="998"/>
      <c r="I31" s="998"/>
      <c r="J31" s="998"/>
      <c r="K31" s="998"/>
      <c r="L31" s="998"/>
      <c r="M31" s="998"/>
      <c r="N31" s="998"/>
      <c r="O31" s="998"/>
      <c r="P31" s="998"/>
      <c r="Q31" s="998"/>
      <c r="R31" s="998"/>
      <c r="S31" s="998"/>
      <c r="T31" s="998"/>
      <c r="U31" s="998"/>
      <c r="V31" s="998"/>
      <c r="W31" s="998"/>
      <c r="X31" s="998"/>
      <c r="Y31" s="998"/>
      <c r="Z31" s="998"/>
      <c r="AA31" s="998"/>
      <c r="AB31" s="998"/>
      <c r="AC31" s="998"/>
      <c r="AD31" s="999"/>
    </row>
    <row r="32" spans="1:30" x14ac:dyDescent="0.4">
      <c r="A32" s="172">
        <v>29</v>
      </c>
      <c r="B32" s="173">
        <f>BEGINBLAD!C32</f>
        <v>0</v>
      </c>
      <c r="E32" s="990"/>
      <c r="F32" s="991"/>
      <c r="G32" s="1000"/>
      <c r="H32" s="1001"/>
      <c r="I32" s="1001"/>
      <c r="J32" s="1001"/>
      <c r="K32" s="1001"/>
      <c r="L32" s="1001"/>
      <c r="M32" s="1001"/>
      <c r="N32" s="1001"/>
      <c r="O32" s="1001"/>
      <c r="P32" s="1001"/>
      <c r="Q32" s="1001"/>
      <c r="R32" s="1001"/>
      <c r="S32" s="1001"/>
      <c r="T32" s="1001"/>
      <c r="U32" s="1001"/>
      <c r="V32" s="1001"/>
      <c r="W32" s="1001"/>
      <c r="X32" s="1001"/>
      <c r="Y32" s="1001"/>
      <c r="Z32" s="1001"/>
      <c r="AA32" s="1001"/>
      <c r="AB32" s="1001"/>
      <c r="AC32" s="1001"/>
      <c r="AD32" s="1002"/>
    </row>
    <row r="33" spans="1:30" x14ac:dyDescent="0.4">
      <c r="A33" s="172">
        <v>30</v>
      </c>
      <c r="B33" s="173">
        <f>BEGINBLAD!C33</f>
        <v>0</v>
      </c>
      <c r="E33" s="990"/>
      <c r="F33" s="991"/>
      <c r="G33" s="1000"/>
      <c r="H33" s="1001"/>
      <c r="I33" s="1001"/>
      <c r="J33" s="1001"/>
      <c r="K33" s="1001"/>
      <c r="L33" s="1001"/>
      <c r="M33" s="1001"/>
      <c r="N33" s="1001"/>
      <c r="O33" s="1001"/>
      <c r="P33" s="1001"/>
      <c r="Q33" s="1001"/>
      <c r="R33" s="1001"/>
      <c r="S33" s="1001"/>
      <c r="T33" s="1001"/>
      <c r="U33" s="1001"/>
      <c r="V33" s="1001"/>
      <c r="W33" s="1001"/>
      <c r="X33" s="1001"/>
      <c r="Y33" s="1001"/>
      <c r="Z33" s="1001"/>
      <c r="AA33" s="1001"/>
      <c r="AB33" s="1001"/>
      <c r="AC33" s="1001"/>
      <c r="AD33" s="1002"/>
    </row>
    <row r="34" spans="1:30" x14ac:dyDescent="0.4">
      <c r="A34" s="172">
        <v>31</v>
      </c>
      <c r="B34" s="173">
        <f>BEGINBLAD!C34</f>
        <v>0</v>
      </c>
      <c r="E34" s="990"/>
      <c r="F34" s="991"/>
      <c r="G34" s="1000"/>
      <c r="H34" s="1001"/>
      <c r="I34" s="1001"/>
      <c r="J34" s="1001"/>
      <c r="K34" s="1001"/>
      <c r="L34" s="1001"/>
      <c r="M34" s="1001"/>
      <c r="N34" s="1001"/>
      <c r="O34" s="1001"/>
      <c r="P34" s="1001"/>
      <c r="Q34" s="1001"/>
      <c r="R34" s="1001"/>
      <c r="S34" s="1001"/>
      <c r="T34" s="1001"/>
      <c r="U34" s="1001"/>
      <c r="V34" s="1001"/>
      <c r="W34" s="1001"/>
      <c r="X34" s="1001"/>
      <c r="Y34" s="1001"/>
      <c r="Z34" s="1001"/>
      <c r="AA34" s="1001"/>
      <c r="AB34" s="1001"/>
      <c r="AC34" s="1001"/>
      <c r="AD34" s="1002"/>
    </row>
    <row r="35" spans="1:30" ht="19.5" customHeight="1" x14ac:dyDescent="0.4">
      <c r="A35" s="172">
        <v>32</v>
      </c>
      <c r="B35" s="173">
        <f>BEGINBLAD!C35</f>
        <v>0</v>
      </c>
      <c r="E35" s="990"/>
      <c r="F35" s="991"/>
      <c r="G35" s="1000"/>
      <c r="H35" s="1001"/>
      <c r="I35" s="1001"/>
      <c r="J35" s="1001"/>
      <c r="K35" s="1001"/>
      <c r="L35" s="1001"/>
      <c r="M35" s="1001"/>
      <c r="N35" s="1001"/>
      <c r="O35" s="1001"/>
      <c r="P35" s="1001"/>
      <c r="Q35" s="1001"/>
      <c r="R35" s="1001"/>
      <c r="S35" s="1001"/>
      <c r="T35" s="1001"/>
      <c r="U35" s="1001"/>
      <c r="V35" s="1001"/>
      <c r="W35" s="1001"/>
      <c r="X35" s="1001"/>
      <c r="Y35" s="1001"/>
      <c r="Z35" s="1001"/>
      <c r="AA35" s="1001"/>
      <c r="AB35" s="1001"/>
      <c r="AC35" s="1001"/>
      <c r="AD35" s="1002"/>
    </row>
    <row r="36" spans="1:30" ht="19.5" customHeight="1" thickBot="1" x14ac:dyDescent="0.45">
      <c r="A36" s="172">
        <v>33</v>
      </c>
      <c r="B36" s="173">
        <f>BEGINBLAD!C36</f>
        <v>0</v>
      </c>
      <c r="E36" s="992"/>
      <c r="F36" s="993"/>
      <c r="G36" s="1003"/>
      <c r="H36" s="1004"/>
      <c r="I36" s="1004"/>
      <c r="J36" s="1004"/>
      <c r="K36" s="1004"/>
      <c r="L36" s="1004"/>
      <c r="M36" s="1004"/>
      <c r="N36" s="1004"/>
      <c r="O36" s="1004"/>
      <c r="P36" s="1004"/>
      <c r="Q36" s="1004"/>
      <c r="R36" s="1004"/>
      <c r="S36" s="1004"/>
      <c r="T36" s="1004"/>
      <c r="U36" s="1004"/>
      <c r="V36" s="1004"/>
      <c r="W36" s="1004"/>
      <c r="X36" s="1004"/>
      <c r="Y36" s="1004"/>
      <c r="Z36" s="1004"/>
      <c r="AA36" s="1004"/>
      <c r="AB36" s="1004"/>
      <c r="AC36" s="1004"/>
      <c r="AD36" s="1005"/>
    </row>
    <row r="37" spans="1:30" ht="19.5" customHeight="1" thickBot="1" x14ac:dyDescent="0.65">
      <c r="A37" s="172">
        <v>34</v>
      </c>
      <c r="B37" s="173">
        <f>BEGINBLAD!C37</f>
        <v>0</v>
      </c>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row>
    <row r="38" spans="1:30" ht="19.5" customHeight="1" x14ac:dyDescent="0.4">
      <c r="A38" s="172">
        <v>35</v>
      </c>
      <c r="B38" s="173">
        <f>BEGINBLAD!C38</f>
        <v>0</v>
      </c>
      <c r="E38" s="988" t="s">
        <v>66</v>
      </c>
      <c r="F38" s="989"/>
      <c r="G38" s="997" t="s">
        <v>67</v>
      </c>
      <c r="H38" s="998"/>
      <c r="I38" s="998"/>
      <c r="J38" s="998"/>
      <c r="K38" s="998"/>
      <c r="L38" s="998"/>
      <c r="M38" s="998"/>
      <c r="N38" s="998"/>
      <c r="O38" s="998"/>
      <c r="P38" s="998"/>
      <c r="Q38" s="998"/>
      <c r="R38" s="998"/>
      <c r="S38" s="998"/>
      <c r="T38" s="998"/>
      <c r="U38" s="998"/>
      <c r="V38" s="998"/>
      <c r="W38" s="998"/>
      <c r="X38" s="998"/>
      <c r="Y38" s="998"/>
      <c r="Z38" s="998"/>
      <c r="AA38" s="998"/>
      <c r="AB38" s="998"/>
      <c r="AC38" s="998"/>
      <c r="AD38" s="999"/>
    </row>
    <row r="39" spans="1:30" ht="19.5" customHeight="1" x14ac:dyDescent="0.4">
      <c r="A39" s="172">
        <v>36</v>
      </c>
      <c r="B39" s="173">
        <f>BEGINBLAD!C39</f>
        <v>0</v>
      </c>
      <c r="E39" s="990"/>
      <c r="F39" s="991"/>
      <c r="G39" s="1000"/>
      <c r="H39" s="1001"/>
      <c r="I39" s="1001"/>
      <c r="J39" s="1001"/>
      <c r="K39" s="1001"/>
      <c r="L39" s="1001"/>
      <c r="M39" s="1001"/>
      <c r="N39" s="1001"/>
      <c r="O39" s="1001"/>
      <c r="P39" s="1001"/>
      <c r="Q39" s="1001"/>
      <c r="R39" s="1001"/>
      <c r="S39" s="1001"/>
      <c r="T39" s="1001"/>
      <c r="U39" s="1001"/>
      <c r="V39" s="1001"/>
      <c r="W39" s="1001"/>
      <c r="X39" s="1001"/>
      <c r="Y39" s="1001"/>
      <c r="Z39" s="1001"/>
      <c r="AA39" s="1001"/>
      <c r="AB39" s="1001"/>
      <c r="AC39" s="1001"/>
      <c r="AD39" s="1002"/>
    </row>
    <row r="40" spans="1:30" ht="19.5" customHeight="1" x14ac:dyDescent="0.4">
      <c r="E40" s="990"/>
      <c r="F40" s="991"/>
      <c r="G40" s="1000"/>
      <c r="H40" s="1001"/>
      <c r="I40" s="1001"/>
      <c r="J40" s="1001"/>
      <c r="K40" s="1001"/>
      <c r="L40" s="1001"/>
      <c r="M40" s="1001"/>
      <c r="N40" s="1001"/>
      <c r="O40" s="1001"/>
      <c r="P40" s="1001"/>
      <c r="Q40" s="1001"/>
      <c r="R40" s="1001"/>
      <c r="S40" s="1001"/>
      <c r="T40" s="1001"/>
      <c r="U40" s="1001"/>
      <c r="V40" s="1001"/>
      <c r="W40" s="1001"/>
      <c r="X40" s="1001"/>
      <c r="Y40" s="1001"/>
      <c r="Z40" s="1001"/>
      <c r="AA40" s="1001"/>
      <c r="AB40" s="1001"/>
      <c r="AC40" s="1001"/>
      <c r="AD40" s="1002"/>
    </row>
    <row r="41" spans="1:30" ht="19.5" customHeight="1" x14ac:dyDescent="0.4">
      <c r="A41" s="54"/>
      <c r="B41" s="55"/>
      <c r="E41" s="990"/>
      <c r="F41" s="991"/>
      <c r="G41" s="1000"/>
      <c r="H41" s="1001"/>
      <c r="I41" s="1001"/>
      <c r="J41" s="1001"/>
      <c r="K41" s="1001"/>
      <c r="L41" s="1001"/>
      <c r="M41" s="1001"/>
      <c r="N41" s="1001"/>
      <c r="O41" s="1001"/>
      <c r="P41" s="1001"/>
      <c r="Q41" s="1001"/>
      <c r="R41" s="1001"/>
      <c r="S41" s="1001"/>
      <c r="T41" s="1001"/>
      <c r="U41" s="1001"/>
      <c r="V41" s="1001"/>
      <c r="W41" s="1001"/>
      <c r="X41" s="1001"/>
      <c r="Y41" s="1001"/>
      <c r="Z41" s="1001"/>
      <c r="AA41" s="1001"/>
      <c r="AB41" s="1001"/>
      <c r="AC41" s="1001"/>
      <c r="AD41" s="1002"/>
    </row>
    <row r="42" spans="1:30" ht="19.5" customHeight="1" x14ac:dyDescent="0.4">
      <c r="A42" s="54"/>
      <c r="B42" s="55"/>
      <c r="E42" s="990"/>
      <c r="F42" s="991"/>
      <c r="G42" s="1000"/>
      <c r="H42" s="1001"/>
      <c r="I42" s="1001"/>
      <c r="J42" s="1001"/>
      <c r="K42" s="1001"/>
      <c r="L42" s="1001"/>
      <c r="M42" s="1001"/>
      <c r="N42" s="1001"/>
      <c r="O42" s="1001"/>
      <c r="P42" s="1001"/>
      <c r="Q42" s="1001"/>
      <c r="R42" s="1001"/>
      <c r="S42" s="1001"/>
      <c r="T42" s="1001"/>
      <c r="U42" s="1001"/>
      <c r="V42" s="1001"/>
      <c r="W42" s="1001"/>
      <c r="X42" s="1001"/>
      <c r="Y42" s="1001"/>
      <c r="Z42" s="1001"/>
      <c r="AA42" s="1001"/>
      <c r="AB42" s="1001"/>
      <c r="AC42" s="1001"/>
      <c r="AD42" s="1002"/>
    </row>
    <row r="43" spans="1:30" ht="19.5" customHeight="1" thickBot="1" x14ac:dyDescent="0.45">
      <c r="E43" s="992"/>
      <c r="F43" s="993"/>
      <c r="G43" s="1003"/>
      <c r="H43" s="1004"/>
      <c r="I43" s="1004"/>
      <c r="J43" s="1004"/>
      <c r="K43" s="1004"/>
      <c r="L43" s="1004"/>
      <c r="M43" s="1004"/>
      <c r="N43" s="1004"/>
      <c r="O43" s="1004"/>
      <c r="P43" s="1004"/>
      <c r="Q43" s="1004"/>
      <c r="R43" s="1004"/>
      <c r="S43" s="1004"/>
      <c r="T43" s="1004"/>
      <c r="U43" s="1004"/>
      <c r="V43" s="1004"/>
      <c r="W43" s="1004"/>
      <c r="X43" s="1004"/>
      <c r="Y43" s="1004"/>
      <c r="Z43" s="1004"/>
      <c r="AA43" s="1004"/>
      <c r="AB43" s="1004"/>
      <c r="AC43" s="1004"/>
      <c r="AD43" s="1005"/>
    </row>
    <row r="44" spans="1:30" ht="19.5" customHeight="1" thickBot="1" x14ac:dyDescent="0.65">
      <c r="G44" s="231"/>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row>
    <row r="45" spans="1:30" ht="19.5" customHeight="1" x14ac:dyDescent="0.4">
      <c r="E45" s="988" t="s">
        <v>68</v>
      </c>
      <c r="F45" s="989"/>
      <c r="G45" s="997" t="s">
        <v>69</v>
      </c>
      <c r="H45" s="998"/>
      <c r="I45" s="998"/>
      <c r="J45" s="998"/>
      <c r="K45" s="998"/>
      <c r="L45" s="998"/>
      <c r="M45" s="998"/>
      <c r="N45" s="998"/>
      <c r="O45" s="998"/>
      <c r="P45" s="998"/>
      <c r="Q45" s="998"/>
      <c r="R45" s="998"/>
      <c r="S45" s="998"/>
      <c r="T45" s="998"/>
      <c r="U45" s="998"/>
      <c r="V45" s="998"/>
      <c r="W45" s="998"/>
      <c r="X45" s="998"/>
      <c r="Y45" s="998"/>
      <c r="Z45" s="998"/>
      <c r="AA45" s="998"/>
      <c r="AB45" s="998"/>
      <c r="AC45" s="998"/>
      <c r="AD45" s="999"/>
    </row>
    <row r="46" spans="1:30" ht="19.5" customHeight="1" x14ac:dyDescent="0.4">
      <c r="E46" s="990"/>
      <c r="F46" s="991"/>
      <c r="G46" s="1000"/>
      <c r="H46" s="1001"/>
      <c r="I46" s="1001"/>
      <c r="J46" s="1001"/>
      <c r="K46" s="1001"/>
      <c r="L46" s="1001"/>
      <c r="M46" s="1001"/>
      <c r="N46" s="1001"/>
      <c r="O46" s="1001"/>
      <c r="P46" s="1001"/>
      <c r="Q46" s="1001"/>
      <c r="R46" s="1001"/>
      <c r="S46" s="1001"/>
      <c r="T46" s="1001"/>
      <c r="U46" s="1001"/>
      <c r="V46" s="1001"/>
      <c r="W46" s="1001"/>
      <c r="X46" s="1001"/>
      <c r="Y46" s="1001"/>
      <c r="Z46" s="1001"/>
      <c r="AA46" s="1001"/>
      <c r="AB46" s="1001"/>
      <c r="AC46" s="1001"/>
      <c r="AD46" s="1002"/>
    </row>
    <row r="47" spans="1:30" ht="19.5" customHeight="1" x14ac:dyDescent="0.4">
      <c r="E47" s="990"/>
      <c r="F47" s="991"/>
      <c r="G47" s="1000"/>
      <c r="H47" s="1001"/>
      <c r="I47" s="1001"/>
      <c r="J47" s="1001"/>
      <c r="K47" s="1001"/>
      <c r="L47" s="1001"/>
      <c r="M47" s="1001"/>
      <c r="N47" s="1001"/>
      <c r="O47" s="1001"/>
      <c r="P47" s="1001"/>
      <c r="Q47" s="1001"/>
      <c r="R47" s="1001"/>
      <c r="S47" s="1001"/>
      <c r="T47" s="1001"/>
      <c r="U47" s="1001"/>
      <c r="V47" s="1001"/>
      <c r="W47" s="1001"/>
      <c r="X47" s="1001"/>
      <c r="Y47" s="1001"/>
      <c r="Z47" s="1001"/>
      <c r="AA47" s="1001"/>
      <c r="AB47" s="1001"/>
      <c r="AC47" s="1001"/>
      <c r="AD47" s="1002"/>
    </row>
    <row r="48" spans="1:30" ht="19.5" customHeight="1" x14ac:dyDescent="0.4">
      <c r="E48" s="990"/>
      <c r="F48" s="991"/>
      <c r="G48" s="1000"/>
      <c r="H48" s="1001"/>
      <c r="I48" s="1001"/>
      <c r="J48" s="1001"/>
      <c r="K48" s="1001"/>
      <c r="L48" s="1001"/>
      <c r="M48" s="1001"/>
      <c r="N48" s="1001"/>
      <c r="O48" s="1001"/>
      <c r="P48" s="1001"/>
      <c r="Q48" s="1001"/>
      <c r="R48" s="1001"/>
      <c r="S48" s="1001"/>
      <c r="T48" s="1001"/>
      <c r="U48" s="1001"/>
      <c r="V48" s="1001"/>
      <c r="W48" s="1001"/>
      <c r="X48" s="1001"/>
      <c r="Y48" s="1001"/>
      <c r="Z48" s="1001"/>
      <c r="AA48" s="1001"/>
      <c r="AB48" s="1001"/>
      <c r="AC48" s="1001"/>
      <c r="AD48" s="1002"/>
    </row>
    <row r="49" spans="5:30" ht="19.5" customHeight="1" x14ac:dyDescent="0.4">
      <c r="E49" s="990"/>
      <c r="F49" s="991"/>
      <c r="G49" s="1000"/>
      <c r="H49" s="1001"/>
      <c r="I49" s="1001"/>
      <c r="J49" s="1001"/>
      <c r="K49" s="1001"/>
      <c r="L49" s="1001"/>
      <c r="M49" s="1001"/>
      <c r="N49" s="1001"/>
      <c r="O49" s="1001"/>
      <c r="P49" s="1001"/>
      <c r="Q49" s="1001"/>
      <c r="R49" s="1001"/>
      <c r="S49" s="1001"/>
      <c r="T49" s="1001"/>
      <c r="U49" s="1001"/>
      <c r="V49" s="1001"/>
      <c r="W49" s="1001"/>
      <c r="X49" s="1001"/>
      <c r="Y49" s="1001"/>
      <c r="Z49" s="1001"/>
      <c r="AA49" s="1001"/>
      <c r="AB49" s="1001"/>
      <c r="AC49" s="1001"/>
      <c r="AD49" s="1002"/>
    </row>
    <row r="50" spans="5:30" ht="19.5" customHeight="1" thickBot="1" x14ac:dyDescent="0.45">
      <c r="E50" s="992"/>
      <c r="F50" s="993"/>
      <c r="G50" s="1003"/>
      <c r="H50" s="1004"/>
      <c r="I50" s="1004"/>
      <c r="J50" s="1004"/>
      <c r="K50" s="1004"/>
      <c r="L50" s="1004"/>
      <c r="M50" s="1004"/>
      <c r="N50" s="1004"/>
      <c r="O50" s="1004"/>
      <c r="P50" s="1004"/>
      <c r="Q50" s="1004"/>
      <c r="R50" s="1004"/>
      <c r="S50" s="1004"/>
      <c r="T50" s="1004"/>
      <c r="U50" s="1004"/>
      <c r="V50" s="1004"/>
      <c r="W50" s="1004"/>
      <c r="X50" s="1004"/>
      <c r="Y50" s="1004"/>
      <c r="Z50" s="1004"/>
      <c r="AA50" s="1004"/>
      <c r="AB50" s="1004"/>
      <c r="AC50" s="1004"/>
      <c r="AD50" s="1005"/>
    </row>
    <row r="51" spans="5:30" ht="19.5" customHeight="1" thickBot="1" x14ac:dyDescent="0.65">
      <c r="G51" s="231"/>
      <c r="H51" s="231"/>
      <c r="I51" s="231"/>
      <c r="J51" s="231"/>
      <c r="K51" s="231"/>
      <c r="L51" s="231"/>
      <c r="M51" s="231"/>
      <c r="N51" s="231"/>
      <c r="O51" s="231"/>
      <c r="P51" s="231"/>
      <c r="Q51" s="231"/>
      <c r="R51" s="231"/>
      <c r="S51" s="231"/>
      <c r="T51" s="231"/>
      <c r="U51" s="231"/>
      <c r="V51" s="231"/>
      <c r="W51" s="231"/>
      <c r="X51" s="231"/>
      <c r="Y51" s="231"/>
      <c r="Z51" s="231"/>
      <c r="AA51" s="231"/>
      <c r="AB51" s="231"/>
      <c r="AC51" s="231"/>
      <c r="AD51" s="231"/>
    </row>
    <row r="52" spans="5:30" ht="19.5" customHeight="1" x14ac:dyDescent="0.4">
      <c r="E52" s="988" t="s">
        <v>70</v>
      </c>
      <c r="F52" s="989"/>
      <c r="G52" s="997" t="s">
        <v>71</v>
      </c>
      <c r="H52" s="998"/>
      <c r="I52" s="998"/>
      <c r="J52" s="998"/>
      <c r="K52" s="998"/>
      <c r="L52" s="998"/>
      <c r="M52" s="998"/>
      <c r="N52" s="998"/>
      <c r="O52" s="998"/>
      <c r="P52" s="998"/>
      <c r="Q52" s="998"/>
      <c r="R52" s="998"/>
      <c r="S52" s="998"/>
      <c r="T52" s="998"/>
      <c r="U52" s="998"/>
      <c r="V52" s="998"/>
      <c r="W52" s="998"/>
      <c r="X52" s="998"/>
      <c r="Y52" s="998"/>
      <c r="Z52" s="998"/>
      <c r="AA52" s="998"/>
      <c r="AB52" s="998"/>
      <c r="AC52" s="998"/>
      <c r="AD52" s="999"/>
    </row>
    <row r="53" spans="5:30" ht="19.5" customHeight="1" x14ac:dyDescent="0.4">
      <c r="E53" s="990"/>
      <c r="F53" s="991"/>
      <c r="G53" s="1000"/>
      <c r="H53" s="1001"/>
      <c r="I53" s="1001"/>
      <c r="J53" s="1001"/>
      <c r="K53" s="1001"/>
      <c r="L53" s="1001"/>
      <c r="M53" s="1001"/>
      <c r="N53" s="1001"/>
      <c r="O53" s="1001"/>
      <c r="P53" s="1001"/>
      <c r="Q53" s="1001"/>
      <c r="R53" s="1001"/>
      <c r="S53" s="1001"/>
      <c r="T53" s="1001"/>
      <c r="U53" s="1001"/>
      <c r="V53" s="1001"/>
      <c r="W53" s="1001"/>
      <c r="X53" s="1001"/>
      <c r="Y53" s="1001"/>
      <c r="Z53" s="1001"/>
      <c r="AA53" s="1001"/>
      <c r="AB53" s="1001"/>
      <c r="AC53" s="1001"/>
      <c r="AD53" s="1002"/>
    </row>
    <row r="54" spans="5:30" ht="19.5" customHeight="1" x14ac:dyDescent="0.4">
      <c r="E54" s="990"/>
      <c r="F54" s="991"/>
      <c r="G54" s="1000"/>
      <c r="H54" s="1001"/>
      <c r="I54" s="1001"/>
      <c r="J54" s="1001"/>
      <c r="K54" s="1001"/>
      <c r="L54" s="1001"/>
      <c r="M54" s="1001"/>
      <c r="N54" s="1001"/>
      <c r="O54" s="1001"/>
      <c r="P54" s="1001"/>
      <c r="Q54" s="1001"/>
      <c r="R54" s="1001"/>
      <c r="S54" s="1001"/>
      <c r="T54" s="1001"/>
      <c r="U54" s="1001"/>
      <c r="V54" s="1001"/>
      <c r="W54" s="1001"/>
      <c r="X54" s="1001"/>
      <c r="Y54" s="1001"/>
      <c r="Z54" s="1001"/>
      <c r="AA54" s="1001"/>
      <c r="AB54" s="1001"/>
      <c r="AC54" s="1001"/>
      <c r="AD54" s="1002"/>
    </row>
    <row r="55" spans="5:30" ht="19.5" customHeight="1" x14ac:dyDescent="0.4">
      <c r="E55" s="990"/>
      <c r="F55" s="991"/>
      <c r="G55" s="1000"/>
      <c r="H55" s="1001"/>
      <c r="I55" s="1001"/>
      <c r="J55" s="1001"/>
      <c r="K55" s="1001"/>
      <c r="L55" s="1001"/>
      <c r="M55" s="1001"/>
      <c r="N55" s="1001"/>
      <c r="O55" s="1001"/>
      <c r="P55" s="1001"/>
      <c r="Q55" s="1001"/>
      <c r="R55" s="1001"/>
      <c r="S55" s="1001"/>
      <c r="T55" s="1001"/>
      <c r="U55" s="1001"/>
      <c r="V55" s="1001"/>
      <c r="W55" s="1001"/>
      <c r="X55" s="1001"/>
      <c r="Y55" s="1001"/>
      <c r="Z55" s="1001"/>
      <c r="AA55" s="1001"/>
      <c r="AB55" s="1001"/>
      <c r="AC55" s="1001"/>
      <c r="AD55" s="1002"/>
    </row>
    <row r="56" spans="5:30" ht="19.5" customHeight="1" x14ac:dyDescent="0.4">
      <c r="E56" s="990"/>
      <c r="F56" s="991"/>
      <c r="G56" s="1000"/>
      <c r="H56" s="1001"/>
      <c r="I56" s="1001"/>
      <c r="J56" s="1001"/>
      <c r="K56" s="1001"/>
      <c r="L56" s="1001"/>
      <c r="M56" s="1001"/>
      <c r="N56" s="1001"/>
      <c r="O56" s="1001"/>
      <c r="P56" s="1001"/>
      <c r="Q56" s="1001"/>
      <c r="R56" s="1001"/>
      <c r="S56" s="1001"/>
      <c r="T56" s="1001"/>
      <c r="U56" s="1001"/>
      <c r="V56" s="1001"/>
      <c r="W56" s="1001"/>
      <c r="X56" s="1001"/>
      <c r="Y56" s="1001"/>
      <c r="Z56" s="1001"/>
      <c r="AA56" s="1001"/>
      <c r="AB56" s="1001"/>
      <c r="AC56" s="1001"/>
      <c r="AD56" s="1002"/>
    </row>
    <row r="57" spans="5:30" ht="19.5" customHeight="1" thickBot="1" x14ac:dyDescent="0.45">
      <c r="E57" s="992"/>
      <c r="F57" s="993"/>
      <c r="G57" s="1003"/>
      <c r="H57" s="1004"/>
      <c r="I57" s="1004"/>
      <c r="J57" s="1004"/>
      <c r="K57" s="1004"/>
      <c r="L57" s="1004"/>
      <c r="M57" s="1004"/>
      <c r="N57" s="1004"/>
      <c r="O57" s="1004"/>
      <c r="P57" s="1004"/>
      <c r="Q57" s="1004"/>
      <c r="R57" s="1004"/>
      <c r="S57" s="1004"/>
      <c r="T57" s="1004"/>
      <c r="U57" s="1004"/>
      <c r="V57" s="1004"/>
      <c r="W57" s="1004"/>
      <c r="X57" s="1004"/>
      <c r="Y57" s="1004"/>
      <c r="Z57" s="1004"/>
      <c r="AA57" s="1004"/>
      <c r="AB57" s="1004"/>
      <c r="AC57" s="1004"/>
      <c r="AD57" s="1005"/>
    </row>
    <row r="58" spans="5:30" ht="19.5" customHeight="1" thickBot="1" x14ac:dyDescent="0.65">
      <c r="G58" s="231"/>
      <c r="H58" s="231"/>
      <c r="I58" s="231"/>
      <c r="J58" s="231"/>
      <c r="K58" s="231"/>
      <c r="L58" s="231"/>
      <c r="M58" s="231"/>
      <c r="N58" s="231"/>
      <c r="O58" s="231"/>
      <c r="P58" s="231"/>
      <c r="Q58" s="231"/>
      <c r="R58" s="231"/>
      <c r="S58" s="231"/>
      <c r="T58" s="231"/>
      <c r="U58" s="231"/>
      <c r="V58" s="231"/>
      <c r="W58" s="231"/>
      <c r="X58" s="231"/>
      <c r="Y58" s="231"/>
      <c r="Z58" s="231"/>
      <c r="AA58" s="231"/>
      <c r="AB58" s="231"/>
      <c r="AC58" s="231"/>
      <c r="AD58" s="231"/>
    </row>
    <row r="59" spans="5:30" ht="19.5" customHeight="1" x14ac:dyDescent="0.4">
      <c r="E59" s="988" t="s">
        <v>72</v>
      </c>
      <c r="F59" s="989"/>
      <c r="G59" s="1008" t="s">
        <v>73</v>
      </c>
      <c r="H59" s="998"/>
      <c r="I59" s="998"/>
      <c r="J59" s="998"/>
      <c r="K59" s="998"/>
      <c r="L59" s="998"/>
      <c r="M59" s="998"/>
      <c r="N59" s="998"/>
      <c r="O59" s="998"/>
      <c r="P59" s="998"/>
      <c r="Q59" s="998"/>
      <c r="R59" s="998"/>
      <c r="S59" s="998"/>
      <c r="T59" s="998"/>
      <c r="U59" s="998"/>
      <c r="V59" s="998"/>
      <c r="W59" s="998"/>
      <c r="X59" s="998"/>
      <c r="Y59" s="998"/>
      <c r="Z59" s="998"/>
      <c r="AA59" s="998"/>
      <c r="AB59" s="998"/>
      <c r="AC59" s="998"/>
      <c r="AD59" s="999"/>
    </row>
    <row r="60" spans="5:30" ht="19.5" customHeight="1" x14ac:dyDescent="0.4">
      <c r="E60" s="990"/>
      <c r="F60" s="991"/>
      <c r="G60" s="1000"/>
      <c r="H60" s="1001"/>
      <c r="I60" s="1001"/>
      <c r="J60" s="1001"/>
      <c r="K60" s="1001"/>
      <c r="L60" s="1001"/>
      <c r="M60" s="1001"/>
      <c r="N60" s="1001"/>
      <c r="O60" s="1001"/>
      <c r="P60" s="1001"/>
      <c r="Q60" s="1001"/>
      <c r="R60" s="1001"/>
      <c r="S60" s="1001"/>
      <c r="T60" s="1001"/>
      <c r="U60" s="1001"/>
      <c r="V60" s="1001"/>
      <c r="W60" s="1001"/>
      <c r="X60" s="1001"/>
      <c r="Y60" s="1001"/>
      <c r="Z60" s="1001"/>
      <c r="AA60" s="1001"/>
      <c r="AB60" s="1001"/>
      <c r="AC60" s="1001"/>
      <c r="AD60" s="1002"/>
    </row>
    <row r="61" spans="5:30" ht="19.5" customHeight="1" x14ac:dyDescent="0.4">
      <c r="E61" s="990"/>
      <c r="F61" s="991"/>
      <c r="G61" s="1000"/>
      <c r="H61" s="1001"/>
      <c r="I61" s="1001"/>
      <c r="J61" s="1001"/>
      <c r="K61" s="1001"/>
      <c r="L61" s="1001"/>
      <c r="M61" s="1001"/>
      <c r="N61" s="1001"/>
      <c r="O61" s="1001"/>
      <c r="P61" s="1001"/>
      <c r="Q61" s="1001"/>
      <c r="R61" s="1001"/>
      <c r="S61" s="1001"/>
      <c r="T61" s="1001"/>
      <c r="U61" s="1001"/>
      <c r="V61" s="1001"/>
      <c r="W61" s="1001"/>
      <c r="X61" s="1001"/>
      <c r="Y61" s="1001"/>
      <c r="Z61" s="1001"/>
      <c r="AA61" s="1001"/>
      <c r="AB61" s="1001"/>
      <c r="AC61" s="1001"/>
      <c r="AD61" s="1002"/>
    </row>
    <row r="62" spans="5:30" ht="19.5" customHeight="1" x14ac:dyDescent="0.4">
      <c r="E62" s="990"/>
      <c r="F62" s="991"/>
      <c r="G62" s="1000"/>
      <c r="H62" s="1001"/>
      <c r="I62" s="1001"/>
      <c r="J62" s="1001"/>
      <c r="K62" s="1001"/>
      <c r="L62" s="1001"/>
      <c r="M62" s="1001"/>
      <c r="N62" s="1001"/>
      <c r="O62" s="1001"/>
      <c r="P62" s="1001"/>
      <c r="Q62" s="1001"/>
      <c r="R62" s="1001"/>
      <c r="S62" s="1001"/>
      <c r="T62" s="1001"/>
      <c r="U62" s="1001"/>
      <c r="V62" s="1001"/>
      <c r="W62" s="1001"/>
      <c r="X62" s="1001"/>
      <c r="Y62" s="1001"/>
      <c r="Z62" s="1001"/>
      <c r="AA62" s="1001"/>
      <c r="AB62" s="1001"/>
      <c r="AC62" s="1001"/>
      <c r="AD62" s="1002"/>
    </row>
    <row r="63" spans="5:30" ht="19.5" customHeight="1" x14ac:dyDescent="0.4">
      <c r="E63" s="990"/>
      <c r="F63" s="991"/>
      <c r="G63" s="1000"/>
      <c r="H63" s="1001"/>
      <c r="I63" s="1001"/>
      <c r="J63" s="1001"/>
      <c r="K63" s="1001"/>
      <c r="L63" s="1001"/>
      <c r="M63" s="1001"/>
      <c r="N63" s="1001"/>
      <c r="O63" s="1001"/>
      <c r="P63" s="1001"/>
      <c r="Q63" s="1001"/>
      <c r="R63" s="1001"/>
      <c r="S63" s="1001"/>
      <c r="T63" s="1001"/>
      <c r="U63" s="1001"/>
      <c r="V63" s="1001"/>
      <c r="W63" s="1001"/>
      <c r="X63" s="1001"/>
      <c r="Y63" s="1001"/>
      <c r="Z63" s="1001"/>
      <c r="AA63" s="1001"/>
      <c r="AB63" s="1001"/>
      <c r="AC63" s="1001"/>
      <c r="AD63" s="1002"/>
    </row>
    <row r="64" spans="5:30" ht="19.5" customHeight="1" x14ac:dyDescent="0.4">
      <c r="E64" s="990"/>
      <c r="F64" s="991"/>
      <c r="G64" s="1000"/>
      <c r="H64" s="1001"/>
      <c r="I64" s="1001"/>
      <c r="J64" s="1001"/>
      <c r="K64" s="1001"/>
      <c r="L64" s="1001"/>
      <c r="M64" s="1001"/>
      <c r="N64" s="1001"/>
      <c r="O64" s="1001"/>
      <c r="P64" s="1001"/>
      <c r="Q64" s="1001"/>
      <c r="R64" s="1001"/>
      <c r="S64" s="1001"/>
      <c r="T64" s="1001"/>
      <c r="U64" s="1001"/>
      <c r="V64" s="1001"/>
      <c r="W64" s="1001"/>
      <c r="X64" s="1001"/>
      <c r="Y64" s="1001"/>
      <c r="Z64" s="1001"/>
      <c r="AA64" s="1001"/>
      <c r="AB64" s="1001"/>
      <c r="AC64" s="1001"/>
      <c r="AD64" s="1002"/>
    </row>
    <row r="65" spans="5:30" ht="19.5" customHeight="1" thickBot="1" x14ac:dyDescent="0.45">
      <c r="E65" s="992"/>
      <c r="F65" s="993"/>
      <c r="G65" s="1003"/>
      <c r="H65" s="1004"/>
      <c r="I65" s="1004"/>
      <c r="J65" s="1004"/>
      <c r="K65" s="1004"/>
      <c r="L65" s="1004"/>
      <c r="M65" s="1004"/>
      <c r="N65" s="1004"/>
      <c r="O65" s="1004"/>
      <c r="P65" s="1004"/>
      <c r="Q65" s="1004"/>
      <c r="R65" s="1004"/>
      <c r="S65" s="1004"/>
      <c r="T65" s="1004"/>
      <c r="U65" s="1004"/>
      <c r="V65" s="1004"/>
      <c r="W65" s="1004"/>
      <c r="X65" s="1004"/>
      <c r="Y65" s="1004"/>
      <c r="Z65" s="1004"/>
      <c r="AA65" s="1004"/>
      <c r="AB65" s="1004"/>
      <c r="AC65" s="1004"/>
      <c r="AD65" s="1005"/>
    </row>
    <row r="66" spans="5:30" ht="19.5" customHeight="1" x14ac:dyDescent="0.4">
      <c r="E66" s="221"/>
      <c r="F66" s="221"/>
      <c r="G66" s="227"/>
      <c r="H66" s="227"/>
      <c r="I66" s="227"/>
      <c r="J66" s="227"/>
      <c r="K66" s="227"/>
      <c r="L66" s="227"/>
      <c r="M66" s="227"/>
      <c r="N66" s="227"/>
      <c r="O66" s="227"/>
      <c r="P66" s="227"/>
      <c r="Q66" s="227"/>
      <c r="R66" s="227"/>
      <c r="S66" s="227"/>
      <c r="T66" s="227"/>
    </row>
  </sheetData>
  <sheetProtection sheet="1" objects="1" scenarios="1"/>
  <mergeCells count="13">
    <mergeCell ref="E59:F65"/>
    <mergeCell ref="G59:AD65"/>
    <mergeCell ref="G38:AD43"/>
    <mergeCell ref="G45:AD50"/>
    <mergeCell ref="G52:AD57"/>
    <mergeCell ref="E38:F43"/>
    <mergeCell ref="E45:F50"/>
    <mergeCell ref="E52:F57"/>
    <mergeCell ref="A2:B2"/>
    <mergeCell ref="E31:F36"/>
    <mergeCell ref="F2:AA2"/>
    <mergeCell ref="G31:AD36"/>
    <mergeCell ref="AB2:AC2"/>
  </mergeCells>
  <pageMargins left="0.78740157480314965" right="0.59055118110236227" top="0.59055118110236227" bottom="0" header="0.31496062992125984" footer="0.31496062992125984"/>
  <pageSetup paperSize="9" scale="38" orientation="portrait" horizontalDpi="4294967293" r:id="rId1"/>
  <headerFooter alignWithMargins="0">
    <oddFooter>&amp;R© www.meesterharrie.nl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CCFF"/>
    <pageSetUpPr fitToPage="1"/>
  </sheetPr>
  <dimension ref="A1:AD67"/>
  <sheetViews>
    <sheetView showGridLines="0" showRowColHeaders="0" zoomScale="50" zoomScaleNormal="50" workbookViewId="0"/>
  </sheetViews>
  <sheetFormatPr defaultColWidth="9.140625" defaultRowHeight="19.5" x14ac:dyDescent="0.4"/>
  <cols>
    <col min="1" max="1" width="6.140625" style="47" bestFit="1" customWidth="1"/>
    <col min="2" max="2" width="30.85546875" style="48" customWidth="1"/>
    <col min="3" max="3" width="4" style="47" customWidth="1"/>
    <col min="4" max="25" width="8.85546875" style="47" customWidth="1"/>
    <col min="26" max="16384" width="9.140625" style="47"/>
  </cols>
  <sheetData>
    <row r="1" spans="1:30" ht="20.25" thickBot="1" x14ac:dyDescent="0.45"/>
    <row r="2" spans="1:30" s="46" customFormat="1" ht="32.25" thickBot="1" x14ac:dyDescent="0.55000000000000004">
      <c r="A2" s="986" t="s">
        <v>55</v>
      </c>
      <c r="B2" s="987"/>
      <c r="D2" s="226"/>
      <c r="E2" s="230">
        <v>13</v>
      </c>
      <c r="F2" s="994" t="str">
        <f>VLOOKUP($E$2,BEGINBLAD!B4:C39,2)</f>
        <v>leerling 13</v>
      </c>
      <c r="G2" s="995"/>
      <c r="H2" s="995"/>
      <c r="I2" s="995"/>
      <c r="J2" s="995"/>
      <c r="K2" s="995"/>
      <c r="L2" s="995"/>
      <c r="M2" s="995"/>
      <c r="N2" s="995"/>
      <c r="O2" s="995"/>
      <c r="P2" s="995"/>
      <c r="Q2" s="995"/>
      <c r="R2" s="995"/>
      <c r="S2" s="995"/>
      <c r="T2" s="995"/>
      <c r="U2" s="995"/>
      <c r="V2" s="995"/>
      <c r="W2" s="995"/>
      <c r="X2" s="995"/>
      <c r="Y2" s="995"/>
      <c r="Z2" s="995"/>
      <c r="AA2" s="996"/>
      <c r="AB2" s="1006" t="s">
        <v>56</v>
      </c>
      <c r="AC2" s="1007"/>
      <c r="AD2" s="643">
        <f>VLOOKUP($E$2,BEGINBLAD!B4:D39,3)</f>
        <v>0</v>
      </c>
    </row>
    <row r="3" spans="1:30" ht="50.1" customHeight="1" x14ac:dyDescent="0.4"/>
    <row r="4" spans="1:30" ht="19.5" customHeight="1" x14ac:dyDescent="0.4">
      <c r="A4" s="172">
        <v>1</v>
      </c>
      <c r="B4" s="173" t="str">
        <f>BEGINBLAD!C4</f>
        <v>leelring 1</v>
      </c>
    </row>
    <row r="5" spans="1:30" x14ac:dyDescent="0.4">
      <c r="A5" s="172">
        <v>2</v>
      </c>
      <c r="B5" s="173" t="str">
        <f>BEGINBLAD!C5</f>
        <v>leerling 2</v>
      </c>
      <c r="D5" s="56"/>
      <c r="E5" s="56"/>
    </row>
    <row r="6" spans="1:30" x14ac:dyDescent="0.4">
      <c r="A6" s="172">
        <v>3</v>
      </c>
      <c r="B6" s="173" t="str">
        <f>BEGINBLAD!C6</f>
        <v>leerling 3</v>
      </c>
      <c r="D6" s="56"/>
      <c r="E6" s="56"/>
    </row>
    <row r="7" spans="1:30" x14ac:dyDescent="0.4">
      <c r="A7" s="172">
        <v>4</v>
      </c>
      <c r="B7" s="173" t="str">
        <f>BEGINBLAD!C7</f>
        <v>leerling 4</v>
      </c>
      <c r="E7" s="49"/>
      <c r="F7" s="49"/>
      <c r="G7" s="49"/>
      <c r="H7" s="49"/>
      <c r="I7" s="49"/>
      <c r="J7" s="49"/>
      <c r="K7" s="49"/>
      <c r="L7" s="49"/>
      <c r="M7" s="49"/>
      <c r="N7" s="49"/>
      <c r="O7" s="49"/>
      <c r="P7" s="49"/>
      <c r="Q7" s="49"/>
      <c r="R7" s="49"/>
    </row>
    <row r="8" spans="1:30" x14ac:dyDescent="0.4">
      <c r="A8" s="172">
        <v>5</v>
      </c>
      <c r="B8" s="173" t="str">
        <f>BEGINBLAD!C8</f>
        <v>leerling 5</v>
      </c>
      <c r="E8" s="49"/>
      <c r="F8" s="49"/>
      <c r="G8" s="49"/>
      <c r="H8" s="49"/>
      <c r="I8" s="49"/>
      <c r="J8" s="49"/>
      <c r="K8" s="49"/>
      <c r="L8" s="49"/>
      <c r="M8" s="49"/>
      <c r="N8" s="49"/>
      <c r="O8" s="49"/>
      <c r="P8" s="49"/>
      <c r="Q8" s="49"/>
      <c r="R8" s="49"/>
    </row>
    <row r="9" spans="1:30" x14ac:dyDescent="0.4">
      <c r="A9" s="172">
        <v>6</v>
      </c>
      <c r="B9" s="173" t="str">
        <f>BEGINBLAD!C9</f>
        <v>leerling 6</v>
      </c>
      <c r="E9" s="49"/>
      <c r="F9" s="49"/>
      <c r="G9" s="49"/>
      <c r="H9" s="49"/>
      <c r="I9" s="49"/>
      <c r="J9" s="49"/>
      <c r="K9" s="49"/>
      <c r="L9" s="49"/>
      <c r="M9" s="49"/>
      <c r="N9" s="49"/>
      <c r="O9" s="49"/>
      <c r="P9" s="49"/>
      <c r="Q9" s="49"/>
      <c r="R9" s="49"/>
    </row>
    <row r="10" spans="1:30" x14ac:dyDescent="0.4">
      <c r="A10" s="172">
        <v>7</v>
      </c>
      <c r="B10" s="173" t="str">
        <f>BEGINBLAD!C10</f>
        <v>leerling 7</v>
      </c>
      <c r="E10" s="49"/>
      <c r="F10" s="49"/>
      <c r="G10" s="49"/>
      <c r="H10" s="49"/>
      <c r="I10" s="49"/>
      <c r="J10" s="49"/>
      <c r="K10" s="49"/>
      <c r="L10" s="49"/>
      <c r="M10" s="49"/>
      <c r="N10" s="49"/>
      <c r="O10" s="49"/>
      <c r="P10" s="49"/>
      <c r="Q10" s="49"/>
      <c r="R10" s="49"/>
    </row>
    <row r="11" spans="1:30" x14ac:dyDescent="0.4">
      <c r="A11" s="172">
        <v>8</v>
      </c>
      <c r="B11" s="173" t="str">
        <f>BEGINBLAD!C11</f>
        <v>leerling 8</v>
      </c>
      <c r="E11" s="49"/>
      <c r="F11" s="49"/>
      <c r="G11" s="49"/>
      <c r="H11" s="49"/>
      <c r="I11" s="49"/>
      <c r="J11" s="49"/>
      <c r="K11" s="49"/>
      <c r="L11" s="49"/>
      <c r="M11" s="49"/>
      <c r="N11" s="49"/>
      <c r="O11" s="49"/>
      <c r="P11" s="49"/>
      <c r="Q11" s="49"/>
      <c r="R11" s="49"/>
    </row>
    <row r="12" spans="1:30" x14ac:dyDescent="0.4">
      <c r="A12" s="172">
        <v>9</v>
      </c>
      <c r="B12" s="173" t="str">
        <f>BEGINBLAD!C12</f>
        <v>leerling 9</v>
      </c>
      <c r="E12" s="49"/>
      <c r="F12" s="49"/>
      <c r="G12" s="49"/>
      <c r="H12" s="215" t="s">
        <v>57</v>
      </c>
      <c r="I12" s="216" t="s">
        <v>74</v>
      </c>
      <c r="J12" s="217" t="s">
        <v>58</v>
      </c>
      <c r="K12" s="215" t="s">
        <v>59</v>
      </c>
      <c r="L12" s="216" t="s">
        <v>75</v>
      </c>
      <c r="M12" s="217" t="s">
        <v>58</v>
      </c>
      <c r="N12" s="215" t="s">
        <v>60</v>
      </c>
      <c r="O12" s="216" t="s">
        <v>76</v>
      </c>
      <c r="P12" s="217" t="s">
        <v>58</v>
      </c>
      <c r="Q12" s="215" t="s">
        <v>61</v>
      </c>
      <c r="R12" s="216" t="s">
        <v>77</v>
      </c>
      <c r="S12" s="217" t="s">
        <v>58</v>
      </c>
      <c r="T12" s="215" t="s">
        <v>62</v>
      </c>
      <c r="U12" s="216" t="s">
        <v>78</v>
      </c>
      <c r="V12" s="217" t="s">
        <v>58</v>
      </c>
      <c r="W12" s="48" t="s">
        <v>63</v>
      </c>
      <c r="X12" s="48"/>
    </row>
    <row r="13" spans="1:30" x14ac:dyDescent="0.4">
      <c r="A13" s="172">
        <v>10</v>
      </c>
      <c r="B13" s="173" t="str">
        <f>BEGINBLAD!C13</f>
        <v>leerling 10</v>
      </c>
      <c r="E13" s="57"/>
      <c r="F13" s="57"/>
      <c r="G13" s="57"/>
      <c r="H13" s="210">
        <f>VLOOKUP($E$2,'NIVEAU WAARDE - vorig jaar'!$B$9:$H$44,3)</f>
        <v>3.1</v>
      </c>
      <c r="I13" s="210">
        <f>VLOOKUP($E$2,'NIVEAU WAARDE - 1e toetsperiode'!$B$9:$H$44,3)</f>
        <v>3.8</v>
      </c>
      <c r="J13" s="210">
        <v>5</v>
      </c>
      <c r="K13" s="210">
        <f>VLOOKUP($E$2,'NIVEAU WAARDE - vorig jaar'!$B$9:$H$44,4)</f>
        <v>4.8</v>
      </c>
      <c r="L13" s="210">
        <f>VLOOKUP($E$2,'NIVEAU WAARDE - 1e toetsperiode'!$B$9:$H$44,4)</f>
        <v>4.8</v>
      </c>
      <c r="M13" s="210">
        <v>5</v>
      </c>
      <c r="N13" s="210">
        <f>VLOOKUP($E$2,'NIVEAU WAARDE - vorig jaar'!$B$9:$H$44,5)</f>
        <v>3.2</v>
      </c>
      <c r="O13" s="210">
        <f>VLOOKUP($E$2,'NIVEAU WAARDE - 1e toetsperiode'!$B$9:$H$44,5)</f>
        <v>2</v>
      </c>
      <c r="P13" s="210">
        <v>5</v>
      </c>
      <c r="Q13" s="210">
        <f>VLOOKUP($E$2,'NIVEAU WAARDE - vorig jaar'!$B$9:$H$44,6)</f>
        <v>2.8</v>
      </c>
      <c r="R13" s="210">
        <f>VLOOKUP($E$2,'NIVEAU WAARDE - 1e toetsperiode'!$B$9:$H$44,6)</f>
        <v>2.6</v>
      </c>
      <c r="S13" s="210">
        <v>5</v>
      </c>
      <c r="T13" s="210">
        <f>VLOOKUP($E$2,'NIVEAU WAARDE - vorig jaar'!$B$9:$H$44,7)</f>
        <v>3.1</v>
      </c>
      <c r="U13" s="210">
        <f>VLOOKUP($E$2,'NIVEAU WAARDE - 1e toetsperiode'!$B$9:$H$44,7)</f>
        <v>3.3</v>
      </c>
      <c r="V13" s="211">
        <v>5</v>
      </c>
      <c r="W13" s="213">
        <f>Y13/X13</f>
        <v>3.35</v>
      </c>
      <c r="X13" s="213">
        <f>COUNTIF(H13:V13,"&gt;0")-5</f>
        <v>10</v>
      </c>
      <c r="Y13" s="214">
        <f>H13+I13+K13+L13+N13+O13+Q13+R13+T13+U13</f>
        <v>33.5</v>
      </c>
      <c r="Z13" s="209"/>
    </row>
    <row r="14" spans="1:30" x14ac:dyDescent="0.4">
      <c r="A14" s="172">
        <v>11</v>
      </c>
      <c r="B14" s="173" t="str">
        <f>BEGINBLAD!C14</f>
        <v>leerling 11</v>
      </c>
      <c r="H14" s="48">
        <f>H13*2</f>
        <v>6.2</v>
      </c>
      <c r="I14" s="48">
        <f t="shared" ref="I14:W14" si="0">I13*2</f>
        <v>7.6</v>
      </c>
      <c r="J14" s="48">
        <f t="shared" si="0"/>
        <v>10</v>
      </c>
      <c r="K14" s="48">
        <f t="shared" si="0"/>
        <v>9.6</v>
      </c>
      <c r="L14" s="48">
        <f t="shared" si="0"/>
        <v>9.6</v>
      </c>
      <c r="M14" s="48">
        <f t="shared" si="0"/>
        <v>10</v>
      </c>
      <c r="N14" s="48">
        <f t="shared" si="0"/>
        <v>6.4</v>
      </c>
      <c r="O14" s="48">
        <f t="shared" si="0"/>
        <v>4</v>
      </c>
      <c r="P14" s="48">
        <f t="shared" si="0"/>
        <v>10</v>
      </c>
      <c r="Q14" s="48">
        <f t="shared" si="0"/>
        <v>5.6</v>
      </c>
      <c r="R14" s="48">
        <f t="shared" si="0"/>
        <v>5.2</v>
      </c>
      <c r="S14" s="48">
        <f t="shared" si="0"/>
        <v>10</v>
      </c>
      <c r="T14" s="48">
        <f t="shared" si="0"/>
        <v>6.2</v>
      </c>
      <c r="U14" s="48">
        <f t="shared" si="0"/>
        <v>6.6</v>
      </c>
      <c r="V14" s="48">
        <f t="shared" si="0"/>
        <v>10</v>
      </c>
      <c r="W14" s="214">
        <f t="shared" si="0"/>
        <v>6.7</v>
      </c>
      <c r="X14" s="48"/>
      <c r="Y14" s="48"/>
    </row>
    <row r="15" spans="1:30" x14ac:dyDescent="0.4">
      <c r="A15" s="172">
        <v>12</v>
      </c>
      <c r="B15" s="173" t="str">
        <f>BEGINBLAD!C15</f>
        <v>leerling 12</v>
      </c>
    </row>
    <row r="16" spans="1:30" x14ac:dyDescent="0.4">
      <c r="A16" s="172">
        <v>13</v>
      </c>
      <c r="B16" s="173" t="str">
        <f>BEGINBLAD!C16</f>
        <v>leerling 13</v>
      </c>
      <c r="E16" s="49"/>
      <c r="F16" s="49"/>
      <c r="G16" s="49"/>
      <c r="H16" s="49"/>
      <c r="I16" s="49"/>
      <c r="J16" s="49"/>
      <c r="K16" s="49"/>
      <c r="L16" s="49"/>
      <c r="M16" s="49"/>
      <c r="N16" s="49"/>
      <c r="O16" s="49"/>
      <c r="P16" s="49"/>
      <c r="Q16" s="49"/>
      <c r="R16" s="49"/>
    </row>
    <row r="17" spans="1:30" x14ac:dyDescent="0.4">
      <c r="A17" s="172">
        <v>14</v>
      </c>
      <c r="B17" s="173" t="str">
        <f>BEGINBLAD!C17</f>
        <v>leerling 14</v>
      </c>
      <c r="E17" s="49"/>
      <c r="F17" s="49"/>
      <c r="G17" s="49"/>
      <c r="H17" s="49"/>
      <c r="I17" s="49"/>
      <c r="J17" s="49"/>
      <c r="K17" s="49"/>
      <c r="L17" s="49"/>
      <c r="M17" s="49"/>
      <c r="N17" s="49"/>
      <c r="O17" s="49"/>
      <c r="P17" s="49"/>
      <c r="Q17" s="49"/>
      <c r="R17" s="49"/>
    </row>
    <row r="18" spans="1:30" x14ac:dyDescent="0.4">
      <c r="A18" s="172">
        <v>15</v>
      </c>
      <c r="B18" s="173" t="str">
        <f>BEGINBLAD!C18</f>
        <v>leerling 15</v>
      </c>
      <c r="E18" s="50"/>
      <c r="F18" s="49"/>
      <c r="G18" s="49"/>
      <c r="H18" s="49"/>
      <c r="I18" s="49"/>
      <c r="J18" s="49"/>
      <c r="K18" s="49"/>
      <c r="L18" s="49"/>
      <c r="M18" s="49"/>
      <c r="N18" s="49"/>
      <c r="O18" s="49"/>
      <c r="P18" s="49"/>
      <c r="Q18" s="49"/>
      <c r="R18" s="49"/>
    </row>
    <row r="19" spans="1:30" x14ac:dyDescent="0.4">
      <c r="A19" s="172">
        <v>16</v>
      </c>
      <c r="B19" s="173" t="str">
        <f>BEGINBLAD!C19</f>
        <v>leerling 16</v>
      </c>
      <c r="E19" s="51"/>
      <c r="F19" s="51"/>
      <c r="G19" s="51"/>
      <c r="H19" s="51"/>
      <c r="I19" s="49"/>
      <c r="J19" s="51"/>
      <c r="K19" s="49"/>
      <c r="L19" s="49"/>
      <c r="M19" s="51"/>
      <c r="N19" s="49"/>
      <c r="O19" s="49"/>
      <c r="P19" s="49"/>
      <c r="Q19" s="49"/>
      <c r="R19" s="49"/>
    </row>
    <row r="20" spans="1:30" x14ac:dyDescent="0.4">
      <c r="A20" s="172">
        <v>17</v>
      </c>
      <c r="B20" s="173" t="str">
        <f>BEGINBLAD!C20</f>
        <v>leerling 17</v>
      </c>
      <c r="E20" s="52"/>
      <c r="F20" s="52"/>
      <c r="G20" s="53"/>
      <c r="H20" s="53"/>
      <c r="I20" s="49"/>
      <c r="J20" s="52"/>
      <c r="K20" s="49"/>
      <c r="L20" s="49"/>
      <c r="M20" s="53"/>
      <c r="N20" s="49"/>
      <c r="O20" s="49"/>
      <c r="P20" s="49"/>
      <c r="Q20" s="49"/>
      <c r="R20" s="49"/>
    </row>
    <row r="21" spans="1:30" x14ac:dyDescent="0.4">
      <c r="A21" s="172">
        <v>18</v>
      </c>
      <c r="B21" s="173" t="str">
        <f>BEGINBLAD!C21</f>
        <v>leerling 18</v>
      </c>
      <c r="E21" s="49"/>
      <c r="F21" s="49"/>
      <c r="G21" s="49"/>
      <c r="H21" s="49"/>
      <c r="I21" s="49"/>
      <c r="J21" s="49"/>
      <c r="K21" s="49"/>
      <c r="L21" s="49"/>
      <c r="M21" s="49"/>
      <c r="N21" s="49"/>
      <c r="O21" s="49"/>
      <c r="P21" s="49"/>
      <c r="Q21" s="49"/>
      <c r="R21" s="49"/>
    </row>
    <row r="22" spans="1:30" x14ac:dyDescent="0.4">
      <c r="A22" s="172">
        <v>19</v>
      </c>
      <c r="B22" s="173" t="str">
        <f>BEGINBLAD!C22</f>
        <v>leerling 19</v>
      </c>
      <c r="E22" s="49"/>
      <c r="F22" s="49"/>
      <c r="G22" s="49"/>
      <c r="H22" s="49"/>
      <c r="I22" s="49"/>
      <c r="J22" s="49"/>
      <c r="K22" s="49"/>
      <c r="L22" s="49"/>
      <c r="M22" s="49"/>
      <c r="N22" s="49"/>
      <c r="O22" s="49"/>
      <c r="P22" s="49"/>
      <c r="Q22" s="49"/>
      <c r="R22" s="49"/>
    </row>
    <row r="23" spans="1:30" ht="15" customHeight="1" x14ac:dyDescent="0.4">
      <c r="A23" s="172">
        <v>20</v>
      </c>
      <c r="B23" s="173" t="str">
        <f>BEGINBLAD!C23</f>
        <v>leerling 20</v>
      </c>
    </row>
    <row r="24" spans="1:30" x14ac:dyDescent="0.4">
      <c r="A24" s="172">
        <v>21</v>
      </c>
      <c r="B24" s="173" t="str">
        <f>BEGINBLAD!C24</f>
        <v>leerling 21</v>
      </c>
    </row>
    <row r="25" spans="1:30" x14ac:dyDescent="0.4">
      <c r="A25" s="172">
        <v>22</v>
      </c>
      <c r="B25" s="173" t="str">
        <f>BEGINBLAD!C25</f>
        <v>leerling 22</v>
      </c>
    </row>
    <row r="26" spans="1:30" x14ac:dyDescent="0.4">
      <c r="A26" s="172">
        <v>23</v>
      </c>
      <c r="B26" s="173" t="str">
        <f>BEGINBLAD!C26</f>
        <v>leerling 23</v>
      </c>
    </row>
    <row r="27" spans="1:30" x14ac:dyDescent="0.4">
      <c r="A27" s="172">
        <v>24</v>
      </c>
      <c r="B27" s="173" t="str">
        <f>BEGINBLAD!C27</f>
        <v>leerling 24</v>
      </c>
    </row>
    <row r="28" spans="1:30" ht="15.75" customHeight="1" x14ac:dyDescent="0.4">
      <c r="A28" s="172">
        <v>25</v>
      </c>
      <c r="B28" s="173" t="str">
        <f>BEGINBLAD!C28</f>
        <v>leerling 25</v>
      </c>
    </row>
    <row r="29" spans="1:30" x14ac:dyDescent="0.4">
      <c r="A29" s="172">
        <v>26</v>
      </c>
      <c r="B29" s="173" t="str">
        <f>BEGINBLAD!C29</f>
        <v>leerling 26</v>
      </c>
    </row>
    <row r="30" spans="1:30" ht="20.25" thickBot="1" x14ac:dyDescent="0.45">
      <c r="A30" s="172">
        <v>27</v>
      </c>
      <c r="B30" s="173">
        <f>BEGINBLAD!C30</f>
        <v>0</v>
      </c>
    </row>
    <row r="31" spans="1:30" x14ac:dyDescent="0.4">
      <c r="A31" s="172">
        <v>28</v>
      </c>
      <c r="B31" s="173">
        <f>BEGINBLAD!C31</f>
        <v>0</v>
      </c>
      <c r="E31" s="988" t="s">
        <v>64</v>
      </c>
      <c r="F31" s="989"/>
      <c r="G31" s="1009" t="s">
        <v>65</v>
      </c>
      <c r="H31" s="1010"/>
      <c r="I31" s="1010"/>
      <c r="J31" s="1010"/>
      <c r="K31" s="1010"/>
      <c r="L31" s="1010"/>
      <c r="M31" s="1010"/>
      <c r="N31" s="1010"/>
      <c r="O31" s="1010"/>
      <c r="P31" s="1010"/>
      <c r="Q31" s="1010"/>
      <c r="R31" s="1010"/>
      <c r="S31" s="1010"/>
      <c r="T31" s="1010"/>
      <c r="U31" s="1010"/>
      <c r="V31" s="1010"/>
      <c r="W31" s="1010"/>
      <c r="X31" s="1010"/>
      <c r="Y31" s="1010"/>
      <c r="Z31" s="1010"/>
      <c r="AA31" s="1010"/>
      <c r="AB31" s="1010"/>
      <c r="AC31" s="1010"/>
      <c r="AD31" s="1011"/>
    </row>
    <row r="32" spans="1:30" x14ac:dyDescent="0.4">
      <c r="A32" s="172">
        <v>29</v>
      </c>
      <c r="B32" s="173">
        <f>BEGINBLAD!C32</f>
        <v>0</v>
      </c>
      <c r="E32" s="990"/>
      <c r="F32" s="991"/>
      <c r="G32" s="1012"/>
      <c r="H32" s="1013"/>
      <c r="I32" s="1013"/>
      <c r="J32" s="1013"/>
      <c r="K32" s="1013"/>
      <c r="L32" s="1013"/>
      <c r="M32" s="1013"/>
      <c r="N32" s="1013"/>
      <c r="O32" s="1013"/>
      <c r="P32" s="1013"/>
      <c r="Q32" s="1013"/>
      <c r="R32" s="1013"/>
      <c r="S32" s="1013"/>
      <c r="T32" s="1013"/>
      <c r="U32" s="1013"/>
      <c r="V32" s="1013"/>
      <c r="W32" s="1013"/>
      <c r="X32" s="1013"/>
      <c r="Y32" s="1013"/>
      <c r="Z32" s="1013"/>
      <c r="AA32" s="1013"/>
      <c r="AB32" s="1013"/>
      <c r="AC32" s="1013"/>
      <c r="AD32" s="1014"/>
    </row>
    <row r="33" spans="1:30" x14ac:dyDescent="0.4">
      <c r="A33" s="172">
        <v>30</v>
      </c>
      <c r="B33" s="173">
        <f>BEGINBLAD!C33</f>
        <v>0</v>
      </c>
      <c r="E33" s="990"/>
      <c r="F33" s="991"/>
      <c r="G33" s="1012"/>
      <c r="H33" s="1013"/>
      <c r="I33" s="1013"/>
      <c r="J33" s="1013"/>
      <c r="K33" s="1013"/>
      <c r="L33" s="1013"/>
      <c r="M33" s="1013"/>
      <c r="N33" s="1013"/>
      <c r="O33" s="1013"/>
      <c r="P33" s="1013"/>
      <c r="Q33" s="1013"/>
      <c r="R33" s="1013"/>
      <c r="S33" s="1013"/>
      <c r="T33" s="1013"/>
      <c r="U33" s="1013"/>
      <c r="V33" s="1013"/>
      <c r="W33" s="1013"/>
      <c r="X33" s="1013"/>
      <c r="Y33" s="1013"/>
      <c r="Z33" s="1013"/>
      <c r="AA33" s="1013"/>
      <c r="AB33" s="1013"/>
      <c r="AC33" s="1013"/>
      <c r="AD33" s="1014"/>
    </row>
    <row r="34" spans="1:30" x14ac:dyDescent="0.4">
      <c r="A34" s="172">
        <v>31</v>
      </c>
      <c r="B34" s="173">
        <f>BEGINBLAD!C34</f>
        <v>0</v>
      </c>
      <c r="E34" s="990"/>
      <c r="F34" s="991"/>
      <c r="G34" s="1012"/>
      <c r="H34" s="1013"/>
      <c r="I34" s="1013"/>
      <c r="J34" s="1013"/>
      <c r="K34" s="1013"/>
      <c r="L34" s="1013"/>
      <c r="M34" s="1013"/>
      <c r="N34" s="1013"/>
      <c r="O34" s="1013"/>
      <c r="P34" s="1013"/>
      <c r="Q34" s="1013"/>
      <c r="R34" s="1013"/>
      <c r="S34" s="1013"/>
      <c r="T34" s="1013"/>
      <c r="U34" s="1013"/>
      <c r="V34" s="1013"/>
      <c r="W34" s="1013"/>
      <c r="X34" s="1013"/>
      <c r="Y34" s="1013"/>
      <c r="Z34" s="1013"/>
      <c r="AA34" s="1013"/>
      <c r="AB34" s="1013"/>
      <c r="AC34" s="1013"/>
      <c r="AD34" s="1014"/>
    </row>
    <row r="35" spans="1:30" x14ac:dyDescent="0.4">
      <c r="A35" s="172">
        <v>32</v>
      </c>
      <c r="B35" s="173">
        <f>BEGINBLAD!C35</f>
        <v>0</v>
      </c>
      <c r="E35" s="990"/>
      <c r="F35" s="991"/>
      <c r="G35" s="1012"/>
      <c r="H35" s="1013"/>
      <c r="I35" s="1013"/>
      <c r="J35" s="1013"/>
      <c r="K35" s="1013"/>
      <c r="L35" s="1013"/>
      <c r="M35" s="1013"/>
      <c r="N35" s="1013"/>
      <c r="O35" s="1013"/>
      <c r="P35" s="1013"/>
      <c r="Q35" s="1013"/>
      <c r="R35" s="1013"/>
      <c r="S35" s="1013"/>
      <c r="T35" s="1013"/>
      <c r="U35" s="1013"/>
      <c r="V35" s="1013"/>
      <c r="W35" s="1013"/>
      <c r="X35" s="1013"/>
      <c r="Y35" s="1013"/>
      <c r="Z35" s="1013"/>
      <c r="AA35" s="1013"/>
      <c r="AB35" s="1013"/>
      <c r="AC35" s="1013"/>
      <c r="AD35" s="1014"/>
    </row>
    <row r="36" spans="1:30" ht="20.25" thickBot="1" x14ac:dyDescent="0.45">
      <c r="A36" s="172">
        <v>33</v>
      </c>
      <c r="B36" s="173">
        <f>BEGINBLAD!C36</f>
        <v>0</v>
      </c>
      <c r="E36" s="992"/>
      <c r="F36" s="993"/>
      <c r="G36" s="1015"/>
      <c r="H36" s="1016"/>
      <c r="I36" s="1016"/>
      <c r="J36" s="1016"/>
      <c r="K36" s="1016"/>
      <c r="L36" s="1016"/>
      <c r="M36" s="1016"/>
      <c r="N36" s="1016"/>
      <c r="O36" s="1016"/>
      <c r="P36" s="1016"/>
      <c r="Q36" s="1016"/>
      <c r="R36" s="1016"/>
      <c r="S36" s="1016"/>
      <c r="T36" s="1016"/>
      <c r="U36" s="1016"/>
      <c r="V36" s="1016"/>
      <c r="W36" s="1016"/>
      <c r="X36" s="1016"/>
      <c r="Y36" s="1016"/>
      <c r="Z36" s="1016"/>
      <c r="AA36" s="1016"/>
      <c r="AB36" s="1016"/>
      <c r="AC36" s="1016"/>
      <c r="AD36" s="1017"/>
    </row>
    <row r="37" spans="1:30" ht="19.5" customHeight="1" thickBot="1" x14ac:dyDescent="0.65">
      <c r="A37" s="172">
        <v>34</v>
      </c>
      <c r="B37" s="173">
        <f>BEGINBLAD!C37</f>
        <v>0</v>
      </c>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row>
    <row r="38" spans="1:30" ht="19.5" customHeight="1" x14ac:dyDescent="0.4">
      <c r="A38" s="172">
        <v>35</v>
      </c>
      <c r="B38" s="173">
        <f>BEGINBLAD!C38</f>
        <v>0</v>
      </c>
      <c r="E38" s="988" t="s">
        <v>66</v>
      </c>
      <c r="F38" s="989"/>
      <c r="G38" s="997" t="s">
        <v>67</v>
      </c>
      <c r="H38" s="998"/>
      <c r="I38" s="998"/>
      <c r="J38" s="998"/>
      <c r="K38" s="998"/>
      <c r="L38" s="998"/>
      <c r="M38" s="998"/>
      <c r="N38" s="998"/>
      <c r="O38" s="998"/>
      <c r="P38" s="998"/>
      <c r="Q38" s="998"/>
      <c r="R38" s="998"/>
      <c r="S38" s="998"/>
      <c r="T38" s="998"/>
      <c r="U38" s="998"/>
      <c r="V38" s="998"/>
      <c r="W38" s="998"/>
      <c r="X38" s="998"/>
      <c r="Y38" s="998"/>
      <c r="Z38" s="998"/>
      <c r="AA38" s="998"/>
      <c r="AB38" s="998"/>
      <c r="AC38" s="998"/>
      <c r="AD38" s="999"/>
    </row>
    <row r="39" spans="1:30" ht="19.5" customHeight="1" x14ac:dyDescent="0.4">
      <c r="A39" s="172">
        <v>36</v>
      </c>
      <c r="B39" s="173">
        <f>BEGINBLAD!C39</f>
        <v>0</v>
      </c>
      <c r="E39" s="990"/>
      <c r="F39" s="991"/>
      <c r="G39" s="1000"/>
      <c r="H39" s="1001"/>
      <c r="I39" s="1001"/>
      <c r="J39" s="1001"/>
      <c r="K39" s="1001"/>
      <c r="L39" s="1001"/>
      <c r="M39" s="1001"/>
      <c r="N39" s="1001"/>
      <c r="O39" s="1001"/>
      <c r="P39" s="1001"/>
      <c r="Q39" s="1001"/>
      <c r="R39" s="1001"/>
      <c r="S39" s="1001"/>
      <c r="T39" s="1001"/>
      <c r="U39" s="1001"/>
      <c r="V39" s="1001"/>
      <c r="W39" s="1001"/>
      <c r="X39" s="1001"/>
      <c r="Y39" s="1001"/>
      <c r="Z39" s="1001"/>
      <c r="AA39" s="1001"/>
      <c r="AB39" s="1001"/>
      <c r="AC39" s="1001"/>
      <c r="AD39" s="1002"/>
    </row>
    <row r="40" spans="1:30" ht="19.5" customHeight="1" x14ac:dyDescent="0.4">
      <c r="E40" s="990"/>
      <c r="F40" s="991"/>
      <c r="G40" s="1000"/>
      <c r="H40" s="1001"/>
      <c r="I40" s="1001"/>
      <c r="J40" s="1001"/>
      <c r="K40" s="1001"/>
      <c r="L40" s="1001"/>
      <c r="M40" s="1001"/>
      <c r="N40" s="1001"/>
      <c r="O40" s="1001"/>
      <c r="P40" s="1001"/>
      <c r="Q40" s="1001"/>
      <c r="R40" s="1001"/>
      <c r="S40" s="1001"/>
      <c r="T40" s="1001"/>
      <c r="U40" s="1001"/>
      <c r="V40" s="1001"/>
      <c r="W40" s="1001"/>
      <c r="X40" s="1001"/>
      <c r="Y40" s="1001"/>
      <c r="Z40" s="1001"/>
      <c r="AA40" s="1001"/>
      <c r="AB40" s="1001"/>
      <c r="AC40" s="1001"/>
      <c r="AD40" s="1002"/>
    </row>
    <row r="41" spans="1:30" ht="19.5" customHeight="1" x14ac:dyDescent="0.4">
      <c r="A41" s="54"/>
      <c r="B41" s="55"/>
      <c r="E41" s="990"/>
      <c r="F41" s="991"/>
      <c r="G41" s="1000"/>
      <c r="H41" s="1001"/>
      <c r="I41" s="1001"/>
      <c r="J41" s="1001"/>
      <c r="K41" s="1001"/>
      <c r="L41" s="1001"/>
      <c r="M41" s="1001"/>
      <c r="N41" s="1001"/>
      <c r="O41" s="1001"/>
      <c r="P41" s="1001"/>
      <c r="Q41" s="1001"/>
      <c r="R41" s="1001"/>
      <c r="S41" s="1001"/>
      <c r="T41" s="1001"/>
      <c r="U41" s="1001"/>
      <c r="V41" s="1001"/>
      <c r="W41" s="1001"/>
      <c r="X41" s="1001"/>
      <c r="Y41" s="1001"/>
      <c r="Z41" s="1001"/>
      <c r="AA41" s="1001"/>
      <c r="AB41" s="1001"/>
      <c r="AC41" s="1001"/>
      <c r="AD41" s="1002"/>
    </row>
    <row r="42" spans="1:30" ht="19.5" customHeight="1" x14ac:dyDescent="0.4">
      <c r="A42" s="54"/>
      <c r="B42" s="55"/>
      <c r="E42" s="990"/>
      <c r="F42" s="991"/>
      <c r="G42" s="1000"/>
      <c r="H42" s="1001"/>
      <c r="I42" s="1001"/>
      <c r="J42" s="1001"/>
      <c r="K42" s="1001"/>
      <c r="L42" s="1001"/>
      <c r="M42" s="1001"/>
      <c r="N42" s="1001"/>
      <c r="O42" s="1001"/>
      <c r="P42" s="1001"/>
      <c r="Q42" s="1001"/>
      <c r="R42" s="1001"/>
      <c r="S42" s="1001"/>
      <c r="T42" s="1001"/>
      <c r="U42" s="1001"/>
      <c r="V42" s="1001"/>
      <c r="W42" s="1001"/>
      <c r="X42" s="1001"/>
      <c r="Y42" s="1001"/>
      <c r="Z42" s="1001"/>
      <c r="AA42" s="1001"/>
      <c r="AB42" s="1001"/>
      <c r="AC42" s="1001"/>
      <c r="AD42" s="1002"/>
    </row>
    <row r="43" spans="1:30" ht="19.5" customHeight="1" thickBot="1" x14ac:dyDescent="0.45">
      <c r="E43" s="992"/>
      <c r="F43" s="993"/>
      <c r="G43" s="1003"/>
      <c r="H43" s="1004"/>
      <c r="I43" s="1004"/>
      <c r="J43" s="1004"/>
      <c r="K43" s="1004"/>
      <c r="L43" s="1004"/>
      <c r="M43" s="1004"/>
      <c r="N43" s="1004"/>
      <c r="O43" s="1004"/>
      <c r="P43" s="1004"/>
      <c r="Q43" s="1004"/>
      <c r="R43" s="1004"/>
      <c r="S43" s="1004"/>
      <c r="T43" s="1004"/>
      <c r="U43" s="1004"/>
      <c r="V43" s="1004"/>
      <c r="W43" s="1004"/>
      <c r="X43" s="1004"/>
      <c r="Y43" s="1004"/>
      <c r="Z43" s="1004"/>
      <c r="AA43" s="1004"/>
      <c r="AB43" s="1004"/>
      <c r="AC43" s="1004"/>
      <c r="AD43" s="1005"/>
    </row>
    <row r="44" spans="1:30" ht="19.5" customHeight="1" thickBot="1" x14ac:dyDescent="0.65">
      <c r="G44" s="231"/>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row>
    <row r="45" spans="1:30" ht="19.5" customHeight="1" x14ac:dyDescent="0.4">
      <c r="E45" s="988" t="s">
        <v>68</v>
      </c>
      <c r="F45" s="989"/>
      <c r="G45" s="997" t="s">
        <v>69</v>
      </c>
      <c r="H45" s="998"/>
      <c r="I45" s="998"/>
      <c r="J45" s="998"/>
      <c r="K45" s="998"/>
      <c r="L45" s="998"/>
      <c r="M45" s="998"/>
      <c r="N45" s="998"/>
      <c r="O45" s="998"/>
      <c r="P45" s="998"/>
      <c r="Q45" s="998"/>
      <c r="R45" s="998"/>
      <c r="S45" s="998"/>
      <c r="T45" s="998"/>
      <c r="U45" s="998"/>
      <c r="V45" s="998"/>
      <c r="W45" s="998"/>
      <c r="X45" s="998"/>
      <c r="Y45" s="998"/>
      <c r="Z45" s="998"/>
      <c r="AA45" s="998"/>
      <c r="AB45" s="998"/>
      <c r="AC45" s="998"/>
      <c r="AD45" s="999"/>
    </row>
    <row r="46" spans="1:30" ht="19.5" customHeight="1" x14ac:dyDescent="0.4">
      <c r="E46" s="990"/>
      <c r="F46" s="991"/>
      <c r="G46" s="1000"/>
      <c r="H46" s="1001"/>
      <c r="I46" s="1001"/>
      <c r="J46" s="1001"/>
      <c r="K46" s="1001"/>
      <c r="L46" s="1001"/>
      <c r="M46" s="1001"/>
      <c r="N46" s="1001"/>
      <c r="O46" s="1001"/>
      <c r="P46" s="1001"/>
      <c r="Q46" s="1001"/>
      <c r="R46" s="1001"/>
      <c r="S46" s="1001"/>
      <c r="T46" s="1001"/>
      <c r="U46" s="1001"/>
      <c r="V46" s="1001"/>
      <c r="W46" s="1001"/>
      <c r="X46" s="1001"/>
      <c r="Y46" s="1001"/>
      <c r="Z46" s="1001"/>
      <c r="AA46" s="1001"/>
      <c r="AB46" s="1001"/>
      <c r="AC46" s="1001"/>
      <c r="AD46" s="1002"/>
    </row>
    <row r="47" spans="1:30" ht="19.5" customHeight="1" x14ac:dyDescent="0.4">
      <c r="E47" s="990"/>
      <c r="F47" s="991"/>
      <c r="G47" s="1000"/>
      <c r="H47" s="1001"/>
      <c r="I47" s="1001"/>
      <c r="J47" s="1001"/>
      <c r="K47" s="1001"/>
      <c r="L47" s="1001"/>
      <c r="M47" s="1001"/>
      <c r="N47" s="1001"/>
      <c r="O47" s="1001"/>
      <c r="P47" s="1001"/>
      <c r="Q47" s="1001"/>
      <c r="R47" s="1001"/>
      <c r="S47" s="1001"/>
      <c r="T47" s="1001"/>
      <c r="U47" s="1001"/>
      <c r="V47" s="1001"/>
      <c r="W47" s="1001"/>
      <c r="X47" s="1001"/>
      <c r="Y47" s="1001"/>
      <c r="Z47" s="1001"/>
      <c r="AA47" s="1001"/>
      <c r="AB47" s="1001"/>
      <c r="AC47" s="1001"/>
      <c r="AD47" s="1002"/>
    </row>
    <row r="48" spans="1:30" ht="19.5" customHeight="1" x14ac:dyDescent="0.4">
      <c r="E48" s="990"/>
      <c r="F48" s="991"/>
      <c r="G48" s="1000"/>
      <c r="H48" s="1001"/>
      <c r="I48" s="1001"/>
      <c r="J48" s="1001"/>
      <c r="K48" s="1001"/>
      <c r="L48" s="1001"/>
      <c r="M48" s="1001"/>
      <c r="N48" s="1001"/>
      <c r="O48" s="1001"/>
      <c r="P48" s="1001"/>
      <c r="Q48" s="1001"/>
      <c r="R48" s="1001"/>
      <c r="S48" s="1001"/>
      <c r="T48" s="1001"/>
      <c r="U48" s="1001"/>
      <c r="V48" s="1001"/>
      <c r="W48" s="1001"/>
      <c r="X48" s="1001"/>
      <c r="Y48" s="1001"/>
      <c r="Z48" s="1001"/>
      <c r="AA48" s="1001"/>
      <c r="AB48" s="1001"/>
      <c r="AC48" s="1001"/>
      <c r="AD48" s="1002"/>
    </row>
    <row r="49" spans="5:30" ht="19.5" customHeight="1" x14ac:dyDescent="0.4">
      <c r="E49" s="990"/>
      <c r="F49" s="991"/>
      <c r="G49" s="1000"/>
      <c r="H49" s="1001"/>
      <c r="I49" s="1001"/>
      <c r="J49" s="1001"/>
      <c r="K49" s="1001"/>
      <c r="L49" s="1001"/>
      <c r="M49" s="1001"/>
      <c r="N49" s="1001"/>
      <c r="O49" s="1001"/>
      <c r="P49" s="1001"/>
      <c r="Q49" s="1001"/>
      <c r="R49" s="1001"/>
      <c r="S49" s="1001"/>
      <c r="T49" s="1001"/>
      <c r="U49" s="1001"/>
      <c r="V49" s="1001"/>
      <c r="W49" s="1001"/>
      <c r="X49" s="1001"/>
      <c r="Y49" s="1001"/>
      <c r="Z49" s="1001"/>
      <c r="AA49" s="1001"/>
      <c r="AB49" s="1001"/>
      <c r="AC49" s="1001"/>
      <c r="AD49" s="1002"/>
    </row>
    <row r="50" spans="5:30" ht="19.5" customHeight="1" thickBot="1" x14ac:dyDescent="0.45">
      <c r="E50" s="992"/>
      <c r="F50" s="993"/>
      <c r="G50" s="1003"/>
      <c r="H50" s="1004"/>
      <c r="I50" s="1004"/>
      <c r="J50" s="1004"/>
      <c r="K50" s="1004"/>
      <c r="L50" s="1004"/>
      <c r="M50" s="1004"/>
      <c r="N50" s="1004"/>
      <c r="O50" s="1004"/>
      <c r="P50" s="1004"/>
      <c r="Q50" s="1004"/>
      <c r="R50" s="1004"/>
      <c r="S50" s="1004"/>
      <c r="T50" s="1004"/>
      <c r="U50" s="1004"/>
      <c r="V50" s="1004"/>
      <c r="W50" s="1004"/>
      <c r="X50" s="1004"/>
      <c r="Y50" s="1004"/>
      <c r="Z50" s="1004"/>
      <c r="AA50" s="1004"/>
      <c r="AB50" s="1004"/>
      <c r="AC50" s="1004"/>
      <c r="AD50" s="1005"/>
    </row>
    <row r="51" spans="5:30" ht="19.5" customHeight="1" thickBot="1" x14ac:dyDescent="0.65">
      <c r="G51" s="231"/>
      <c r="H51" s="231"/>
      <c r="I51" s="231"/>
      <c r="J51" s="231"/>
      <c r="K51" s="231"/>
      <c r="L51" s="231"/>
      <c r="M51" s="231"/>
      <c r="N51" s="231"/>
      <c r="O51" s="231"/>
      <c r="P51" s="231"/>
      <c r="Q51" s="231"/>
      <c r="R51" s="231"/>
      <c r="S51" s="231"/>
      <c r="T51" s="231"/>
      <c r="U51" s="231"/>
      <c r="V51" s="231"/>
      <c r="W51" s="231"/>
      <c r="X51" s="231"/>
      <c r="Y51" s="231"/>
      <c r="Z51" s="231"/>
      <c r="AA51" s="231"/>
      <c r="AB51" s="231"/>
      <c r="AC51" s="231"/>
      <c r="AD51" s="231"/>
    </row>
    <row r="52" spans="5:30" ht="19.5" customHeight="1" x14ac:dyDescent="0.4">
      <c r="E52" s="988" t="s">
        <v>70</v>
      </c>
      <c r="F52" s="989"/>
      <c r="G52" s="997" t="s">
        <v>71</v>
      </c>
      <c r="H52" s="998"/>
      <c r="I52" s="998"/>
      <c r="J52" s="998"/>
      <c r="K52" s="998"/>
      <c r="L52" s="998"/>
      <c r="M52" s="998"/>
      <c r="N52" s="998"/>
      <c r="O52" s="998"/>
      <c r="P52" s="998"/>
      <c r="Q52" s="998"/>
      <c r="R52" s="998"/>
      <c r="S52" s="998"/>
      <c r="T52" s="998"/>
      <c r="U52" s="998"/>
      <c r="V52" s="998"/>
      <c r="W52" s="998"/>
      <c r="X52" s="998"/>
      <c r="Y52" s="998"/>
      <c r="Z52" s="998"/>
      <c r="AA52" s="998"/>
      <c r="AB52" s="998"/>
      <c r="AC52" s="998"/>
      <c r="AD52" s="999"/>
    </row>
    <row r="53" spans="5:30" ht="19.5" customHeight="1" x14ac:dyDescent="0.4">
      <c r="E53" s="990"/>
      <c r="F53" s="991"/>
      <c r="G53" s="1000"/>
      <c r="H53" s="1001"/>
      <c r="I53" s="1001"/>
      <c r="J53" s="1001"/>
      <c r="K53" s="1001"/>
      <c r="L53" s="1001"/>
      <c r="M53" s="1001"/>
      <c r="N53" s="1001"/>
      <c r="O53" s="1001"/>
      <c r="P53" s="1001"/>
      <c r="Q53" s="1001"/>
      <c r="R53" s="1001"/>
      <c r="S53" s="1001"/>
      <c r="T53" s="1001"/>
      <c r="U53" s="1001"/>
      <c r="V53" s="1001"/>
      <c r="W53" s="1001"/>
      <c r="X53" s="1001"/>
      <c r="Y53" s="1001"/>
      <c r="Z53" s="1001"/>
      <c r="AA53" s="1001"/>
      <c r="AB53" s="1001"/>
      <c r="AC53" s="1001"/>
      <c r="AD53" s="1002"/>
    </row>
    <row r="54" spans="5:30" ht="19.5" customHeight="1" x14ac:dyDescent="0.4">
      <c r="E54" s="990"/>
      <c r="F54" s="991"/>
      <c r="G54" s="1000"/>
      <c r="H54" s="1001"/>
      <c r="I54" s="1001"/>
      <c r="J54" s="1001"/>
      <c r="K54" s="1001"/>
      <c r="L54" s="1001"/>
      <c r="M54" s="1001"/>
      <c r="N54" s="1001"/>
      <c r="O54" s="1001"/>
      <c r="P54" s="1001"/>
      <c r="Q54" s="1001"/>
      <c r="R54" s="1001"/>
      <c r="S54" s="1001"/>
      <c r="T54" s="1001"/>
      <c r="U54" s="1001"/>
      <c r="V54" s="1001"/>
      <c r="W54" s="1001"/>
      <c r="X54" s="1001"/>
      <c r="Y54" s="1001"/>
      <c r="Z54" s="1001"/>
      <c r="AA54" s="1001"/>
      <c r="AB54" s="1001"/>
      <c r="AC54" s="1001"/>
      <c r="AD54" s="1002"/>
    </row>
    <row r="55" spans="5:30" ht="19.5" customHeight="1" x14ac:dyDescent="0.4">
      <c r="E55" s="990"/>
      <c r="F55" s="991"/>
      <c r="G55" s="1000"/>
      <c r="H55" s="1001"/>
      <c r="I55" s="1001"/>
      <c r="J55" s="1001"/>
      <c r="K55" s="1001"/>
      <c r="L55" s="1001"/>
      <c r="M55" s="1001"/>
      <c r="N55" s="1001"/>
      <c r="O55" s="1001"/>
      <c r="P55" s="1001"/>
      <c r="Q55" s="1001"/>
      <c r="R55" s="1001"/>
      <c r="S55" s="1001"/>
      <c r="T55" s="1001"/>
      <c r="U55" s="1001"/>
      <c r="V55" s="1001"/>
      <c r="W55" s="1001"/>
      <c r="X55" s="1001"/>
      <c r="Y55" s="1001"/>
      <c r="Z55" s="1001"/>
      <c r="AA55" s="1001"/>
      <c r="AB55" s="1001"/>
      <c r="AC55" s="1001"/>
      <c r="AD55" s="1002"/>
    </row>
    <row r="56" spans="5:30" ht="19.5" customHeight="1" x14ac:dyDescent="0.4">
      <c r="E56" s="990"/>
      <c r="F56" s="991"/>
      <c r="G56" s="1000"/>
      <c r="H56" s="1001"/>
      <c r="I56" s="1001"/>
      <c r="J56" s="1001"/>
      <c r="K56" s="1001"/>
      <c r="L56" s="1001"/>
      <c r="M56" s="1001"/>
      <c r="N56" s="1001"/>
      <c r="O56" s="1001"/>
      <c r="P56" s="1001"/>
      <c r="Q56" s="1001"/>
      <c r="R56" s="1001"/>
      <c r="S56" s="1001"/>
      <c r="T56" s="1001"/>
      <c r="U56" s="1001"/>
      <c r="V56" s="1001"/>
      <c r="W56" s="1001"/>
      <c r="X56" s="1001"/>
      <c r="Y56" s="1001"/>
      <c r="Z56" s="1001"/>
      <c r="AA56" s="1001"/>
      <c r="AB56" s="1001"/>
      <c r="AC56" s="1001"/>
      <c r="AD56" s="1002"/>
    </row>
    <row r="57" spans="5:30" ht="19.5" customHeight="1" thickBot="1" x14ac:dyDescent="0.45">
      <c r="E57" s="992"/>
      <c r="F57" s="993"/>
      <c r="G57" s="1003"/>
      <c r="H57" s="1004"/>
      <c r="I57" s="1004"/>
      <c r="J57" s="1004"/>
      <c r="K57" s="1004"/>
      <c r="L57" s="1004"/>
      <c r="M57" s="1004"/>
      <c r="N57" s="1004"/>
      <c r="O57" s="1004"/>
      <c r="P57" s="1004"/>
      <c r="Q57" s="1004"/>
      <c r="R57" s="1004"/>
      <c r="S57" s="1004"/>
      <c r="T57" s="1004"/>
      <c r="U57" s="1004"/>
      <c r="V57" s="1004"/>
      <c r="W57" s="1004"/>
      <c r="X57" s="1004"/>
      <c r="Y57" s="1004"/>
      <c r="Z57" s="1004"/>
      <c r="AA57" s="1004"/>
      <c r="AB57" s="1004"/>
      <c r="AC57" s="1004"/>
      <c r="AD57" s="1005"/>
    </row>
    <row r="58" spans="5:30" ht="19.5" customHeight="1" thickBot="1" x14ac:dyDescent="0.65">
      <c r="G58" s="231"/>
      <c r="H58" s="231"/>
      <c r="I58" s="231"/>
      <c r="J58" s="231"/>
      <c r="K58" s="231"/>
      <c r="L58" s="231"/>
      <c r="M58" s="231"/>
      <c r="N58" s="231"/>
      <c r="O58" s="231"/>
      <c r="P58" s="231"/>
      <c r="Q58" s="231"/>
      <c r="R58" s="231"/>
      <c r="S58" s="231"/>
      <c r="T58" s="231"/>
      <c r="U58" s="231"/>
      <c r="V58" s="231"/>
      <c r="W58" s="231"/>
      <c r="X58" s="231"/>
      <c r="Y58" s="231"/>
      <c r="Z58" s="231"/>
      <c r="AA58" s="231"/>
      <c r="AB58" s="231"/>
      <c r="AC58" s="231"/>
      <c r="AD58" s="231"/>
    </row>
    <row r="59" spans="5:30" ht="19.5" customHeight="1" x14ac:dyDescent="0.4">
      <c r="E59" s="988" t="s">
        <v>72</v>
      </c>
      <c r="F59" s="989"/>
      <c r="G59" s="1008" t="s">
        <v>73</v>
      </c>
      <c r="H59" s="998"/>
      <c r="I59" s="998"/>
      <c r="J59" s="998"/>
      <c r="K59" s="998"/>
      <c r="L59" s="998"/>
      <c r="M59" s="998"/>
      <c r="N59" s="998"/>
      <c r="O59" s="998"/>
      <c r="P59" s="998"/>
      <c r="Q59" s="998"/>
      <c r="R59" s="998"/>
      <c r="S59" s="998"/>
      <c r="T59" s="998"/>
      <c r="U59" s="998"/>
      <c r="V59" s="998"/>
      <c r="W59" s="998"/>
      <c r="X59" s="998"/>
      <c r="Y59" s="998"/>
      <c r="Z59" s="998"/>
      <c r="AA59" s="998"/>
      <c r="AB59" s="998"/>
      <c r="AC59" s="998"/>
      <c r="AD59" s="999"/>
    </row>
    <row r="60" spans="5:30" ht="19.5" customHeight="1" x14ac:dyDescent="0.4">
      <c r="E60" s="990"/>
      <c r="F60" s="991"/>
      <c r="G60" s="1000"/>
      <c r="H60" s="1001"/>
      <c r="I60" s="1001"/>
      <c r="J60" s="1001"/>
      <c r="K60" s="1001"/>
      <c r="L60" s="1001"/>
      <c r="M60" s="1001"/>
      <c r="N60" s="1001"/>
      <c r="O60" s="1001"/>
      <c r="P60" s="1001"/>
      <c r="Q60" s="1001"/>
      <c r="R60" s="1001"/>
      <c r="S60" s="1001"/>
      <c r="T60" s="1001"/>
      <c r="U60" s="1001"/>
      <c r="V60" s="1001"/>
      <c r="W60" s="1001"/>
      <c r="X60" s="1001"/>
      <c r="Y60" s="1001"/>
      <c r="Z60" s="1001"/>
      <c r="AA60" s="1001"/>
      <c r="AB60" s="1001"/>
      <c r="AC60" s="1001"/>
      <c r="AD60" s="1002"/>
    </row>
    <row r="61" spans="5:30" ht="19.5" customHeight="1" x14ac:dyDescent="0.4">
      <c r="E61" s="990"/>
      <c r="F61" s="991"/>
      <c r="G61" s="1000"/>
      <c r="H61" s="1001"/>
      <c r="I61" s="1001"/>
      <c r="J61" s="1001"/>
      <c r="K61" s="1001"/>
      <c r="L61" s="1001"/>
      <c r="M61" s="1001"/>
      <c r="N61" s="1001"/>
      <c r="O61" s="1001"/>
      <c r="P61" s="1001"/>
      <c r="Q61" s="1001"/>
      <c r="R61" s="1001"/>
      <c r="S61" s="1001"/>
      <c r="T61" s="1001"/>
      <c r="U61" s="1001"/>
      <c r="V61" s="1001"/>
      <c r="W61" s="1001"/>
      <c r="X61" s="1001"/>
      <c r="Y61" s="1001"/>
      <c r="Z61" s="1001"/>
      <c r="AA61" s="1001"/>
      <c r="AB61" s="1001"/>
      <c r="AC61" s="1001"/>
      <c r="AD61" s="1002"/>
    </row>
    <row r="62" spans="5:30" ht="19.5" customHeight="1" x14ac:dyDescent="0.4">
      <c r="E62" s="990"/>
      <c r="F62" s="991"/>
      <c r="G62" s="1000"/>
      <c r="H62" s="1001"/>
      <c r="I62" s="1001"/>
      <c r="J62" s="1001"/>
      <c r="K62" s="1001"/>
      <c r="L62" s="1001"/>
      <c r="M62" s="1001"/>
      <c r="N62" s="1001"/>
      <c r="O62" s="1001"/>
      <c r="P62" s="1001"/>
      <c r="Q62" s="1001"/>
      <c r="R62" s="1001"/>
      <c r="S62" s="1001"/>
      <c r="T62" s="1001"/>
      <c r="U62" s="1001"/>
      <c r="V62" s="1001"/>
      <c r="W62" s="1001"/>
      <c r="X62" s="1001"/>
      <c r="Y62" s="1001"/>
      <c r="Z62" s="1001"/>
      <c r="AA62" s="1001"/>
      <c r="AB62" s="1001"/>
      <c r="AC62" s="1001"/>
      <c r="AD62" s="1002"/>
    </row>
    <row r="63" spans="5:30" ht="19.5" customHeight="1" x14ac:dyDescent="0.4">
      <c r="E63" s="990"/>
      <c r="F63" s="991"/>
      <c r="G63" s="1000"/>
      <c r="H63" s="1001"/>
      <c r="I63" s="1001"/>
      <c r="J63" s="1001"/>
      <c r="K63" s="1001"/>
      <c r="L63" s="1001"/>
      <c r="M63" s="1001"/>
      <c r="N63" s="1001"/>
      <c r="O63" s="1001"/>
      <c r="P63" s="1001"/>
      <c r="Q63" s="1001"/>
      <c r="R63" s="1001"/>
      <c r="S63" s="1001"/>
      <c r="T63" s="1001"/>
      <c r="U63" s="1001"/>
      <c r="V63" s="1001"/>
      <c r="W63" s="1001"/>
      <c r="X63" s="1001"/>
      <c r="Y63" s="1001"/>
      <c r="Z63" s="1001"/>
      <c r="AA63" s="1001"/>
      <c r="AB63" s="1001"/>
      <c r="AC63" s="1001"/>
      <c r="AD63" s="1002"/>
    </row>
    <row r="64" spans="5:30" ht="19.5" customHeight="1" x14ac:dyDescent="0.4">
      <c r="E64" s="990"/>
      <c r="F64" s="991"/>
      <c r="G64" s="1000"/>
      <c r="H64" s="1001"/>
      <c r="I64" s="1001"/>
      <c r="J64" s="1001"/>
      <c r="K64" s="1001"/>
      <c r="L64" s="1001"/>
      <c r="M64" s="1001"/>
      <c r="N64" s="1001"/>
      <c r="O64" s="1001"/>
      <c r="P64" s="1001"/>
      <c r="Q64" s="1001"/>
      <c r="R64" s="1001"/>
      <c r="S64" s="1001"/>
      <c r="T64" s="1001"/>
      <c r="U64" s="1001"/>
      <c r="V64" s="1001"/>
      <c r="W64" s="1001"/>
      <c r="X64" s="1001"/>
      <c r="Y64" s="1001"/>
      <c r="Z64" s="1001"/>
      <c r="AA64" s="1001"/>
      <c r="AB64" s="1001"/>
      <c r="AC64" s="1001"/>
      <c r="AD64" s="1002"/>
    </row>
    <row r="65" spans="5:30" ht="19.5" customHeight="1" thickBot="1" x14ac:dyDescent="0.45">
      <c r="E65" s="992"/>
      <c r="F65" s="993"/>
      <c r="G65" s="1003"/>
      <c r="H65" s="1004"/>
      <c r="I65" s="1004"/>
      <c r="J65" s="1004"/>
      <c r="K65" s="1004"/>
      <c r="L65" s="1004"/>
      <c r="M65" s="1004"/>
      <c r="N65" s="1004"/>
      <c r="O65" s="1004"/>
      <c r="P65" s="1004"/>
      <c r="Q65" s="1004"/>
      <c r="R65" s="1004"/>
      <c r="S65" s="1004"/>
      <c r="T65" s="1004"/>
      <c r="U65" s="1004"/>
      <c r="V65" s="1004"/>
      <c r="W65" s="1004"/>
      <c r="X65" s="1004"/>
      <c r="Y65" s="1004"/>
      <c r="Z65" s="1004"/>
      <c r="AA65" s="1004"/>
      <c r="AB65" s="1004"/>
      <c r="AC65" s="1004"/>
      <c r="AD65" s="1005"/>
    </row>
    <row r="66" spans="5:30" ht="19.5" customHeight="1" x14ac:dyDescent="0.4">
      <c r="E66" s="221"/>
      <c r="F66" s="221"/>
      <c r="G66" s="227"/>
      <c r="H66" s="227"/>
      <c r="I66" s="227"/>
      <c r="J66" s="227"/>
      <c r="K66" s="227"/>
      <c r="L66" s="227"/>
      <c r="M66" s="227"/>
      <c r="N66" s="227"/>
      <c r="O66" s="227"/>
      <c r="P66" s="227"/>
      <c r="Q66" s="227"/>
      <c r="R66" s="227"/>
      <c r="S66" s="227"/>
      <c r="T66" s="227"/>
      <c r="U66" s="227"/>
      <c r="V66" s="227"/>
      <c r="W66" s="227"/>
      <c r="X66" s="227"/>
      <c r="Y66" s="227"/>
    </row>
    <row r="67" spans="5:30" ht="19.5" customHeight="1" x14ac:dyDescent="0.4"/>
  </sheetData>
  <sheetProtection sheet="1" objects="1" scenarios="1"/>
  <mergeCells count="13">
    <mergeCell ref="G38:AD43"/>
    <mergeCell ref="G59:AD65"/>
    <mergeCell ref="G52:AD57"/>
    <mergeCell ref="E38:F43"/>
    <mergeCell ref="E52:F57"/>
    <mergeCell ref="E59:F65"/>
    <mergeCell ref="E45:F50"/>
    <mergeCell ref="G45:AD50"/>
    <mergeCell ref="A2:B2"/>
    <mergeCell ref="E31:F36"/>
    <mergeCell ref="F2:AA2"/>
    <mergeCell ref="G31:AD36"/>
    <mergeCell ref="AB2:AC2"/>
  </mergeCells>
  <pageMargins left="0.78740157480314965" right="0.59055118110236227" top="0.59055118110236227" bottom="0" header="0.31496062992125984" footer="0.31496062992125984"/>
  <pageSetup paperSize="9" scale="39" orientation="portrait" horizontalDpi="4294967293" r:id="rId1"/>
  <headerFooter alignWithMargins="0">
    <oddFooter>&amp;R© www.meesterharrie.nl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CCFF"/>
    <pageSetUpPr fitToPage="1"/>
  </sheetPr>
  <dimension ref="A1:AE68"/>
  <sheetViews>
    <sheetView showGridLines="0" showRowColHeaders="0" zoomScale="50" zoomScaleNormal="50" workbookViewId="0">
      <selection activeCell="AH26" sqref="AH26"/>
    </sheetView>
  </sheetViews>
  <sheetFormatPr defaultColWidth="9.140625" defaultRowHeight="19.5" x14ac:dyDescent="0.4"/>
  <cols>
    <col min="1" max="1" width="6.140625" style="47" bestFit="1" customWidth="1"/>
    <col min="2" max="2" width="30.85546875" style="48" customWidth="1"/>
    <col min="3" max="3" width="4" style="47" customWidth="1"/>
    <col min="4" max="30" width="8.85546875" style="47" customWidth="1"/>
    <col min="31" max="16384" width="9.140625" style="47"/>
  </cols>
  <sheetData>
    <row r="1" spans="1:31" ht="20.25" thickBot="1" x14ac:dyDescent="0.45"/>
    <row r="2" spans="1:31" s="46" customFormat="1" ht="32.25" thickBot="1" x14ac:dyDescent="0.55000000000000004">
      <c r="A2" s="986" t="s">
        <v>55</v>
      </c>
      <c r="B2" s="987"/>
      <c r="D2" s="226"/>
      <c r="E2" s="230">
        <v>11</v>
      </c>
      <c r="F2" s="994" t="str">
        <f>VLOOKUP($E$2,BEGINBLAD!B4:C39,2)</f>
        <v>leerling 11</v>
      </c>
      <c r="G2" s="995"/>
      <c r="H2" s="995"/>
      <c r="I2" s="995"/>
      <c r="J2" s="995"/>
      <c r="K2" s="995"/>
      <c r="L2" s="995"/>
      <c r="M2" s="995"/>
      <c r="N2" s="995"/>
      <c r="O2" s="995"/>
      <c r="P2" s="995"/>
      <c r="Q2" s="995"/>
      <c r="R2" s="995"/>
      <c r="S2" s="995"/>
      <c r="T2" s="995"/>
      <c r="U2" s="995"/>
      <c r="V2" s="995"/>
      <c r="W2" s="995"/>
      <c r="X2" s="995"/>
      <c r="Y2" s="995"/>
      <c r="Z2" s="995"/>
      <c r="AA2" s="996"/>
      <c r="AB2" s="1006" t="s">
        <v>56</v>
      </c>
      <c r="AC2" s="1007"/>
      <c r="AD2" s="643">
        <f>VLOOKUP($E$2,BEGINBLAD!B4:D39,3)</f>
        <v>0</v>
      </c>
    </row>
    <row r="3" spans="1:31" ht="50.1" customHeight="1" x14ac:dyDescent="0.4"/>
    <row r="4" spans="1:31" ht="19.5" customHeight="1" x14ac:dyDescent="0.4">
      <c r="A4" s="172">
        <v>1</v>
      </c>
      <c r="B4" s="173" t="str">
        <f>BEGINBLAD!C4</f>
        <v>leelring 1</v>
      </c>
    </row>
    <row r="5" spans="1:31" x14ac:dyDescent="0.4">
      <c r="A5" s="172">
        <v>2</v>
      </c>
      <c r="B5" s="173" t="str">
        <f>BEGINBLAD!C5</f>
        <v>leerling 2</v>
      </c>
      <c r="D5" s="56"/>
      <c r="E5" s="56"/>
    </row>
    <row r="6" spans="1:31" x14ac:dyDescent="0.4">
      <c r="A6" s="172">
        <v>3</v>
      </c>
      <c r="B6" s="173" t="str">
        <f>BEGINBLAD!C6</f>
        <v>leerling 3</v>
      </c>
      <c r="D6" s="56"/>
      <c r="E6" s="56"/>
    </row>
    <row r="7" spans="1:31" x14ac:dyDescent="0.4">
      <c r="A7" s="172">
        <v>4</v>
      </c>
      <c r="B7" s="173" t="str">
        <f>BEGINBLAD!C7</f>
        <v>leerling 4</v>
      </c>
      <c r="E7" s="49"/>
      <c r="F7" s="49"/>
      <c r="G7" s="49"/>
      <c r="H7" s="49"/>
      <c r="I7" s="49"/>
      <c r="J7" s="49"/>
      <c r="K7" s="49"/>
      <c r="L7" s="49"/>
      <c r="M7" s="49"/>
      <c r="N7" s="49"/>
      <c r="O7" s="49"/>
      <c r="P7" s="49"/>
      <c r="Q7" s="49"/>
      <c r="R7" s="49"/>
      <c r="S7" s="49"/>
      <c r="T7" s="49"/>
      <c r="U7" s="49"/>
    </row>
    <row r="8" spans="1:31" x14ac:dyDescent="0.4">
      <c r="A8" s="172">
        <v>5</v>
      </c>
      <c r="B8" s="173" t="str">
        <f>BEGINBLAD!C8</f>
        <v>leerling 5</v>
      </c>
      <c r="E8" s="49"/>
      <c r="F8" s="49"/>
      <c r="G8" s="49"/>
      <c r="H8" s="49"/>
      <c r="I8" s="49"/>
      <c r="J8" s="49"/>
      <c r="K8" s="49"/>
      <c r="L8" s="49"/>
      <c r="M8" s="49"/>
      <c r="N8" s="49"/>
      <c r="O8" s="49"/>
      <c r="P8" s="49"/>
      <c r="Q8" s="49"/>
      <c r="R8" s="49"/>
      <c r="S8" s="49"/>
      <c r="T8" s="49"/>
      <c r="U8" s="49"/>
    </row>
    <row r="9" spans="1:31" x14ac:dyDescent="0.4">
      <c r="A9" s="172">
        <v>6</v>
      </c>
      <c r="B9" s="173" t="str">
        <f>BEGINBLAD!C9</f>
        <v>leerling 6</v>
      </c>
      <c r="E9" s="49"/>
      <c r="F9" s="49"/>
      <c r="G9" s="49"/>
      <c r="H9" s="49"/>
      <c r="I9" s="49"/>
      <c r="J9" s="49"/>
      <c r="K9" s="49"/>
      <c r="L9" s="49"/>
      <c r="M9" s="49"/>
      <c r="N9" s="49"/>
      <c r="O9" s="49"/>
      <c r="P9" s="49"/>
      <c r="Q9" s="49"/>
      <c r="R9" s="49"/>
      <c r="S9" s="49"/>
      <c r="T9" s="49"/>
      <c r="U9" s="49"/>
    </row>
    <row r="10" spans="1:31" x14ac:dyDescent="0.4">
      <c r="A10" s="172">
        <v>7</v>
      </c>
      <c r="B10" s="173" t="str">
        <f>BEGINBLAD!C10</f>
        <v>leerling 7</v>
      </c>
      <c r="E10" s="49"/>
      <c r="F10" s="49"/>
      <c r="G10" s="49"/>
      <c r="H10" s="49"/>
      <c r="I10" s="49"/>
      <c r="J10" s="49"/>
      <c r="K10" s="49"/>
      <c r="L10" s="49"/>
      <c r="M10" s="49"/>
      <c r="N10" s="49"/>
      <c r="O10" s="49"/>
      <c r="P10" s="49"/>
      <c r="Q10" s="49"/>
      <c r="R10" s="49"/>
      <c r="S10" s="49"/>
      <c r="T10" s="49"/>
      <c r="U10" s="49"/>
    </row>
    <row r="11" spans="1:31" x14ac:dyDescent="0.4">
      <c r="A11" s="172">
        <v>8</v>
      </c>
      <c r="B11" s="173" t="str">
        <f>BEGINBLAD!C11</f>
        <v>leerling 8</v>
      </c>
      <c r="E11" s="49"/>
      <c r="F11" s="49"/>
      <c r="G11" s="49"/>
      <c r="H11" s="49"/>
      <c r="I11" s="49"/>
      <c r="J11" s="49"/>
      <c r="K11" s="49"/>
      <c r="L11" s="49"/>
      <c r="M11" s="49"/>
      <c r="N11" s="49"/>
      <c r="O11" s="49"/>
      <c r="P11" s="49"/>
      <c r="Q11" s="49"/>
      <c r="R11" s="49"/>
      <c r="S11" s="49"/>
      <c r="T11" s="49"/>
      <c r="U11" s="49"/>
    </row>
    <row r="12" spans="1:31" x14ac:dyDescent="0.4">
      <c r="A12" s="172">
        <v>9</v>
      </c>
      <c r="B12" s="173" t="str">
        <f>BEGINBLAD!C12</f>
        <v>leerling 9</v>
      </c>
      <c r="E12" s="49"/>
      <c r="F12" s="49"/>
      <c r="G12" s="49"/>
      <c r="H12" s="215" t="s">
        <v>57</v>
      </c>
      <c r="I12" s="216" t="s">
        <v>74</v>
      </c>
      <c r="J12" s="217" t="s">
        <v>79</v>
      </c>
      <c r="K12" s="217" t="s">
        <v>58</v>
      </c>
      <c r="L12" s="215" t="s">
        <v>59</v>
      </c>
      <c r="M12" s="216" t="s">
        <v>75</v>
      </c>
      <c r="N12" s="217" t="s">
        <v>80</v>
      </c>
      <c r="O12" s="217" t="s">
        <v>58</v>
      </c>
      <c r="P12" s="215" t="s">
        <v>60</v>
      </c>
      <c r="Q12" s="216" t="s">
        <v>76</v>
      </c>
      <c r="R12" s="217" t="s">
        <v>81</v>
      </c>
      <c r="S12" s="217" t="s">
        <v>58</v>
      </c>
      <c r="T12" s="215" t="s">
        <v>61</v>
      </c>
      <c r="U12" s="216" t="s">
        <v>77</v>
      </c>
      <c r="V12" s="217" t="s">
        <v>82</v>
      </c>
      <c r="W12" s="217" t="s">
        <v>58</v>
      </c>
      <c r="X12" s="215" t="s">
        <v>62</v>
      </c>
      <c r="Y12" s="216" t="s">
        <v>78</v>
      </c>
      <c r="Z12" s="217" t="s">
        <v>83</v>
      </c>
      <c r="AA12" s="217" t="s">
        <v>58</v>
      </c>
      <c r="AB12" s="48" t="s">
        <v>63</v>
      </c>
      <c r="AC12" s="48"/>
    </row>
    <row r="13" spans="1:31" x14ac:dyDescent="0.4">
      <c r="A13" s="172">
        <v>10</v>
      </c>
      <c r="B13" s="173" t="str">
        <f>BEGINBLAD!C13</f>
        <v>leerling 10</v>
      </c>
      <c r="E13" s="57"/>
      <c r="F13" s="57"/>
      <c r="G13" s="57"/>
      <c r="H13" s="210">
        <f>VLOOKUP($E$2,'NIVEAU WAARDE - vorig jaar'!$B$9:$H$44,3)</f>
        <v>2.6</v>
      </c>
      <c r="I13" s="210">
        <f>VLOOKUP($E$2,'NIVEAU WAARDE - 1e toetsperiode'!$B$9:$H$44,3)</f>
        <v>4</v>
      </c>
      <c r="J13" s="210">
        <f>VLOOKUP($E$2,'NIVEAU WAARDE - 2e toetsperiode'!$B$9:$H$44,3)</f>
        <v>0</v>
      </c>
      <c r="K13" s="210">
        <v>5</v>
      </c>
      <c r="L13" s="210">
        <f>VLOOKUP($E$2,'NIVEAU WAARDE - vorig jaar'!$B$9:$H$44,4)</f>
        <v>5</v>
      </c>
      <c r="M13" s="210">
        <f>VLOOKUP($E$2,'NIVEAU WAARDE - 1e toetsperiode'!$B$9:$H$44,4)</f>
        <v>4.2</v>
      </c>
      <c r="N13" s="210">
        <f>VLOOKUP($E$2,'NIVEAU WAARDE - 2e toetsperiode'!$B$9:$H$44,4)</f>
        <v>4.7</v>
      </c>
      <c r="O13" s="210">
        <v>5</v>
      </c>
      <c r="P13" s="210">
        <f>VLOOKUP($E$2,'NIVEAU WAARDE - vorig jaar'!$B$9:$H$44,5)</f>
        <v>4.2</v>
      </c>
      <c r="Q13" s="210">
        <f>VLOOKUP($E$2,'NIVEAU WAARDE - 1e toetsperiode'!$B$9:$H$44,5)</f>
        <v>3.1</v>
      </c>
      <c r="R13" s="210">
        <f>VLOOKUP($E$2,'NIVEAU WAARDE - 2e toetsperiode'!$B$9:$H$44,5)</f>
        <v>4.5999999999999996</v>
      </c>
      <c r="S13" s="210">
        <v>5</v>
      </c>
      <c r="T13" s="210">
        <f>VLOOKUP($E$2,'NIVEAU WAARDE - vorig jaar'!$B$9:$H$44,6)</f>
        <v>3.2</v>
      </c>
      <c r="U13" s="210">
        <f>VLOOKUP($E$2,'NIVEAU WAARDE - 1e toetsperiode'!$B$9:$H$44,6)</f>
        <v>3</v>
      </c>
      <c r="V13" s="210">
        <f>VLOOKUP($E$2,'NIVEAU WAARDE - 2e toetsperiode'!$B$9:$H$44,6)</f>
        <v>4.4000000000000004</v>
      </c>
      <c r="W13" s="210">
        <v>5</v>
      </c>
      <c r="X13" s="210">
        <f>VLOOKUP($E$2,'NIVEAU WAARDE - vorig jaar'!$B$9:$H$44,7)</f>
        <v>0.8</v>
      </c>
      <c r="Y13" s="210">
        <f>VLOOKUP($E$2,'NIVEAU WAARDE - 1e toetsperiode'!$B$9:$H$44,7)</f>
        <v>1.4</v>
      </c>
      <c r="Z13" s="210">
        <f>VLOOKUP($E$2,'NIVEAU WAARDE - 2e toetsperiode'!$B$9:$H$44,7)</f>
        <v>0.3</v>
      </c>
      <c r="AA13" s="211">
        <v>5</v>
      </c>
      <c r="AB13" s="213">
        <f>AD13/AC13</f>
        <v>3.2499999999999996</v>
      </c>
      <c r="AC13" s="213">
        <f>COUNTIF(H13:AA13,"&gt;0")-5</f>
        <v>14</v>
      </c>
      <c r="AD13" s="214">
        <f>H13+I13+J13+L13+M13+N13+P13+Q13+R13+T13+U13+V13+X13+Y13+Z13</f>
        <v>45.499999999999993</v>
      </c>
      <c r="AE13" s="209"/>
    </row>
    <row r="14" spans="1:31" x14ac:dyDescent="0.4">
      <c r="A14" s="172">
        <v>11</v>
      </c>
      <c r="B14" s="173" t="str">
        <f>BEGINBLAD!C14</f>
        <v>leerling 11</v>
      </c>
      <c r="H14" s="48">
        <f>H13*2</f>
        <v>5.2</v>
      </c>
      <c r="I14" s="48">
        <f t="shared" ref="I14:AB14" si="0">I13*2</f>
        <v>8</v>
      </c>
      <c r="J14" s="48">
        <f t="shared" si="0"/>
        <v>0</v>
      </c>
      <c r="K14" s="48">
        <f t="shared" si="0"/>
        <v>10</v>
      </c>
      <c r="L14" s="48">
        <f t="shared" si="0"/>
        <v>10</v>
      </c>
      <c r="M14" s="48">
        <f t="shared" si="0"/>
        <v>8.4</v>
      </c>
      <c r="N14" s="48">
        <f t="shared" si="0"/>
        <v>9.4</v>
      </c>
      <c r="O14" s="48">
        <f t="shared" si="0"/>
        <v>10</v>
      </c>
      <c r="P14" s="48">
        <f t="shared" si="0"/>
        <v>8.4</v>
      </c>
      <c r="Q14" s="48">
        <f t="shared" si="0"/>
        <v>6.2</v>
      </c>
      <c r="R14" s="48">
        <f t="shared" si="0"/>
        <v>9.1999999999999993</v>
      </c>
      <c r="S14" s="48">
        <f t="shared" si="0"/>
        <v>10</v>
      </c>
      <c r="T14" s="48">
        <f t="shared" si="0"/>
        <v>6.4</v>
      </c>
      <c r="U14" s="48">
        <f t="shared" si="0"/>
        <v>6</v>
      </c>
      <c r="V14" s="48">
        <f t="shared" si="0"/>
        <v>8.8000000000000007</v>
      </c>
      <c r="W14" s="48">
        <f t="shared" si="0"/>
        <v>10</v>
      </c>
      <c r="X14" s="48">
        <f t="shared" si="0"/>
        <v>1.6</v>
      </c>
      <c r="Y14" s="48">
        <f t="shared" si="0"/>
        <v>2.8</v>
      </c>
      <c r="Z14" s="48">
        <f t="shared" si="0"/>
        <v>0.6</v>
      </c>
      <c r="AA14" s="48">
        <f t="shared" si="0"/>
        <v>10</v>
      </c>
      <c r="AB14" s="214">
        <f t="shared" si="0"/>
        <v>6.4999999999999991</v>
      </c>
      <c r="AC14" s="48"/>
      <c r="AD14" s="48"/>
    </row>
    <row r="15" spans="1:31" x14ac:dyDescent="0.4">
      <c r="A15" s="172">
        <v>12</v>
      </c>
      <c r="B15" s="173" t="str">
        <f>BEGINBLAD!C15</f>
        <v>leerling 12</v>
      </c>
    </row>
    <row r="16" spans="1:31" x14ac:dyDescent="0.4">
      <c r="A16" s="172">
        <v>13</v>
      </c>
      <c r="B16" s="173" t="str">
        <f>BEGINBLAD!C16</f>
        <v>leerling 13</v>
      </c>
      <c r="E16" s="49"/>
      <c r="F16" s="49"/>
      <c r="G16" s="49"/>
      <c r="H16" s="49"/>
      <c r="I16" s="49"/>
      <c r="J16" s="49"/>
      <c r="K16" s="49"/>
      <c r="L16" s="49"/>
      <c r="M16" s="49"/>
      <c r="N16" s="49"/>
      <c r="O16" s="49"/>
      <c r="P16" s="49"/>
      <c r="Q16" s="49"/>
      <c r="R16" s="49"/>
      <c r="S16" s="49"/>
      <c r="T16" s="49"/>
      <c r="U16" s="49"/>
    </row>
    <row r="17" spans="1:30" x14ac:dyDescent="0.4">
      <c r="A17" s="172">
        <v>14</v>
      </c>
      <c r="B17" s="173" t="str">
        <f>BEGINBLAD!C17</f>
        <v>leerling 14</v>
      </c>
      <c r="E17" s="49"/>
      <c r="F17" s="49"/>
      <c r="G17" s="49"/>
      <c r="H17" s="49"/>
      <c r="I17" s="49"/>
      <c r="J17" s="49"/>
      <c r="K17" s="49"/>
      <c r="L17" s="49"/>
      <c r="M17" s="49"/>
      <c r="N17" s="49"/>
      <c r="O17" s="49"/>
      <c r="P17" s="49"/>
      <c r="Q17" s="49"/>
      <c r="R17" s="49"/>
      <c r="S17" s="49"/>
      <c r="T17" s="49"/>
      <c r="U17" s="49"/>
    </row>
    <row r="18" spans="1:30" x14ac:dyDescent="0.4">
      <c r="A18" s="172">
        <v>15</v>
      </c>
      <c r="B18" s="173" t="str">
        <f>BEGINBLAD!C18</f>
        <v>leerling 15</v>
      </c>
      <c r="E18" s="50"/>
      <c r="F18" s="49"/>
      <c r="G18" s="49"/>
      <c r="H18" s="49"/>
      <c r="I18" s="49"/>
      <c r="J18" s="49"/>
      <c r="K18" s="49"/>
      <c r="L18" s="49"/>
      <c r="M18" s="49"/>
      <c r="N18" s="49"/>
      <c r="O18" s="49"/>
      <c r="P18" s="49"/>
      <c r="Q18" s="49"/>
      <c r="R18" s="49"/>
      <c r="S18" s="49"/>
      <c r="T18" s="49"/>
      <c r="U18" s="49"/>
    </row>
    <row r="19" spans="1:30" x14ac:dyDescent="0.4">
      <c r="A19" s="172">
        <v>16</v>
      </c>
      <c r="B19" s="173" t="str">
        <f>BEGINBLAD!C19</f>
        <v>leerling 16</v>
      </c>
      <c r="E19" s="51"/>
      <c r="F19" s="51"/>
      <c r="G19" s="51"/>
      <c r="H19" s="51"/>
      <c r="I19" s="49"/>
      <c r="J19" s="51"/>
      <c r="K19" s="51"/>
      <c r="L19" s="49"/>
      <c r="M19" s="49"/>
      <c r="N19" s="51"/>
      <c r="O19" s="51"/>
      <c r="P19" s="49"/>
      <c r="Q19" s="49"/>
      <c r="R19" s="49"/>
      <c r="S19" s="49"/>
      <c r="T19" s="49"/>
      <c r="U19" s="49"/>
    </row>
    <row r="20" spans="1:30" x14ac:dyDescent="0.4">
      <c r="A20" s="172">
        <v>17</v>
      </c>
      <c r="B20" s="173" t="str">
        <f>BEGINBLAD!C20</f>
        <v>leerling 17</v>
      </c>
      <c r="E20" s="52"/>
      <c r="F20" s="52"/>
      <c r="G20" s="53"/>
      <c r="H20" s="53"/>
      <c r="I20" s="49"/>
      <c r="J20" s="52"/>
      <c r="K20" s="52"/>
      <c r="L20" s="49"/>
      <c r="M20" s="49"/>
      <c r="N20" s="53"/>
      <c r="O20" s="53"/>
      <c r="P20" s="49"/>
      <c r="Q20" s="49"/>
      <c r="R20" s="49"/>
      <c r="S20" s="49"/>
      <c r="T20" s="49"/>
      <c r="U20" s="49"/>
    </row>
    <row r="21" spans="1:30" x14ac:dyDescent="0.4">
      <c r="A21" s="172">
        <v>18</v>
      </c>
      <c r="B21" s="173" t="str">
        <f>BEGINBLAD!C21</f>
        <v>leerling 18</v>
      </c>
      <c r="E21" s="49"/>
      <c r="F21" s="49"/>
      <c r="G21" s="49"/>
      <c r="H21" s="49"/>
      <c r="I21" s="49"/>
      <c r="J21" s="49"/>
      <c r="K21" s="49"/>
      <c r="L21" s="49"/>
      <c r="M21" s="49"/>
      <c r="N21" s="49"/>
      <c r="O21" s="49"/>
      <c r="P21" s="49"/>
      <c r="Q21" s="49"/>
      <c r="R21" s="49"/>
      <c r="S21" s="49"/>
      <c r="T21" s="49"/>
      <c r="U21" s="49"/>
    </row>
    <row r="22" spans="1:30" x14ac:dyDescent="0.4">
      <c r="A22" s="172">
        <v>19</v>
      </c>
      <c r="B22" s="173" t="str">
        <f>BEGINBLAD!C22</f>
        <v>leerling 19</v>
      </c>
      <c r="E22" s="49"/>
      <c r="F22" s="49"/>
      <c r="G22" s="49"/>
      <c r="H22" s="49"/>
      <c r="I22" s="49"/>
      <c r="J22" s="49"/>
      <c r="K22" s="49"/>
      <c r="L22" s="49"/>
      <c r="M22" s="49"/>
      <c r="N22" s="49"/>
      <c r="O22" s="49"/>
      <c r="P22" s="49"/>
      <c r="Q22" s="49"/>
      <c r="R22" s="49"/>
      <c r="S22" s="49"/>
      <c r="T22" s="49"/>
      <c r="U22" s="49"/>
    </row>
    <row r="23" spans="1:30" ht="15" customHeight="1" x14ac:dyDescent="0.4">
      <c r="A23" s="172">
        <v>20</v>
      </c>
      <c r="B23" s="173" t="str">
        <f>BEGINBLAD!C23</f>
        <v>leerling 20</v>
      </c>
    </row>
    <row r="24" spans="1:30" x14ac:dyDescent="0.4">
      <c r="A24" s="172">
        <v>21</v>
      </c>
      <c r="B24" s="173" t="str">
        <f>BEGINBLAD!C24</f>
        <v>leerling 21</v>
      </c>
    </row>
    <row r="25" spans="1:30" x14ac:dyDescent="0.4">
      <c r="A25" s="172">
        <v>22</v>
      </c>
      <c r="B25" s="173" t="str">
        <f>BEGINBLAD!C25</f>
        <v>leerling 22</v>
      </c>
    </row>
    <row r="26" spans="1:30" x14ac:dyDescent="0.4">
      <c r="A26" s="172">
        <v>23</v>
      </c>
      <c r="B26" s="173" t="str">
        <f>BEGINBLAD!C26</f>
        <v>leerling 23</v>
      </c>
    </row>
    <row r="27" spans="1:30" x14ac:dyDescent="0.4">
      <c r="A27" s="172">
        <v>24</v>
      </c>
      <c r="B27" s="173" t="str">
        <f>BEGINBLAD!C27</f>
        <v>leerling 24</v>
      </c>
    </row>
    <row r="28" spans="1:30" ht="15.75" customHeight="1" x14ac:dyDescent="0.4">
      <c r="A28" s="172">
        <v>25</v>
      </c>
      <c r="B28" s="173" t="str">
        <f>BEGINBLAD!C28</f>
        <v>leerling 25</v>
      </c>
    </row>
    <row r="29" spans="1:30" x14ac:dyDescent="0.4">
      <c r="A29" s="172">
        <v>26</v>
      </c>
      <c r="B29" s="173" t="str">
        <f>BEGINBLAD!C29</f>
        <v>leerling 26</v>
      </c>
    </row>
    <row r="30" spans="1:30" ht="20.25" thickBot="1" x14ac:dyDescent="0.45">
      <c r="A30" s="172">
        <v>27</v>
      </c>
      <c r="B30" s="173">
        <f>BEGINBLAD!C30</f>
        <v>0</v>
      </c>
    </row>
    <row r="31" spans="1:30" x14ac:dyDescent="0.4">
      <c r="A31" s="172">
        <v>28</v>
      </c>
      <c r="B31" s="173">
        <f>BEGINBLAD!C31</f>
        <v>0</v>
      </c>
      <c r="E31" s="988" t="s">
        <v>64</v>
      </c>
      <c r="F31" s="989"/>
      <c r="G31" s="998" t="s">
        <v>65</v>
      </c>
      <c r="H31" s="998"/>
      <c r="I31" s="998"/>
      <c r="J31" s="998"/>
      <c r="K31" s="998"/>
      <c r="L31" s="998"/>
      <c r="M31" s="998"/>
      <c r="N31" s="998"/>
      <c r="O31" s="998"/>
      <c r="P31" s="998"/>
      <c r="Q31" s="998"/>
      <c r="R31" s="998"/>
      <c r="S31" s="998"/>
      <c r="T31" s="998"/>
      <c r="U31" s="998"/>
      <c r="V31" s="998"/>
      <c r="W31" s="998"/>
      <c r="X31" s="998"/>
      <c r="Y31" s="998"/>
      <c r="Z31" s="998"/>
      <c r="AA31" s="998"/>
      <c r="AB31" s="998"/>
      <c r="AC31" s="998"/>
      <c r="AD31" s="999"/>
    </row>
    <row r="32" spans="1:30" x14ac:dyDescent="0.4">
      <c r="A32" s="172">
        <v>29</v>
      </c>
      <c r="B32" s="173">
        <f>BEGINBLAD!C32</f>
        <v>0</v>
      </c>
      <c r="E32" s="990"/>
      <c r="F32" s="991"/>
      <c r="G32" s="1001"/>
      <c r="H32" s="1001"/>
      <c r="I32" s="1001"/>
      <c r="J32" s="1001"/>
      <c r="K32" s="1001"/>
      <c r="L32" s="1001"/>
      <c r="M32" s="1001"/>
      <c r="N32" s="1001"/>
      <c r="O32" s="1001"/>
      <c r="P32" s="1001"/>
      <c r="Q32" s="1001"/>
      <c r="R32" s="1001"/>
      <c r="S32" s="1001"/>
      <c r="T32" s="1001"/>
      <c r="U32" s="1001"/>
      <c r="V32" s="1001"/>
      <c r="W32" s="1001"/>
      <c r="X32" s="1001"/>
      <c r="Y32" s="1001"/>
      <c r="Z32" s="1001"/>
      <c r="AA32" s="1001"/>
      <c r="AB32" s="1001"/>
      <c r="AC32" s="1001"/>
      <c r="AD32" s="1002"/>
    </row>
    <row r="33" spans="1:30" x14ac:dyDescent="0.4">
      <c r="A33" s="172">
        <v>30</v>
      </c>
      <c r="B33" s="173">
        <f>BEGINBLAD!C33</f>
        <v>0</v>
      </c>
      <c r="E33" s="990"/>
      <c r="F33" s="991"/>
      <c r="G33" s="1001"/>
      <c r="H33" s="1001"/>
      <c r="I33" s="1001"/>
      <c r="J33" s="1001"/>
      <c r="K33" s="1001"/>
      <c r="L33" s="1001"/>
      <c r="M33" s="1001"/>
      <c r="N33" s="1001"/>
      <c r="O33" s="1001"/>
      <c r="P33" s="1001"/>
      <c r="Q33" s="1001"/>
      <c r="R33" s="1001"/>
      <c r="S33" s="1001"/>
      <c r="T33" s="1001"/>
      <c r="U33" s="1001"/>
      <c r="V33" s="1001"/>
      <c r="W33" s="1001"/>
      <c r="X33" s="1001"/>
      <c r="Y33" s="1001"/>
      <c r="Z33" s="1001"/>
      <c r="AA33" s="1001"/>
      <c r="AB33" s="1001"/>
      <c r="AC33" s="1001"/>
      <c r="AD33" s="1002"/>
    </row>
    <row r="34" spans="1:30" x14ac:dyDescent="0.4">
      <c r="A34" s="172">
        <v>31</v>
      </c>
      <c r="B34" s="173">
        <f>BEGINBLAD!C34</f>
        <v>0</v>
      </c>
      <c r="E34" s="990"/>
      <c r="F34" s="991"/>
      <c r="G34" s="1001"/>
      <c r="H34" s="1001"/>
      <c r="I34" s="1001"/>
      <c r="J34" s="1001"/>
      <c r="K34" s="1001"/>
      <c r="L34" s="1001"/>
      <c r="M34" s="1001"/>
      <c r="N34" s="1001"/>
      <c r="O34" s="1001"/>
      <c r="P34" s="1001"/>
      <c r="Q34" s="1001"/>
      <c r="R34" s="1001"/>
      <c r="S34" s="1001"/>
      <c r="T34" s="1001"/>
      <c r="U34" s="1001"/>
      <c r="V34" s="1001"/>
      <c r="W34" s="1001"/>
      <c r="X34" s="1001"/>
      <c r="Y34" s="1001"/>
      <c r="Z34" s="1001"/>
      <c r="AA34" s="1001"/>
      <c r="AB34" s="1001"/>
      <c r="AC34" s="1001"/>
      <c r="AD34" s="1002"/>
    </row>
    <row r="35" spans="1:30" x14ac:dyDescent="0.4">
      <c r="A35" s="172">
        <v>32</v>
      </c>
      <c r="B35" s="173">
        <f>BEGINBLAD!C35</f>
        <v>0</v>
      </c>
      <c r="E35" s="990"/>
      <c r="F35" s="991"/>
      <c r="G35" s="1001"/>
      <c r="H35" s="1001"/>
      <c r="I35" s="1001"/>
      <c r="J35" s="1001"/>
      <c r="K35" s="1001"/>
      <c r="L35" s="1001"/>
      <c r="M35" s="1001"/>
      <c r="N35" s="1001"/>
      <c r="O35" s="1001"/>
      <c r="P35" s="1001"/>
      <c r="Q35" s="1001"/>
      <c r="R35" s="1001"/>
      <c r="S35" s="1001"/>
      <c r="T35" s="1001"/>
      <c r="U35" s="1001"/>
      <c r="V35" s="1001"/>
      <c r="W35" s="1001"/>
      <c r="X35" s="1001"/>
      <c r="Y35" s="1001"/>
      <c r="Z35" s="1001"/>
      <c r="AA35" s="1001"/>
      <c r="AB35" s="1001"/>
      <c r="AC35" s="1001"/>
      <c r="AD35" s="1002"/>
    </row>
    <row r="36" spans="1:30" ht="20.25" thickBot="1" x14ac:dyDescent="0.45">
      <c r="A36" s="172">
        <v>33</v>
      </c>
      <c r="B36" s="173">
        <f>BEGINBLAD!C36</f>
        <v>0</v>
      </c>
      <c r="E36" s="992"/>
      <c r="F36" s="993"/>
      <c r="G36" s="1004"/>
      <c r="H36" s="1004"/>
      <c r="I36" s="1004"/>
      <c r="J36" s="1004"/>
      <c r="K36" s="1004"/>
      <c r="L36" s="1004"/>
      <c r="M36" s="1004"/>
      <c r="N36" s="1004"/>
      <c r="O36" s="1004"/>
      <c r="P36" s="1004"/>
      <c r="Q36" s="1004"/>
      <c r="R36" s="1004"/>
      <c r="S36" s="1004"/>
      <c r="T36" s="1004"/>
      <c r="U36" s="1004"/>
      <c r="V36" s="1004"/>
      <c r="W36" s="1004"/>
      <c r="X36" s="1004"/>
      <c r="Y36" s="1004"/>
      <c r="Z36" s="1004"/>
      <c r="AA36" s="1004"/>
      <c r="AB36" s="1004"/>
      <c r="AC36" s="1004"/>
      <c r="AD36" s="1005"/>
    </row>
    <row r="37" spans="1:30" ht="19.5" customHeight="1" thickBot="1" x14ac:dyDescent="0.65">
      <c r="A37" s="172">
        <v>34</v>
      </c>
      <c r="B37" s="173">
        <f>BEGINBLAD!C37</f>
        <v>0</v>
      </c>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row>
    <row r="38" spans="1:30" ht="19.5" customHeight="1" x14ac:dyDescent="0.4">
      <c r="A38" s="172">
        <v>35</v>
      </c>
      <c r="B38" s="173">
        <f>BEGINBLAD!C38</f>
        <v>0</v>
      </c>
      <c r="E38" s="988" t="s">
        <v>66</v>
      </c>
      <c r="F38" s="989"/>
      <c r="G38" s="998" t="s">
        <v>67</v>
      </c>
      <c r="H38" s="998"/>
      <c r="I38" s="998"/>
      <c r="J38" s="998"/>
      <c r="K38" s="998"/>
      <c r="L38" s="998"/>
      <c r="M38" s="998"/>
      <c r="N38" s="998"/>
      <c r="O38" s="998"/>
      <c r="P38" s="998"/>
      <c r="Q38" s="998"/>
      <c r="R38" s="998"/>
      <c r="S38" s="998"/>
      <c r="T38" s="998"/>
      <c r="U38" s="998"/>
      <c r="V38" s="998"/>
      <c r="W38" s="998"/>
      <c r="X38" s="998"/>
      <c r="Y38" s="998"/>
      <c r="Z38" s="998"/>
      <c r="AA38" s="998"/>
      <c r="AB38" s="998"/>
      <c r="AC38" s="998"/>
      <c r="AD38" s="999"/>
    </row>
    <row r="39" spans="1:30" ht="19.5" customHeight="1" x14ac:dyDescent="0.4">
      <c r="A39" s="172">
        <v>36</v>
      </c>
      <c r="B39" s="173">
        <f>BEGINBLAD!C39</f>
        <v>0</v>
      </c>
      <c r="E39" s="990"/>
      <c r="F39" s="991"/>
      <c r="G39" s="1001"/>
      <c r="H39" s="1001"/>
      <c r="I39" s="1001"/>
      <c r="J39" s="1001"/>
      <c r="K39" s="1001"/>
      <c r="L39" s="1001"/>
      <c r="M39" s="1001"/>
      <c r="N39" s="1001"/>
      <c r="O39" s="1001"/>
      <c r="P39" s="1001"/>
      <c r="Q39" s="1001"/>
      <c r="R39" s="1001"/>
      <c r="S39" s="1001"/>
      <c r="T39" s="1001"/>
      <c r="U39" s="1001"/>
      <c r="V39" s="1001"/>
      <c r="W39" s="1001"/>
      <c r="X39" s="1001"/>
      <c r="Y39" s="1001"/>
      <c r="Z39" s="1001"/>
      <c r="AA39" s="1001"/>
      <c r="AB39" s="1001"/>
      <c r="AC39" s="1001"/>
      <c r="AD39" s="1002"/>
    </row>
    <row r="40" spans="1:30" ht="19.5" customHeight="1" x14ac:dyDescent="0.4">
      <c r="E40" s="990"/>
      <c r="F40" s="991"/>
      <c r="G40" s="1001"/>
      <c r="H40" s="1001"/>
      <c r="I40" s="1001"/>
      <c r="J40" s="1001"/>
      <c r="K40" s="1001"/>
      <c r="L40" s="1001"/>
      <c r="M40" s="1001"/>
      <c r="N40" s="1001"/>
      <c r="O40" s="1001"/>
      <c r="P40" s="1001"/>
      <c r="Q40" s="1001"/>
      <c r="R40" s="1001"/>
      <c r="S40" s="1001"/>
      <c r="T40" s="1001"/>
      <c r="U40" s="1001"/>
      <c r="V40" s="1001"/>
      <c r="W40" s="1001"/>
      <c r="X40" s="1001"/>
      <c r="Y40" s="1001"/>
      <c r="Z40" s="1001"/>
      <c r="AA40" s="1001"/>
      <c r="AB40" s="1001"/>
      <c r="AC40" s="1001"/>
      <c r="AD40" s="1002"/>
    </row>
    <row r="41" spans="1:30" ht="19.5" customHeight="1" x14ac:dyDescent="0.4">
      <c r="A41" s="54"/>
      <c r="B41" s="55"/>
      <c r="E41" s="990"/>
      <c r="F41" s="991"/>
      <c r="G41" s="1001"/>
      <c r="H41" s="1001"/>
      <c r="I41" s="1001"/>
      <c r="J41" s="1001"/>
      <c r="K41" s="1001"/>
      <c r="L41" s="1001"/>
      <c r="M41" s="1001"/>
      <c r="N41" s="1001"/>
      <c r="O41" s="1001"/>
      <c r="P41" s="1001"/>
      <c r="Q41" s="1001"/>
      <c r="R41" s="1001"/>
      <c r="S41" s="1001"/>
      <c r="T41" s="1001"/>
      <c r="U41" s="1001"/>
      <c r="V41" s="1001"/>
      <c r="W41" s="1001"/>
      <c r="X41" s="1001"/>
      <c r="Y41" s="1001"/>
      <c r="Z41" s="1001"/>
      <c r="AA41" s="1001"/>
      <c r="AB41" s="1001"/>
      <c r="AC41" s="1001"/>
      <c r="AD41" s="1002"/>
    </row>
    <row r="42" spans="1:30" ht="19.5" customHeight="1" x14ac:dyDescent="0.4">
      <c r="A42" s="54"/>
      <c r="B42" s="55"/>
      <c r="E42" s="990"/>
      <c r="F42" s="991"/>
      <c r="G42" s="1001"/>
      <c r="H42" s="1001"/>
      <c r="I42" s="1001"/>
      <c r="J42" s="1001"/>
      <c r="K42" s="1001"/>
      <c r="L42" s="1001"/>
      <c r="M42" s="1001"/>
      <c r="N42" s="1001"/>
      <c r="O42" s="1001"/>
      <c r="P42" s="1001"/>
      <c r="Q42" s="1001"/>
      <c r="R42" s="1001"/>
      <c r="S42" s="1001"/>
      <c r="T42" s="1001"/>
      <c r="U42" s="1001"/>
      <c r="V42" s="1001"/>
      <c r="W42" s="1001"/>
      <c r="X42" s="1001"/>
      <c r="Y42" s="1001"/>
      <c r="Z42" s="1001"/>
      <c r="AA42" s="1001"/>
      <c r="AB42" s="1001"/>
      <c r="AC42" s="1001"/>
      <c r="AD42" s="1002"/>
    </row>
    <row r="43" spans="1:30" ht="19.5" customHeight="1" thickBot="1" x14ac:dyDescent="0.45">
      <c r="E43" s="992"/>
      <c r="F43" s="993"/>
      <c r="G43" s="1004"/>
      <c r="H43" s="1004"/>
      <c r="I43" s="1004"/>
      <c r="J43" s="1004"/>
      <c r="K43" s="1004"/>
      <c r="L43" s="1004"/>
      <c r="M43" s="1004"/>
      <c r="N43" s="1004"/>
      <c r="O43" s="1004"/>
      <c r="P43" s="1004"/>
      <c r="Q43" s="1004"/>
      <c r="R43" s="1004"/>
      <c r="S43" s="1004"/>
      <c r="T43" s="1004"/>
      <c r="U43" s="1004"/>
      <c r="V43" s="1004"/>
      <c r="W43" s="1004"/>
      <c r="X43" s="1004"/>
      <c r="Y43" s="1004"/>
      <c r="Z43" s="1004"/>
      <c r="AA43" s="1004"/>
      <c r="AB43" s="1004"/>
      <c r="AC43" s="1004"/>
      <c r="AD43" s="1005"/>
    </row>
    <row r="44" spans="1:30" ht="19.5" customHeight="1" thickBot="1" x14ac:dyDescent="0.65">
      <c r="G44" s="231"/>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row>
    <row r="45" spans="1:30" ht="19.5" customHeight="1" x14ac:dyDescent="0.4">
      <c r="E45" s="988" t="s">
        <v>68</v>
      </c>
      <c r="F45" s="989"/>
      <c r="G45" s="998" t="s">
        <v>69</v>
      </c>
      <c r="H45" s="998"/>
      <c r="I45" s="998"/>
      <c r="J45" s="998"/>
      <c r="K45" s="998"/>
      <c r="L45" s="998"/>
      <c r="M45" s="998"/>
      <c r="N45" s="998"/>
      <c r="O45" s="998"/>
      <c r="P45" s="998"/>
      <c r="Q45" s="998"/>
      <c r="R45" s="998"/>
      <c r="S45" s="998"/>
      <c r="T45" s="998"/>
      <c r="U45" s="998"/>
      <c r="V45" s="998"/>
      <c r="W45" s="998"/>
      <c r="X45" s="998"/>
      <c r="Y45" s="998"/>
      <c r="Z45" s="998"/>
      <c r="AA45" s="998"/>
      <c r="AB45" s="998"/>
      <c r="AC45" s="998"/>
      <c r="AD45" s="999"/>
    </row>
    <row r="46" spans="1:30" ht="19.5" customHeight="1" x14ac:dyDescent="0.4">
      <c r="E46" s="990"/>
      <c r="F46" s="991"/>
      <c r="G46" s="1001"/>
      <c r="H46" s="1001"/>
      <c r="I46" s="1001"/>
      <c r="J46" s="1001"/>
      <c r="K46" s="1001"/>
      <c r="L46" s="1001"/>
      <c r="M46" s="1001"/>
      <c r="N46" s="1001"/>
      <c r="O46" s="1001"/>
      <c r="P46" s="1001"/>
      <c r="Q46" s="1001"/>
      <c r="R46" s="1001"/>
      <c r="S46" s="1001"/>
      <c r="T46" s="1001"/>
      <c r="U46" s="1001"/>
      <c r="V46" s="1001"/>
      <c r="W46" s="1001"/>
      <c r="X46" s="1001"/>
      <c r="Y46" s="1001"/>
      <c r="Z46" s="1001"/>
      <c r="AA46" s="1001"/>
      <c r="AB46" s="1001"/>
      <c r="AC46" s="1001"/>
      <c r="AD46" s="1002"/>
    </row>
    <row r="47" spans="1:30" ht="19.5" customHeight="1" x14ac:dyDescent="0.4">
      <c r="E47" s="990"/>
      <c r="F47" s="991"/>
      <c r="G47" s="1001"/>
      <c r="H47" s="1001"/>
      <c r="I47" s="1001"/>
      <c r="J47" s="1001"/>
      <c r="K47" s="1001"/>
      <c r="L47" s="1001"/>
      <c r="M47" s="1001"/>
      <c r="N47" s="1001"/>
      <c r="O47" s="1001"/>
      <c r="P47" s="1001"/>
      <c r="Q47" s="1001"/>
      <c r="R47" s="1001"/>
      <c r="S47" s="1001"/>
      <c r="T47" s="1001"/>
      <c r="U47" s="1001"/>
      <c r="V47" s="1001"/>
      <c r="W47" s="1001"/>
      <c r="X47" s="1001"/>
      <c r="Y47" s="1001"/>
      <c r="Z47" s="1001"/>
      <c r="AA47" s="1001"/>
      <c r="AB47" s="1001"/>
      <c r="AC47" s="1001"/>
      <c r="AD47" s="1002"/>
    </row>
    <row r="48" spans="1:30" ht="19.5" customHeight="1" x14ac:dyDescent="0.4">
      <c r="E48" s="990"/>
      <c r="F48" s="991"/>
      <c r="G48" s="1001"/>
      <c r="H48" s="1001"/>
      <c r="I48" s="1001"/>
      <c r="J48" s="1001"/>
      <c r="K48" s="1001"/>
      <c r="L48" s="1001"/>
      <c r="M48" s="1001"/>
      <c r="N48" s="1001"/>
      <c r="O48" s="1001"/>
      <c r="P48" s="1001"/>
      <c r="Q48" s="1001"/>
      <c r="R48" s="1001"/>
      <c r="S48" s="1001"/>
      <c r="T48" s="1001"/>
      <c r="U48" s="1001"/>
      <c r="V48" s="1001"/>
      <c r="W48" s="1001"/>
      <c r="X48" s="1001"/>
      <c r="Y48" s="1001"/>
      <c r="Z48" s="1001"/>
      <c r="AA48" s="1001"/>
      <c r="AB48" s="1001"/>
      <c r="AC48" s="1001"/>
      <c r="AD48" s="1002"/>
    </row>
    <row r="49" spans="5:30" ht="19.5" customHeight="1" x14ac:dyDescent="0.4">
      <c r="E49" s="990"/>
      <c r="F49" s="991"/>
      <c r="G49" s="1001"/>
      <c r="H49" s="1001"/>
      <c r="I49" s="1001"/>
      <c r="J49" s="1001"/>
      <c r="K49" s="1001"/>
      <c r="L49" s="1001"/>
      <c r="M49" s="1001"/>
      <c r="N49" s="1001"/>
      <c r="O49" s="1001"/>
      <c r="P49" s="1001"/>
      <c r="Q49" s="1001"/>
      <c r="R49" s="1001"/>
      <c r="S49" s="1001"/>
      <c r="T49" s="1001"/>
      <c r="U49" s="1001"/>
      <c r="V49" s="1001"/>
      <c r="W49" s="1001"/>
      <c r="X49" s="1001"/>
      <c r="Y49" s="1001"/>
      <c r="Z49" s="1001"/>
      <c r="AA49" s="1001"/>
      <c r="AB49" s="1001"/>
      <c r="AC49" s="1001"/>
      <c r="AD49" s="1002"/>
    </row>
    <row r="50" spans="5:30" ht="19.5" customHeight="1" thickBot="1" x14ac:dyDescent="0.45">
      <c r="E50" s="992"/>
      <c r="F50" s="993"/>
      <c r="G50" s="1004"/>
      <c r="H50" s="1004"/>
      <c r="I50" s="1004"/>
      <c r="J50" s="1004"/>
      <c r="K50" s="1004"/>
      <c r="L50" s="1004"/>
      <c r="M50" s="1004"/>
      <c r="N50" s="1004"/>
      <c r="O50" s="1004"/>
      <c r="P50" s="1004"/>
      <c r="Q50" s="1004"/>
      <c r="R50" s="1004"/>
      <c r="S50" s="1004"/>
      <c r="T50" s="1004"/>
      <c r="U50" s="1004"/>
      <c r="V50" s="1004"/>
      <c r="W50" s="1004"/>
      <c r="X50" s="1004"/>
      <c r="Y50" s="1004"/>
      <c r="Z50" s="1004"/>
      <c r="AA50" s="1004"/>
      <c r="AB50" s="1004"/>
      <c r="AC50" s="1004"/>
      <c r="AD50" s="1005"/>
    </row>
    <row r="51" spans="5:30" ht="19.5" customHeight="1" thickBot="1" x14ac:dyDescent="0.65">
      <c r="G51" s="231"/>
      <c r="H51" s="231"/>
      <c r="I51" s="231"/>
      <c r="J51" s="231"/>
      <c r="K51" s="231"/>
      <c r="L51" s="231"/>
      <c r="M51" s="231"/>
      <c r="N51" s="231"/>
      <c r="O51" s="231"/>
      <c r="P51" s="231"/>
      <c r="Q51" s="231"/>
      <c r="R51" s="231"/>
      <c r="S51" s="231"/>
      <c r="T51" s="231"/>
      <c r="U51" s="231"/>
      <c r="V51" s="231"/>
      <c r="W51" s="231"/>
      <c r="X51" s="231"/>
      <c r="Y51" s="231"/>
      <c r="Z51" s="231"/>
      <c r="AA51" s="231"/>
      <c r="AB51" s="231"/>
      <c r="AC51" s="231"/>
      <c r="AD51" s="231"/>
    </row>
    <row r="52" spans="5:30" ht="19.5" customHeight="1" x14ac:dyDescent="0.4">
      <c r="E52" s="988" t="s">
        <v>70</v>
      </c>
      <c r="F52" s="989"/>
      <c r="G52" s="998" t="s">
        <v>71</v>
      </c>
      <c r="H52" s="998"/>
      <c r="I52" s="998"/>
      <c r="J52" s="998"/>
      <c r="K52" s="998"/>
      <c r="L52" s="998"/>
      <c r="M52" s="998"/>
      <c r="N52" s="998"/>
      <c r="O52" s="998"/>
      <c r="P52" s="998"/>
      <c r="Q52" s="998"/>
      <c r="R52" s="998"/>
      <c r="S52" s="998"/>
      <c r="T52" s="998"/>
      <c r="U52" s="998"/>
      <c r="V52" s="998"/>
      <c r="W52" s="998"/>
      <c r="X52" s="998"/>
      <c r="Y52" s="998"/>
      <c r="Z52" s="998"/>
      <c r="AA52" s="998"/>
      <c r="AB52" s="998"/>
      <c r="AC52" s="998"/>
      <c r="AD52" s="999"/>
    </row>
    <row r="53" spans="5:30" ht="19.5" customHeight="1" x14ac:dyDescent="0.4">
      <c r="E53" s="990"/>
      <c r="F53" s="991"/>
      <c r="G53" s="1001"/>
      <c r="H53" s="1001"/>
      <c r="I53" s="1001"/>
      <c r="J53" s="1001"/>
      <c r="K53" s="1001"/>
      <c r="L53" s="1001"/>
      <c r="M53" s="1001"/>
      <c r="N53" s="1001"/>
      <c r="O53" s="1001"/>
      <c r="P53" s="1001"/>
      <c r="Q53" s="1001"/>
      <c r="R53" s="1001"/>
      <c r="S53" s="1001"/>
      <c r="T53" s="1001"/>
      <c r="U53" s="1001"/>
      <c r="V53" s="1001"/>
      <c r="W53" s="1001"/>
      <c r="X53" s="1001"/>
      <c r="Y53" s="1001"/>
      <c r="Z53" s="1001"/>
      <c r="AA53" s="1001"/>
      <c r="AB53" s="1001"/>
      <c r="AC53" s="1001"/>
      <c r="AD53" s="1002"/>
    </row>
    <row r="54" spans="5:30" ht="19.5" customHeight="1" x14ac:dyDescent="0.4">
      <c r="E54" s="990"/>
      <c r="F54" s="991"/>
      <c r="G54" s="1001"/>
      <c r="H54" s="1001"/>
      <c r="I54" s="1001"/>
      <c r="J54" s="1001"/>
      <c r="K54" s="1001"/>
      <c r="L54" s="1001"/>
      <c r="M54" s="1001"/>
      <c r="N54" s="1001"/>
      <c r="O54" s="1001"/>
      <c r="P54" s="1001"/>
      <c r="Q54" s="1001"/>
      <c r="R54" s="1001"/>
      <c r="S54" s="1001"/>
      <c r="T54" s="1001"/>
      <c r="U54" s="1001"/>
      <c r="V54" s="1001"/>
      <c r="W54" s="1001"/>
      <c r="X54" s="1001"/>
      <c r="Y54" s="1001"/>
      <c r="Z54" s="1001"/>
      <c r="AA54" s="1001"/>
      <c r="AB54" s="1001"/>
      <c r="AC54" s="1001"/>
      <c r="AD54" s="1002"/>
    </row>
    <row r="55" spans="5:30" ht="19.5" customHeight="1" x14ac:dyDescent="0.4">
      <c r="E55" s="990"/>
      <c r="F55" s="991"/>
      <c r="G55" s="1001"/>
      <c r="H55" s="1001"/>
      <c r="I55" s="1001"/>
      <c r="J55" s="1001"/>
      <c r="K55" s="1001"/>
      <c r="L55" s="1001"/>
      <c r="M55" s="1001"/>
      <c r="N55" s="1001"/>
      <c r="O55" s="1001"/>
      <c r="P55" s="1001"/>
      <c r="Q55" s="1001"/>
      <c r="R55" s="1001"/>
      <c r="S55" s="1001"/>
      <c r="T55" s="1001"/>
      <c r="U55" s="1001"/>
      <c r="V55" s="1001"/>
      <c r="W55" s="1001"/>
      <c r="X55" s="1001"/>
      <c r="Y55" s="1001"/>
      <c r="Z55" s="1001"/>
      <c r="AA55" s="1001"/>
      <c r="AB55" s="1001"/>
      <c r="AC55" s="1001"/>
      <c r="AD55" s="1002"/>
    </row>
    <row r="56" spans="5:30" ht="19.5" customHeight="1" x14ac:dyDescent="0.4">
      <c r="E56" s="990"/>
      <c r="F56" s="991"/>
      <c r="G56" s="1001"/>
      <c r="H56" s="1001"/>
      <c r="I56" s="1001"/>
      <c r="J56" s="1001"/>
      <c r="K56" s="1001"/>
      <c r="L56" s="1001"/>
      <c r="M56" s="1001"/>
      <c r="N56" s="1001"/>
      <c r="O56" s="1001"/>
      <c r="P56" s="1001"/>
      <c r="Q56" s="1001"/>
      <c r="R56" s="1001"/>
      <c r="S56" s="1001"/>
      <c r="T56" s="1001"/>
      <c r="U56" s="1001"/>
      <c r="V56" s="1001"/>
      <c r="W56" s="1001"/>
      <c r="X56" s="1001"/>
      <c r="Y56" s="1001"/>
      <c r="Z56" s="1001"/>
      <c r="AA56" s="1001"/>
      <c r="AB56" s="1001"/>
      <c r="AC56" s="1001"/>
      <c r="AD56" s="1002"/>
    </row>
    <row r="57" spans="5:30" ht="19.5" customHeight="1" thickBot="1" x14ac:dyDescent="0.45">
      <c r="E57" s="992"/>
      <c r="F57" s="993"/>
      <c r="G57" s="1004"/>
      <c r="H57" s="1004"/>
      <c r="I57" s="1004"/>
      <c r="J57" s="1004"/>
      <c r="K57" s="1004"/>
      <c r="L57" s="1004"/>
      <c r="M57" s="1004"/>
      <c r="N57" s="1004"/>
      <c r="O57" s="1004"/>
      <c r="P57" s="1004"/>
      <c r="Q57" s="1004"/>
      <c r="R57" s="1004"/>
      <c r="S57" s="1004"/>
      <c r="T57" s="1004"/>
      <c r="U57" s="1004"/>
      <c r="V57" s="1004"/>
      <c r="W57" s="1004"/>
      <c r="X57" s="1004"/>
      <c r="Y57" s="1004"/>
      <c r="Z57" s="1004"/>
      <c r="AA57" s="1004"/>
      <c r="AB57" s="1004"/>
      <c r="AC57" s="1004"/>
      <c r="AD57" s="1005"/>
    </row>
    <row r="58" spans="5:30" ht="19.5" customHeight="1" thickBot="1" x14ac:dyDescent="0.65">
      <c r="G58" s="231"/>
      <c r="H58" s="231"/>
      <c r="I58" s="231"/>
      <c r="J58" s="231"/>
      <c r="K58" s="231"/>
      <c r="L58" s="231"/>
      <c r="M58" s="231"/>
      <c r="N58" s="231"/>
      <c r="O58" s="231"/>
      <c r="P58" s="231"/>
      <c r="Q58" s="231"/>
      <c r="R58" s="231"/>
      <c r="S58" s="231"/>
      <c r="T58" s="231"/>
      <c r="U58" s="231"/>
      <c r="V58" s="231"/>
      <c r="W58" s="231"/>
      <c r="X58" s="231"/>
      <c r="Y58" s="231"/>
      <c r="Z58" s="231"/>
      <c r="AA58" s="231"/>
      <c r="AB58" s="231"/>
      <c r="AC58" s="231"/>
      <c r="AD58" s="231"/>
    </row>
    <row r="59" spans="5:30" ht="19.5" customHeight="1" x14ac:dyDescent="0.4">
      <c r="E59" s="988" t="s">
        <v>72</v>
      </c>
      <c r="F59" s="989"/>
      <c r="G59" s="1018" t="s">
        <v>73</v>
      </c>
      <c r="H59" s="998"/>
      <c r="I59" s="998"/>
      <c r="J59" s="998"/>
      <c r="K59" s="998"/>
      <c r="L59" s="998"/>
      <c r="M59" s="998"/>
      <c r="N59" s="998"/>
      <c r="O59" s="998"/>
      <c r="P59" s="998"/>
      <c r="Q59" s="998"/>
      <c r="R59" s="998"/>
      <c r="S59" s="998"/>
      <c r="T59" s="998"/>
      <c r="U59" s="998"/>
      <c r="V59" s="998"/>
      <c r="W59" s="998"/>
      <c r="X59" s="998"/>
      <c r="Y59" s="998"/>
      <c r="Z59" s="998"/>
      <c r="AA59" s="998"/>
      <c r="AB59" s="998"/>
      <c r="AC59" s="998"/>
      <c r="AD59" s="999"/>
    </row>
    <row r="60" spans="5:30" ht="19.5" customHeight="1" x14ac:dyDescent="0.4">
      <c r="E60" s="990"/>
      <c r="F60" s="991"/>
      <c r="G60" s="1001"/>
      <c r="H60" s="1001"/>
      <c r="I60" s="1001"/>
      <c r="J60" s="1001"/>
      <c r="K60" s="1001"/>
      <c r="L60" s="1001"/>
      <c r="M60" s="1001"/>
      <c r="N60" s="1001"/>
      <c r="O60" s="1001"/>
      <c r="P60" s="1001"/>
      <c r="Q60" s="1001"/>
      <c r="R60" s="1001"/>
      <c r="S60" s="1001"/>
      <c r="T60" s="1001"/>
      <c r="U60" s="1001"/>
      <c r="V60" s="1001"/>
      <c r="W60" s="1001"/>
      <c r="X60" s="1001"/>
      <c r="Y60" s="1001"/>
      <c r="Z60" s="1001"/>
      <c r="AA60" s="1001"/>
      <c r="AB60" s="1001"/>
      <c r="AC60" s="1001"/>
      <c r="AD60" s="1002"/>
    </row>
    <row r="61" spans="5:30" ht="19.5" customHeight="1" x14ac:dyDescent="0.4">
      <c r="E61" s="990"/>
      <c r="F61" s="991"/>
      <c r="G61" s="1001"/>
      <c r="H61" s="1001"/>
      <c r="I61" s="1001"/>
      <c r="J61" s="1001"/>
      <c r="K61" s="1001"/>
      <c r="L61" s="1001"/>
      <c r="M61" s="1001"/>
      <c r="N61" s="1001"/>
      <c r="O61" s="1001"/>
      <c r="P61" s="1001"/>
      <c r="Q61" s="1001"/>
      <c r="R61" s="1001"/>
      <c r="S61" s="1001"/>
      <c r="T61" s="1001"/>
      <c r="U61" s="1001"/>
      <c r="V61" s="1001"/>
      <c r="W61" s="1001"/>
      <c r="X61" s="1001"/>
      <c r="Y61" s="1001"/>
      <c r="Z61" s="1001"/>
      <c r="AA61" s="1001"/>
      <c r="AB61" s="1001"/>
      <c r="AC61" s="1001"/>
      <c r="AD61" s="1002"/>
    </row>
    <row r="62" spans="5:30" ht="19.5" customHeight="1" x14ac:dyDescent="0.4">
      <c r="E62" s="990"/>
      <c r="F62" s="991"/>
      <c r="G62" s="1001"/>
      <c r="H62" s="1001"/>
      <c r="I62" s="1001"/>
      <c r="J62" s="1001"/>
      <c r="K62" s="1001"/>
      <c r="L62" s="1001"/>
      <c r="M62" s="1001"/>
      <c r="N62" s="1001"/>
      <c r="O62" s="1001"/>
      <c r="P62" s="1001"/>
      <c r="Q62" s="1001"/>
      <c r="R62" s="1001"/>
      <c r="S62" s="1001"/>
      <c r="T62" s="1001"/>
      <c r="U62" s="1001"/>
      <c r="V62" s="1001"/>
      <c r="W62" s="1001"/>
      <c r="X62" s="1001"/>
      <c r="Y62" s="1001"/>
      <c r="Z62" s="1001"/>
      <c r="AA62" s="1001"/>
      <c r="AB62" s="1001"/>
      <c r="AC62" s="1001"/>
      <c r="AD62" s="1002"/>
    </row>
    <row r="63" spans="5:30" ht="19.5" customHeight="1" x14ac:dyDescent="0.4">
      <c r="E63" s="990"/>
      <c r="F63" s="991"/>
      <c r="G63" s="1001"/>
      <c r="H63" s="1001"/>
      <c r="I63" s="1001"/>
      <c r="J63" s="1001"/>
      <c r="K63" s="1001"/>
      <c r="L63" s="1001"/>
      <c r="M63" s="1001"/>
      <c r="N63" s="1001"/>
      <c r="O63" s="1001"/>
      <c r="P63" s="1001"/>
      <c r="Q63" s="1001"/>
      <c r="R63" s="1001"/>
      <c r="S63" s="1001"/>
      <c r="T63" s="1001"/>
      <c r="U63" s="1001"/>
      <c r="V63" s="1001"/>
      <c r="W63" s="1001"/>
      <c r="X63" s="1001"/>
      <c r="Y63" s="1001"/>
      <c r="Z63" s="1001"/>
      <c r="AA63" s="1001"/>
      <c r="AB63" s="1001"/>
      <c r="AC63" s="1001"/>
      <c r="AD63" s="1002"/>
    </row>
    <row r="64" spans="5:30" ht="19.5" customHeight="1" x14ac:dyDescent="0.4">
      <c r="E64" s="990"/>
      <c r="F64" s="991"/>
      <c r="G64" s="1001"/>
      <c r="H64" s="1001"/>
      <c r="I64" s="1001"/>
      <c r="J64" s="1001"/>
      <c r="K64" s="1001"/>
      <c r="L64" s="1001"/>
      <c r="M64" s="1001"/>
      <c r="N64" s="1001"/>
      <c r="O64" s="1001"/>
      <c r="P64" s="1001"/>
      <c r="Q64" s="1001"/>
      <c r="R64" s="1001"/>
      <c r="S64" s="1001"/>
      <c r="T64" s="1001"/>
      <c r="U64" s="1001"/>
      <c r="V64" s="1001"/>
      <c r="W64" s="1001"/>
      <c r="X64" s="1001"/>
      <c r="Y64" s="1001"/>
      <c r="Z64" s="1001"/>
      <c r="AA64" s="1001"/>
      <c r="AB64" s="1001"/>
      <c r="AC64" s="1001"/>
      <c r="AD64" s="1002"/>
    </row>
    <row r="65" spans="5:30" ht="19.5" customHeight="1" thickBot="1" x14ac:dyDescent="0.45">
      <c r="E65" s="992"/>
      <c r="F65" s="993"/>
      <c r="G65" s="1004"/>
      <c r="H65" s="1004"/>
      <c r="I65" s="1004"/>
      <c r="J65" s="1004"/>
      <c r="K65" s="1004"/>
      <c r="L65" s="1004"/>
      <c r="M65" s="1004"/>
      <c r="N65" s="1004"/>
      <c r="O65" s="1004"/>
      <c r="P65" s="1004"/>
      <c r="Q65" s="1004"/>
      <c r="R65" s="1004"/>
      <c r="S65" s="1004"/>
      <c r="T65" s="1004"/>
      <c r="U65" s="1004"/>
      <c r="V65" s="1004"/>
      <c r="W65" s="1004"/>
      <c r="X65" s="1004"/>
      <c r="Y65" s="1004"/>
      <c r="Z65" s="1004"/>
      <c r="AA65" s="1004"/>
      <c r="AB65" s="1004"/>
      <c r="AC65" s="1004"/>
      <c r="AD65" s="1005"/>
    </row>
    <row r="66" spans="5:30" ht="19.5" customHeight="1" x14ac:dyDescent="0.4">
      <c r="E66" s="221"/>
      <c r="F66" s="221"/>
      <c r="G66" s="227"/>
      <c r="H66" s="227"/>
      <c r="I66" s="227"/>
      <c r="J66" s="227"/>
      <c r="K66" s="227"/>
      <c r="L66" s="227"/>
      <c r="M66" s="227"/>
      <c r="N66" s="227"/>
      <c r="O66" s="227"/>
      <c r="P66" s="227"/>
      <c r="Q66" s="227"/>
      <c r="R66" s="227"/>
      <c r="S66" s="227"/>
      <c r="T66" s="227"/>
      <c r="U66" s="227"/>
      <c r="V66" s="227"/>
      <c r="W66" s="227"/>
      <c r="X66" s="227"/>
      <c r="Y66" s="227"/>
      <c r="Z66" s="227"/>
      <c r="AA66" s="227"/>
      <c r="AB66" s="227"/>
      <c r="AC66" s="227"/>
      <c r="AD66" s="227"/>
    </row>
    <row r="67" spans="5:30" ht="19.5" customHeight="1" x14ac:dyDescent="0.4"/>
    <row r="68" spans="5:30" ht="19.5" customHeight="1" x14ac:dyDescent="0.4"/>
  </sheetData>
  <sheetProtection sheet="1" objects="1" scenarios="1"/>
  <mergeCells count="13">
    <mergeCell ref="E38:F43"/>
    <mergeCell ref="G38:AD43"/>
    <mergeCell ref="E45:F50"/>
    <mergeCell ref="G45:AD50"/>
    <mergeCell ref="E59:F65"/>
    <mergeCell ref="G59:AD65"/>
    <mergeCell ref="E52:F57"/>
    <mergeCell ref="G52:AD57"/>
    <mergeCell ref="A2:B2"/>
    <mergeCell ref="F2:AA2"/>
    <mergeCell ref="E31:F36"/>
    <mergeCell ref="G31:AD36"/>
    <mergeCell ref="AB2:AC2"/>
  </mergeCells>
  <pageMargins left="0.78740157480314965" right="0.59055118110236227" top="0.59055118110236227" bottom="0" header="0.31496062992125984" footer="0.11811023622047245"/>
  <pageSetup paperSize="9" scale="39" orientation="portrait" horizontalDpi="4294967293" r:id="rId1"/>
  <headerFooter alignWithMargins="0">
    <oddFooter>&amp;R© www.meesterharrie.nl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E2388-4083-441C-AE11-EB2087043599}">
  <sheetPr>
    <tabColor rgb="FFCCECFF"/>
    <pageSetUpPr fitToPage="1"/>
  </sheetPr>
  <dimension ref="A2:AD54"/>
  <sheetViews>
    <sheetView showGridLines="0" showRowColHeaders="0" zoomScale="39" zoomScaleNormal="39" workbookViewId="0">
      <selection activeCell="AG45" sqref="AG45"/>
    </sheetView>
  </sheetViews>
  <sheetFormatPr defaultColWidth="9.140625" defaultRowHeight="19.5" x14ac:dyDescent="0.4"/>
  <cols>
    <col min="1" max="1" width="6.140625" style="47" bestFit="1" customWidth="1"/>
    <col min="2" max="2" width="30.85546875" style="48" customWidth="1"/>
    <col min="3" max="3" width="4" style="47" customWidth="1"/>
    <col min="4" max="4" width="9.140625" style="47" customWidth="1"/>
    <col min="5" max="5" width="18" style="47" customWidth="1"/>
    <col min="6" max="6" width="8.42578125" style="47" customWidth="1"/>
    <col min="7" max="7" width="8.85546875" style="47" customWidth="1"/>
    <col min="8" max="20" width="9.42578125" style="47" bestFit="1" customWidth="1"/>
    <col min="21" max="23" width="9.140625" style="47"/>
    <col min="24" max="24" width="9.42578125" style="47" bestFit="1" customWidth="1"/>
    <col min="25" max="16384" width="9.140625" style="47"/>
  </cols>
  <sheetData>
    <row r="2" spans="1:30" s="492" customFormat="1" ht="31.5" x14ac:dyDescent="0.6">
      <c r="A2" s="1019" t="s">
        <v>55</v>
      </c>
      <c r="B2" s="1020"/>
      <c r="D2" s="1021" t="s">
        <v>84</v>
      </c>
      <c r="E2" s="1021"/>
      <c r="F2" s="925"/>
      <c r="G2" s="925"/>
      <c r="H2" s="491">
        <v>8</v>
      </c>
      <c r="I2" s="1022" t="str">
        <f>VLOOKUP($H$2,BEGINBLAD!B4:C39,2)</f>
        <v>leerling 8</v>
      </c>
      <c r="J2" s="1023"/>
      <c r="K2" s="1023"/>
      <c r="L2" s="1023"/>
      <c r="M2" s="1023"/>
      <c r="N2" s="1023"/>
      <c r="O2" s="1023"/>
      <c r="P2" s="1023"/>
      <c r="Q2" s="1023"/>
      <c r="R2" s="1023"/>
      <c r="S2" s="1023"/>
      <c r="T2" s="1023"/>
      <c r="U2" s="1023"/>
      <c r="V2" s="1023"/>
      <c r="W2" s="1023"/>
      <c r="X2" s="1023"/>
      <c r="Y2" s="1023"/>
      <c r="Z2" s="1023"/>
      <c r="AA2" s="1024"/>
      <c r="AB2" s="1025" t="s">
        <v>56</v>
      </c>
      <c r="AC2" s="1026"/>
      <c r="AD2" s="644">
        <f>VLOOKUP($H$2,BEGINBLAD!B4:D39,3)</f>
        <v>0</v>
      </c>
    </row>
    <row r="3" spans="1:30" ht="27.95" customHeight="1" x14ac:dyDescent="0.4">
      <c r="I3" s="1027" t="s">
        <v>85</v>
      </c>
      <c r="J3" s="1027"/>
      <c r="K3" s="1027"/>
      <c r="L3" s="1027"/>
      <c r="M3" s="1027"/>
      <c r="N3" s="1027"/>
      <c r="O3" s="1027"/>
      <c r="P3" s="1027"/>
      <c r="Q3" s="1027"/>
      <c r="R3" s="1027"/>
      <c r="S3" s="1027"/>
      <c r="T3" s="1027"/>
      <c r="U3" s="1027"/>
      <c r="V3" s="1027"/>
      <c r="W3" s="1027"/>
      <c r="X3" s="1027"/>
      <c r="Y3" s="1027"/>
      <c r="Z3" s="1027"/>
      <c r="AA3" s="1027">
        <f>VLOOKUP(H2,'VERWIJZING - VO'!B4:AG39,32)</f>
        <v>0</v>
      </c>
      <c r="AB3" s="1027"/>
      <c r="AC3" s="1027"/>
      <c r="AD3" s="1027"/>
    </row>
    <row r="4" spans="1:30" ht="19.5" customHeight="1" x14ac:dyDescent="0.4"/>
    <row r="6" spans="1:30" x14ac:dyDescent="0.4">
      <c r="A6" s="172">
        <v>1</v>
      </c>
      <c r="B6" s="173" t="str">
        <f>BEGINBLAD!C4</f>
        <v>leelring 1</v>
      </c>
    </row>
    <row r="7" spans="1:30" x14ac:dyDescent="0.4">
      <c r="A7" s="172">
        <v>2</v>
      </c>
      <c r="B7" s="173" t="str">
        <f>BEGINBLAD!C5</f>
        <v>leerling 2</v>
      </c>
      <c r="H7" s="49"/>
      <c r="I7" s="49"/>
      <c r="J7" s="49"/>
      <c r="K7" s="49"/>
      <c r="L7" s="49"/>
      <c r="M7" s="49"/>
      <c r="N7" s="49"/>
      <c r="O7" s="49"/>
      <c r="P7" s="49"/>
      <c r="Q7" s="49"/>
      <c r="R7" s="49"/>
      <c r="S7" s="49"/>
      <c r="T7" s="49"/>
      <c r="U7" s="49"/>
    </row>
    <row r="8" spans="1:30" x14ac:dyDescent="0.4">
      <c r="A8" s="172">
        <v>3</v>
      </c>
      <c r="B8" s="173" t="str">
        <f>BEGINBLAD!C6</f>
        <v>leerling 3</v>
      </c>
      <c r="H8" s="49"/>
      <c r="I8" s="49"/>
      <c r="J8" s="49"/>
      <c r="K8" s="49"/>
      <c r="L8" s="49"/>
      <c r="M8" s="49"/>
      <c r="N8" s="49"/>
      <c r="O8" s="49"/>
      <c r="P8" s="49"/>
      <c r="Q8" s="49"/>
      <c r="R8" s="49"/>
      <c r="S8" s="49"/>
      <c r="T8" s="49"/>
      <c r="U8" s="49"/>
    </row>
    <row r="9" spans="1:30" x14ac:dyDescent="0.4">
      <c r="A9" s="172">
        <v>4</v>
      </c>
      <c r="B9" s="173" t="str">
        <f>BEGINBLAD!C7</f>
        <v>leerling 4</v>
      </c>
      <c r="H9" s="49"/>
      <c r="I9" s="49"/>
      <c r="J9" s="49"/>
      <c r="K9" s="49"/>
      <c r="L9" s="49"/>
      <c r="M9" s="49"/>
      <c r="N9" s="49"/>
      <c r="O9" s="49"/>
      <c r="P9" s="49"/>
      <c r="Q9" s="49"/>
      <c r="R9" s="49"/>
      <c r="S9" s="49"/>
      <c r="T9" s="49"/>
      <c r="U9" s="49"/>
    </row>
    <row r="10" spans="1:30" x14ac:dyDescent="0.4">
      <c r="A10" s="172">
        <v>5</v>
      </c>
      <c r="B10" s="173" t="str">
        <f>BEGINBLAD!C8</f>
        <v>leerling 5</v>
      </c>
      <c r="H10" s="49"/>
      <c r="I10" s="49"/>
      <c r="J10" s="49"/>
      <c r="K10" s="49"/>
      <c r="L10" s="49"/>
      <c r="M10" s="49"/>
      <c r="N10" s="49"/>
      <c r="O10" s="49"/>
      <c r="P10" s="49"/>
      <c r="Q10" s="49"/>
      <c r="R10" s="49"/>
      <c r="S10" s="49"/>
      <c r="T10" s="49"/>
      <c r="U10" s="49"/>
    </row>
    <row r="11" spans="1:30" x14ac:dyDescent="0.4">
      <c r="A11" s="172">
        <v>6</v>
      </c>
      <c r="B11" s="173" t="str">
        <f>BEGINBLAD!C9</f>
        <v>leerling 6</v>
      </c>
      <c r="H11" s="49"/>
      <c r="I11" s="49"/>
      <c r="J11" s="49"/>
      <c r="K11" s="49"/>
      <c r="L11" s="49"/>
      <c r="M11" s="49"/>
      <c r="N11" s="49"/>
      <c r="O11" s="49"/>
      <c r="P11" s="49"/>
      <c r="Q11" s="49"/>
      <c r="R11" s="49"/>
      <c r="S11" s="49"/>
      <c r="T11" s="49"/>
      <c r="U11" s="49"/>
    </row>
    <row r="12" spans="1:30" x14ac:dyDescent="0.4">
      <c r="A12" s="172">
        <v>7</v>
      </c>
      <c r="B12" s="173" t="str">
        <f>BEGINBLAD!C10</f>
        <v>leerling 7</v>
      </c>
      <c r="H12" s="49"/>
      <c r="I12" s="49"/>
      <c r="J12" s="49"/>
      <c r="K12" s="928" t="s">
        <v>57</v>
      </c>
      <c r="L12" s="929" t="s">
        <v>74</v>
      </c>
      <c r="M12" s="930" t="s">
        <v>79</v>
      </c>
      <c r="N12" s="928" t="s">
        <v>59</v>
      </c>
      <c r="O12" s="929" t="s">
        <v>75</v>
      </c>
      <c r="P12" s="930" t="s">
        <v>80</v>
      </c>
      <c r="Q12" s="928" t="s">
        <v>60</v>
      </c>
      <c r="R12" s="929" t="s">
        <v>76</v>
      </c>
      <c r="S12" s="930" t="s">
        <v>81</v>
      </c>
      <c r="T12" s="928" t="s">
        <v>61</v>
      </c>
      <c r="U12" s="929" t="s">
        <v>77</v>
      </c>
      <c r="V12" s="930" t="s">
        <v>82</v>
      </c>
      <c r="W12" s="928" t="s">
        <v>62</v>
      </c>
      <c r="X12" s="929" t="s">
        <v>78</v>
      </c>
      <c r="Y12" s="930" t="s">
        <v>83</v>
      </c>
      <c r="Z12" s="931" t="s">
        <v>86</v>
      </c>
      <c r="AA12" s="48" t="s">
        <v>87</v>
      </c>
      <c r="AB12" s="48"/>
      <c r="AC12" s="48"/>
    </row>
    <row r="13" spans="1:30" x14ac:dyDescent="0.4">
      <c r="A13" s="172">
        <v>8</v>
      </c>
      <c r="B13" s="173" t="str">
        <f>BEGINBLAD!C11</f>
        <v>leerling 8</v>
      </c>
      <c r="H13" s="51"/>
      <c r="I13" s="51"/>
      <c r="J13" s="51"/>
      <c r="K13" s="932">
        <f>VLOOKUP($H$2,'NIVEAU WAARDE - vorig jaar'!$B$9:$H$44,3)</f>
        <v>3.7</v>
      </c>
      <c r="L13" s="932">
        <f>VLOOKUP($H$2,'NIVEAU WAARDE - 1e toetsperiode'!$B$9:$H$44,3)</f>
        <v>4.3</v>
      </c>
      <c r="M13" s="932">
        <f>VLOOKUP($H$2,'NIVEAU WAARDE - 2e toetsperiode'!$B$9:$H$44,3)</f>
        <v>0</v>
      </c>
      <c r="N13" s="932">
        <f>VLOOKUP($H$2,'NIVEAU WAARDE - vorig jaar'!$B$9:$H$44,4)</f>
        <v>4.4000000000000004</v>
      </c>
      <c r="O13" s="932">
        <f>VLOOKUP($H$2,'NIVEAU WAARDE - 1e toetsperiode'!$B$9:$H$44,4)</f>
        <v>4.2</v>
      </c>
      <c r="P13" s="932">
        <f>VLOOKUP($H$2,'NIVEAU WAARDE - 2e toetsperiode'!$B$9:$H$44,4)</f>
        <v>4.7</v>
      </c>
      <c r="Q13" s="932">
        <f>VLOOKUP($H$2,'NIVEAU WAARDE - vorig jaar'!$B$9:$H$44,5)</f>
        <v>2.9</v>
      </c>
      <c r="R13" s="932">
        <f>VLOOKUP($H$2,'NIVEAU WAARDE - 1e toetsperiode'!$B$9:$H$44,5)</f>
        <v>1.7</v>
      </c>
      <c r="S13" s="932">
        <f>VLOOKUP($H$2,'NIVEAU WAARDE - 2e toetsperiode'!$B$9:$H$44,5)</f>
        <v>4</v>
      </c>
      <c r="T13" s="932">
        <f>VLOOKUP($H$2,'NIVEAU WAARDE - vorig jaar'!$B$9:$H$44,6)</f>
        <v>3.7</v>
      </c>
      <c r="U13" s="932">
        <f>VLOOKUP($H$2,'NIVEAU WAARDE - 1e toetsperiode'!$B$9:$H$44,6)</f>
        <v>4.2</v>
      </c>
      <c r="V13" s="932">
        <f>VLOOKUP($H$2,'NIVEAU WAARDE - 2e toetsperiode'!$B$9:$H$44,6)</f>
        <v>4.2</v>
      </c>
      <c r="W13" s="932">
        <f>VLOOKUP($H$2,'NIVEAU WAARDE - vorig jaar'!$B$9:$H$44,7)</f>
        <v>4.0999999999999996</v>
      </c>
      <c r="X13" s="932">
        <f>VLOOKUP($H$2,'NIVEAU WAARDE - 1e toetsperiode'!$B$9:$H$44,7)</f>
        <v>4</v>
      </c>
      <c r="Y13" s="932">
        <f>VLOOKUP($H$2,'NIVEAU WAARDE - 2e toetsperiode'!$B$9:$H$44,7)</f>
        <v>4.2</v>
      </c>
      <c r="Z13" s="933">
        <f>AC13/AB13</f>
        <v>3.8785714285714294</v>
      </c>
      <c r="AA13" s="932">
        <f>VLOOKUP($H$2,AANLEG!B7:F42,5)</f>
        <v>1.75</v>
      </c>
      <c r="AB13" s="48">
        <f>COUNTIF(K13:Y13,"&gt;0")</f>
        <v>14</v>
      </c>
      <c r="AC13" s="214">
        <f>SUM(K13:Y13)</f>
        <v>54.300000000000011</v>
      </c>
    </row>
    <row r="14" spans="1:30" x14ac:dyDescent="0.4">
      <c r="A14" s="172">
        <v>9</v>
      </c>
      <c r="B14" s="173" t="str">
        <f>BEGINBLAD!C12</f>
        <v>leerling 9</v>
      </c>
    </row>
    <row r="15" spans="1:30" x14ac:dyDescent="0.4">
      <c r="A15" s="172">
        <v>10</v>
      </c>
      <c r="B15" s="173" t="str">
        <f>BEGINBLAD!C13</f>
        <v>leerling 10</v>
      </c>
    </row>
    <row r="16" spans="1:30" x14ac:dyDescent="0.4">
      <c r="A16" s="172">
        <v>11</v>
      </c>
      <c r="B16" s="173" t="str">
        <f>BEGINBLAD!C14</f>
        <v>leerling 11</v>
      </c>
      <c r="H16" s="49"/>
      <c r="I16" s="49"/>
      <c r="J16" s="49"/>
      <c r="K16" s="49"/>
      <c r="L16" s="49"/>
      <c r="M16" s="49"/>
      <c r="N16" s="49"/>
      <c r="O16" s="49"/>
      <c r="P16" s="49"/>
      <c r="Q16" s="49"/>
      <c r="R16" s="49"/>
      <c r="S16" s="49"/>
      <c r="T16" s="49"/>
      <c r="U16" s="49"/>
    </row>
    <row r="17" spans="1:21" x14ac:dyDescent="0.4">
      <c r="A17" s="172">
        <v>12</v>
      </c>
      <c r="B17" s="173" t="str">
        <f>BEGINBLAD!C15</f>
        <v>leerling 12</v>
      </c>
      <c r="H17" s="49"/>
      <c r="I17" s="49"/>
      <c r="J17" s="49"/>
      <c r="K17" s="49"/>
      <c r="L17" s="49"/>
      <c r="M17" s="49"/>
      <c r="N17" s="49"/>
      <c r="O17" s="49"/>
      <c r="P17" s="49"/>
      <c r="Q17" s="49"/>
      <c r="R17" s="49"/>
      <c r="S17" s="49"/>
      <c r="T17" s="49"/>
      <c r="U17" s="49"/>
    </row>
    <row r="18" spans="1:21" x14ac:dyDescent="0.4">
      <c r="A18" s="172">
        <v>13</v>
      </c>
      <c r="B18" s="173" t="str">
        <f>BEGINBLAD!C16</f>
        <v>leerling 13</v>
      </c>
      <c r="H18" s="51"/>
      <c r="I18" s="49"/>
      <c r="J18" s="49"/>
      <c r="K18" s="49"/>
      <c r="L18" s="49"/>
      <c r="M18" s="49"/>
      <c r="N18" s="49"/>
      <c r="O18" s="49"/>
      <c r="P18" s="49"/>
      <c r="Q18" s="49"/>
      <c r="R18" s="49"/>
      <c r="S18" s="49"/>
      <c r="T18" s="49"/>
      <c r="U18" s="49"/>
    </row>
    <row r="19" spans="1:21" x14ac:dyDescent="0.4">
      <c r="A19" s="172">
        <v>14</v>
      </c>
      <c r="B19" s="173" t="str">
        <f>BEGINBLAD!C17</f>
        <v>leerling 14</v>
      </c>
      <c r="H19" s="51"/>
      <c r="I19" s="51"/>
      <c r="J19" s="51"/>
      <c r="K19" s="51"/>
      <c r="L19" s="49"/>
      <c r="M19" s="51"/>
      <c r="N19" s="49"/>
      <c r="O19" s="49"/>
      <c r="P19" s="51"/>
      <c r="Q19" s="49"/>
      <c r="R19" s="49"/>
      <c r="S19" s="49"/>
      <c r="T19" s="49"/>
      <c r="U19" s="49"/>
    </row>
    <row r="20" spans="1:21" x14ac:dyDescent="0.4">
      <c r="A20" s="172">
        <v>15</v>
      </c>
      <c r="B20" s="173" t="str">
        <f>BEGINBLAD!C18</f>
        <v>leerling 15</v>
      </c>
      <c r="H20" s="52"/>
      <c r="I20" s="52"/>
      <c r="J20" s="53"/>
      <c r="K20" s="53"/>
      <c r="L20" s="49"/>
      <c r="M20" s="52"/>
      <c r="N20" s="49"/>
      <c r="O20" s="49"/>
      <c r="P20" s="53"/>
      <c r="Q20" s="49"/>
      <c r="R20" s="49"/>
      <c r="S20" s="49"/>
      <c r="T20" s="49"/>
      <c r="U20" s="49"/>
    </row>
    <row r="21" spans="1:21" x14ac:dyDescent="0.4">
      <c r="A21" s="172">
        <v>16</v>
      </c>
      <c r="B21" s="173" t="str">
        <f>BEGINBLAD!C19</f>
        <v>leerling 16</v>
      </c>
      <c r="H21" s="49"/>
      <c r="I21" s="49"/>
      <c r="J21" s="49"/>
      <c r="K21" s="49"/>
      <c r="L21" s="49"/>
      <c r="M21" s="49"/>
      <c r="N21" s="49"/>
      <c r="O21" s="49"/>
      <c r="P21" s="49"/>
      <c r="Q21" s="49"/>
      <c r="R21" s="49"/>
      <c r="S21" s="49"/>
      <c r="T21" s="49"/>
      <c r="U21" s="49"/>
    </row>
    <row r="22" spans="1:21" x14ac:dyDescent="0.4">
      <c r="A22" s="172">
        <v>17</v>
      </c>
      <c r="B22" s="173" t="str">
        <f>BEGINBLAD!C20</f>
        <v>leerling 17</v>
      </c>
      <c r="H22" s="49"/>
      <c r="I22" s="49"/>
      <c r="J22" s="49"/>
      <c r="K22" s="49"/>
      <c r="L22" s="49"/>
      <c r="M22" s="49"/>
      <c r="N22" s="49"/>
      <c r="O22" s="49"/>
      <c r="P22" s="49"/>
      <c r="Q22" s="49"/>
      <c r="R22" s="49"/>
      <c r="S22" s="49"/>
      <c r="T22" s="49"/>
      <c r="U22" s="49"/>
    </row>
    <row r="23" spans="1:21" ht="15" customHeight="1" x14ac:dyDescent="0.4">
      <c r="A23" s="172">
        <v>18</v>
      </c>
      <c r="B23" s="173" t="str">
        <f>BEGINBLAD!C21</f>
        <v>leerling 18</v>
      </c>
    </row>
    <row r="24" spans="1:21" x14ac:dyDescent="0.4">
      <c r="A24" s="172">
        <v>19</v>
      </c>
      <c r="B24" s="173" t="str">
        <f>BEGINBLAD!C22</f>
        <v>leerling 19</v>
      </c>
    </row>
    <row r="25" spans="1:21" x14ac:dyDescent="0.4">
      <c r="A25" s="172">
        <v>20</v>
      </c>
      <c r="B25" s="173" t="str">
        <f>BEGINBLAD!C23</f>
        <v>leerling 20</v>
      </c>
    </row>
    <row r="26" spans="1:21" x14ac:dyDescent="0.4">
      <c r="A26" s="172">
        <v>21</v>
      </c>
      <c r="B26" s="173" t="str">
        <f>BEGINBLAD!C24</f>
        <v>leerling 21</v>
      </c>
    </row>
    <row r="27" spans="1:21" x14ac:dyDescent="0.4">
      <c r="A27" s="172">
        <v>22</v>
      </c>
      <c r="B27" s="173" t="str">
        <f>BEGINBLAD!C25</f>
        <v>leerling 22</v>
      </c>
    </row>
    <row r="28" spans="1:21" ht="15.75" customHeight="1" x14ac:dyDescent="0.4">
      <c r="A28" s="172">
        <v>23</v>
      </c>
      <c r="B28" s="173" t="str">
        <f>BEGINBLAD!C26</f>
        <v>leerling 23</v>
      </c>
    </row>
    <row r="29" spans="1:21" x14ac:dyDescent="0.4">
      <c r="A29" s="172">
        <v>24</v>
      </c>
      <c r="B29" s="173" t="str">
        <f>BEGINBLAD!C27</f>
        <v>leerling 24</v>
      </c>
    </row>
    <row r="30" spans="1:21" x14ac:dyDescent="0.4">
      <c r="A30" s="172">
        <v>25</v>
      </c>
      <c r="B30" s="173" t="str">
        <f>BEGINBLAD!C28</f>
        <v>leerling 25</v>
      </c>
    </row>
    <row r="31" spans="1:21" x14ac:dyDescent="0.4">
      <c r="A31" s="172">
        <v>26</v>
      </c>
      <c r="B31" s="173" t="str">
        <f>BEGINBLAD!C29</f>
        <v>leerling 26</v>
      </c>
    </row>
    <row r="32" spans="1:21" x14ac:dyDescent="0.4">
      <c r="A32" s="172">
        <v>27</v>
      </c>
      <c r="B32" s="173">
        <f>BEGINBLAD!C30</f>
        <v>0</v>
      </c>
    </row>
    <row r="33" spans="1:7" x14ac:dyDescent="0.4">
      <c r="A33" s="172">
        <v>28</v>
      </c>
      <c r="B33" s="173">
        <f>BEGINBLAD!C31</f>
        <v>0</v>
      </c>
    </row>
    <row r="34" spans="1:7" x14ac:dyDescent="0.4">
      <c r="A34" s="172">
        <v>29</v>
      </c>
      <c r="B34" s="173">
        <f>BEGINBLAD!C32</f>
        <v>0</v>
      </c>
    </row>
    <row r="35" spans="1:7" x14ac:dyDescent="0.4">
      <c r="A35" s="172">
        <v>30</v>
      </c>
      <c r="B35" s="173">
        <f>BEGINBLAD!C33</f>
        <v>0</v>
      </c>
    </row>
    <row r="36" spans="1:7" x14ac:dyDescent="0.4">
      <c r="A36" s="172">
        <v>31</v>
      </c>
      <c r="B36" s="173">
        <f>BEGINBLAD!C34</f>
        <v>0</v>
      </c>
    </row>
    <row r="37" spans="1:7" x14ac:dyDescent="0.4">
      <c r="A37" s="172">
        <v>32</v>
      </c>
      <c r="B37" s="173">
        <f>BEGINBLAD!C35</f>
        <v>0</v>
      </c>
    </row>
    <row r="38" spans="1:7" x14ac:dyDescent="0.4">
      <c r="A38" s="172">
        <v>33</v>
      </c>
      <c r="B38" s="173">
        <f>BEGINBLAD!C36</f>
        <v>0</v>
      </c>
    </row>
    <row r="39" spans="1:7" x14ac:dyDescent="0.4">
      <c r="A39" s="172">
        <v>34</v>
      </c>
      <c r="B39" s="173">
        <f>BEGINBLAD!C37</f>
        <v>0</v>
      </c>
    </row>
    <row r="40" spans="1:7" x14ac:dyDescent="0.4">
      <c r="A40" s="172">
        <v>35</v>
      </c>
      <c r="B40" s="173">
        <f>BEGINBLAD!C38</f>
        <v>0</v>
      </c>
    </row>
    <row r="41" spans="1:7" x14ac:dyDescent="0.4">
      <c r="A41" s="172">
        <v>36</v>
      </c>
      <c r="B41" s="173">
        <f>BEGINBLAD!C39</f>
        <v>0</v>
      </c>
    </row>
    <row r="43" spans="1:7" ht="21.75" x14ac:dyDescent="0.4">
      <c r="D43" s="1028" t="s">
        <v>554</v>
      </c>
      <c r="E43" s="1028"/>
      <c r="F43" s="1028"/>
      <c r="G43" s="1028"/>
    </row>
    <row r="53" spans="10:24" x14ac:dyDescent="0.4">
      <c r="J53" s="1029" t="s">
        <v>555</v>
      </c>
      <c r="K53" s="1029"/>
      <c r="L53" s="1029"/>
      <c r="M53" s="1030" t="s">
        <v>556</v>
      </c>
      <c r="N53" s="1030"/>
      <c r="O53" s="1030"/>
      <c r="P53" s="1029" t="s">
        <v>557</v>
      </c>
      <c r="Q53" s="1029"/>
      <c r="R53" s="1029"/>
      <c r="S53" s="1030" t="s">
        <v>234</v>
      </c>
      <c r="T53" s="1030"/>
      <c r="U53" s="1030"/>
      <c r="V53" s="930" t="s">
        <v>50</v>
      </c>
      <c r="W53" s="930"/>
      <c r="X53" s="930"/>
    </row>
    <row r="54" spans="10:24" x14ac:dyDescent="0.4">
      <c r="J54" s="932">
        <f>VLOOKUP($H$2,LIJV!$B11:$AE46,3)</f>
        <v>1</v>
      </c>
      <c r="K54" s="932">
        <f>VLOOKUP($H$2,LIJV!$B11:$AE46,15)</f>
        <v>1</v>
      </c>
      <c r="L54" s="932">
        <f>VLOOKUP($H$2,LIJV!$B11:$AE46,27)</f>
        <v>0</v>
      </c>
      <c r="M54" s="932">
        <f>VLOOKUP($H$2,LIJV!$B11:$AE46,5)</f>
        <v>4</v>
      </c>
      <c r="N54" s="932">
        <f>VLOOKUP($H$2,LIJV!$B11:$AE46,17)</f>
        <v>4</v>
      </c>
      <c r="O54" s="932">
        <f>VLOOKUP($H$2,LIJV!$B11:$AE46,29)</f>
        <v>0</v>
      </c>
      <c r="P54" s="932">
        <f>VLOOKUP($H$2,LIJV!$B11:$AE46,4)</f>
        <v>4</v>
      </c>
      <c r="Q54" s="932">
        <f>VLOOKUP($H$2,LIJV!$B11:$AE46,16)</f>
        <v>4</v>
      </c>
      <c r="R54" s="932">
        <f>VLOOKUP($H$2,LIJV!$B11:$AE46,28)</f>
        <v>0</v>
      </c>
      <c r="S54" s="932">
        <f>VLOOKUP($H$2,LIJV!$B11:$AE46,6)</f>
        <v>2</v>
      </c>
      <c r="T54" s="932">
        <f>VLOOKUP($H$2,LIJV!$B11:$AE46,18)</f>
        <v>2</v>
      </c>
      <c r="U54" s="932">
        <f>VLOOKUP($H$2,LIJV!$B11:$AE46,30)</f>
        <v>0</v>
      </c>
      <c r="V54" s="932">
        <v>4</v>
      </c>
      <c r="W54" s="932"/>
      <c r="X54" s="932"/>
    </row>
  </sheetData>
  <mergeCells count="11">
    <mergeCell ref="D43:G43"/>
    <mergeCell ref="J53:L53"/>
    <mergeCell ref="M53:O53"/>
    <mergeCell ref="P53:R53"/>
    <mergeCell ref="S53:U53"/>
    <mergeCell ref="A2:B2"/>
    <mergeCell ref="D2:E2"/>
    <mergeCell ref="I2:AA2"/>
    <mergeCell ref="AB2:AC2"/>
    <mergeCell ref="I3:Z3"/>
    <mergeCell ref="AA3:AD3"/>
  </mergeCells>
  <pageMargins left="0.39370078740157483" right="0.23622047244094491" top="0.98425196850393704" bottom="0.98425196850393704" header="0.51181102362204722" footer="0.51181102362204722"/>
  <pageSetup paperSize="9" scale="42" orientation="landscape" r:id="rId1"/>
  <headerFooter alignWithMargins="0">
    <oddHeader>&amp;C&amp;14Ontwikkelings Perspectief (OPP)</oddHeader>
    <oddFooter>&amp;R© www.meesterharrie.nl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CECFF"/>
    <pageSetUpPr fitToPage="1"/>
  </sheetPr>
  <dimension ref="A2:AC42"/>
  <sheetViews>
    <sheetView showGridLines="0" showRowColHeaders="0" zoomScale="55" zoomScaleNormal="55" workbookViewId="0"/>
  </sheetViews>
  <sheetFormatPr defaultColWidth="9.140625" defaultRowHeight="19.5" x14ac:dyDescent="0.4"/>
  <cols>
    <col min="1" max="1" width="6.140625" style="47" bestFit="1" customWidth="1"/>
    <col min="2" max="2" width="30.85546875" style="48" customWidth="1"/>
    <col min="3" max="3" width="4" style="47" customWidth="1"/>
    <col min="4" max="4" width="18" style="47" customWidth="1"/>
    <col min="5" max="5" width="8.42578125" style="47" customWidth="1"/>
    <col min="6" max="6" width="8.85546875" style="47" customWidth="1"/>
    <col min="7" max="19" width="9.42578125" style="47" bestFit="1" customWidth="1"/>
    <col min="20" max="22" width="9.140625" style="47"/>
    <col min="23" max="23" width="9.42578125" style="47" bestFit="1" customWidth="1"/>
    <col min="24" max="16384" width="9.140625" style="47"/>
  </cols>
  <sheetData>
    <row r="2" spans="1:29" s="492" customFormat="1" ht="31.5" x14ac:dyDescent="0.6">
      <c r="A2" s="1019" t="s">
        <v>55</v>
      </c>
      <c r="B2" s="1020"/>
      <c r="D2" s="1021" t="s">
        <v>84</v>
      </c>
      <c r="E2" s="1021"/>
      <c r="F2" s="685"/>
      <c r="G2" s="491">
        <v>1</v>
      </c>
      <c r="H2" s="1031" t="str">
        <f>VLOOKUP($G$2,BEGINBLAD!B4:C39,2)</f>
        <v>leelring 1</v>
      </c>
      <c r="I2" s="1031"/>
      <c r="J2" s="1031"/>
      <c r="K2" s="1031"/>
      <c r="L2" s="1031"/>
      <c r="M2" s="1031"/>
      <c r="N2" s="1031"/>
      <c r="O2" s="1031"/>
      <c r="P2" s="1031"/>
      <c r="Q2" s="1031"/>
      <c r="R2" s="1031"/>
      <c r="S2" s="1031"/>
      <c r="T2" s="1031"/>
      <c r="U2" s="1031"/>
      <c r="V2" s="1031"/>
      <c r="W2" s="1031"/>
      <c r="X2" s="1031"/>
      <c r="Y2" s="1031"/>
      <c r="Z2" s="1032">
        <f>BEGINBLAD!$I$2</f>
        <v>0</v>
      </c>
      <c r="AA2" s="1033"/>
      <c r="AB2" s="1033"/>
      <c r="AC2" s="1034"/>
    </row>
    <row r="3" spans="1:29" ht="27.95" customHeight="1" x14ac:dyDescent="0.4">
      <c r="H3" s="1027" t="s">
        <v>85</v>
      </c>
      <c r="I3" s="1027"/>
      <c r="J3" s="1027"/>
      <c r="K3" s="1027"/>
      <c r="L3" s="1027"/>
      <c r="M3" s="1027"/>
      <c r="N3" s="1027"/>
      <c r="O3" s="1027"/>
      <c r="P3" s="1027"/>
      <c r="Q3" s="1027"/>
      <c r="R3" s="1027"/>
      <c r="S3" s="1027"/>
      <c r="T3" s="1027"/>
      <c r="U3" s="1027"/>
      <c r="V3" s="1027"/>
      <c r="W3" s="1027"/>
      <c r="X3" s="1027"/>
      <c r="Y3" s="1027"/>
      <c r="Z3" s="1027">
        <f>VLOOKUP(G2,'VERWIJZING - VO'!B4:AG39,32)</f>
        <v>0</v>
      </c>
      <c r="AA3" s="1027"/>
      <c r="AB3" s="1027"/>
      <c r="AC3" s="1027"/>
    </row>
    <row r="4" spans="1:29" ht="19.5" customHeight="1" x14ac:dyDescent="0.4"/>
    <row r="5" spans="1:29" x14ac:dyDescent="0.4">
      <c r="F5" s="56"/>
      <c r="G5" s="56"/>
    </row>
    <row r="6" spans="1:29" x14ac:dyDescent="0.4">
      <c r="A6" s="172">
        <v>1</v>
      </c>
      <c r="B6" s="173" t="str">
        <f>BEGINBLAD!C4</f>
        <v>leelring 1</v>
      </c>
      <c r="F6" s="56"/>
      <c r="G6" s="56"/>
    </row>
    <row r="7" spans="1:29" x14ac:dyDescent="0.4">
      <c r="A7" s="172">
        <v>2</v>
      </c>
      <c r="B7" s="173" t="str">
        <f>BEGINBLAD!C5</f>
        <v>leerling 2</v>
      </c>
      <c r="G7" s="49"/>
      <c r="H7" s="49"/>
      <c r="I7" s="49"/>
      <c r="J7" s="49"/>
      <c r="K7" s="49"/>
      <c r="L7" s="49"/>
      <c r="M7" s="49"/>
      <c r="N7" s="49"/>
      <c r="O7" s="49"/>
      <c r="P7" s="49"/>
      <c r="Q7" s="49"/>
      <c r="R7" s="49"/>
      <c r="S7" s="49"/>
      <c r="T7" s="49"/>
    </row>
    <row r="8" spans="1:29" x14ac:dyDescent="0.4">
      <c r="A8" s="172">
        <v>3</v>
      </c>
      <c r="B8" s="173" t="str">
        <f>BEGINBLAD!C6</f>
        <v>leerling 3</v>
      </c>
      <c r="G8" s="49"/>
      <c r="H8" s="49"/>
      <c r="I8" s="49"/>
      <c r="J8" s="49"/>
      <c r="K8" s="49"/>
      <c r="L8" s="49"/>
      <c r="M8" s="49"/>
      <c r="N8" s="49"/>
      <c r="O8" s="49"/>
      <c r="P8" s="49"/>
      <c r="Q8" s="49"/>
      <c r="R8" s="49"/>
      <c r="S8" s="49"/>
      <c r="T8" s="49"/>
    </row>
    <row r="9" spans="1:29" x14ac:dyDescent="0.4">
      <c r="A9" s="172">
        <v>4</v>
      </c>
      <c r="B9" s="173" t="str">
        <f>BEGINBLAD!C7</f>
        <v>leerling 4</v>
      </c>
      <c r="G9" s="49"/>
      <c r="H9" s="49"/>
      <c r="I9" s="49"/>
      <c r="J9" s="49"/>
      <c r="K9" s="49"/>
      <c r="L9" s="49"/>
      <c r="M9" s="49"/>
      <c r="N9" s="49"/>
      <c r="O9" s="49"/>
      <c r="P9" s="49"/>
      <c r="Q9" s="49"/>
      <c r="R9" s="49"/>
      <c r="S9" s="49"/>
      <c r="T9" s="49"/>
    </row>
    <row r="10" spans="1:29" x14ac:dyDescent="0.4">
      <c r="A10" s="172">
        <v>5</v>
      </c>
      <c r="B10" s="173" t="str">
        <f>BEGINBLAD!C8</f>
        <v>leerling 5</v>
      </c>
      <c r="G10" s="49"/>
      <c r="H10" s="49"/>
      <c r="I10" s="49"/>
      <c r="J10" s="49"/>
      <c r="K10" s="49"/>
      <c r="L10" s="49"/>
      <c r="M10" s="49"/>
      <c r="N10" s="49"/>
      <c r="O10" s="49"/>
      <c r="P10" s="49"/>
      <c r="Q10" s="49"/>
      <c r="R10" s="49"/>
      <c r="S10" s="49"/>
      <c r="T10" s="49"/>
    </row>
    <row r="11" spans="1:29" x14ac:dyDescent="0.4">
      <c r="A11" s="172">
        <v>6</v>
      </c>
      <c r="B11" s="173" t="str">
        <f>BEGINBLAD!C9</f>
        <v>leerling 6</v>
      </c>
      <c r="G11" s="49"/>
      <c r="H11" s="49"/>
      <c r="I11" s="49"/>
      <c r="J11" s="49"/>
      <c r="K11" s="49"/>
      <c r="L11" s="49"/>
      <c r="M11" s="49"/>
      <c r="N11" s="49"/>
      <c r="O11" s="49"/>
      <c r="P11" s="49"/>
      <c r="Q11" s="49"/>
      <c r="R11" s="49"/>
      <c r="S11" s="49"/>
      <c r="T11" s="49"/>
    </row>
    <row r="12" spans="1:29" x14ac:dyDescent="0.4">
      <c r="A12" s="172">
        <v>7</v>
      </c>
      <c r="B12" s="173" t="str">
        <f>BEGINBLAD!C10</f>
        <v>leerling 7</v>
      </c>
      <c r="G12" s="49"/>
      <c r="H12" s="49"/>
      <c r="I12" s="49"/>
      <c r="J12" s="215" t="s">
        <v>57</v>
      </c>
      <c r="K12" s="216" t="s">
        <v>74</v>
      </c>
      <c r="L12" s="217" t="s">
        <v>79</v>
      </c>
      <c r="M12" s="215" t="s">
        <v>59</v>
      </c>
      <c r="N12" s="216" t="s">
        <v>75</v>
      </c>
      <c r="O12" s="217" t="s">
        <v>80</v>
      </c>
      <c r="P12" s="215" t="s">
        <v>60</v>
      </c>
      <c r="Q12" s="216" t="s">
        <v>76</v>
      </c>
      <c r="R12" s="217" t="s">
        <v>81</v>
      </c>
      <c r="S12" s="215" t="s">
        <v>61</v>
      </c>
      <c r="T12" s="216" t="s">
        <v>77</v>
      </c>
      <c r="U12" s="217" t="s">
        <v>82</v>
      </c>
      <c r="V12" s="215" t="s">
        <v>62</v>
      </c>
      <c r="W12" s="216" t="s">
        <v>78</v>
      </c>
      <c r="X12" s="217" t="s">
        <v>83</v>
      </c>
      <c r="Y12" s="218" t="s">
        <v>88</v>
      </c>
      <c r="Z12" s="212" t="s">
        <v>87</v>
      </c>
      <c r="AA12" s="48"/>
      <c r="AB12" s="48"/>
    </row>
    <row r="13" spans="1:29" x14ac:dyDescent="0.4">
      <c r="A13" s="172">
        <v>8</v>
      </c>
      <c r="B13" s="173" t="str">
        <f>BEGINBLAD!C11</f>
        <v>leerling 8</v>
      </c>
      <c r="G13" s="57"/>
      <c r="H13" s="57"/>
      <c r="I13" s="57"/>
      <c r="J13" s="219">
        <f>VLOOKUP($G$2,'NIVEAU WAARDE - vorig jaar'!$B$9:$Y$44,20)</f>
        <v>50</v>
      </c>
      <c r="K13" s="219">
        <f>VLOOKUP($G$2,'NIVEAU WAARDE - 1e toetsperiode'!$B$9:$Y$44,20)</f>
        <v>55</v>
      </c>
      <c r="L13" s="219">
        <f>VLOOKUP($G$2,'NIVEAU WAARDE - 2e toetsperiode'!$B$9:$Y$44,20)</f>
        <v>60</v>
      </c>
      <c r="M13" s="219">
        <f>VLOOKUP($G$2,'NIVEAU WAARDE - vorig jaar'!$B$9:$Y$44,21)</f>
        <v>45</v>
      </c>
      <c r="N13" s="219">
        <f>VLOOKUP($G$2,'NIVEAU WAARDE - 1e toetsperiode'!$B$9:$Y$44,21)</f>
        <v>55</v>
      </c>
      <c r="O13" s="219">
        <f>VLOOKUP($G$2,'NIVEAU WAARDE - 2e toetsperiode'!$B$9:$Y$44,21)</f>
        <v>55</v>
      </c>
      <c r="P13" s="219">
        <f>VLOOKUP($G$2,'NIVEAU WAARDE - vorig jaar'!$B$9:$Y$44,22)</f>
        <v>50</v>
      </c>
      <c r="Q13" s="219">
        <f>VLOOKUP($G$2,'NIVEAU WAARDE - 1e toetsperiode'!$B$9:$Y$44,22)</f>
        <v>55</v>
      </c>
      <c r="R13" s="219">
        <f>VLOOKUP($G$2,'NIVEAU WAARDE - 2e toetsperiode'!$B$9:$Y$44,22)</f>
        <v>55</v>
      </c>
      <c r="S13" s="219">
        <f>VLOOKUP($G$2,'NIVEAU WAARDE - vorig jaar'!$B$9:$Y$44,23)</f>
        <v>40</v>
      </c>
      <c r="T13" s="219">
        <f>VLOOKUP($G$2,'NIVEAU WAARDE - 1e toetsperiode'!$B$9:$Y$44,23)</f>
        <v>60</v>
      </c>
      <c r="U13" s="219">
        <f>VLOOKUP($G$2,'NIVEAU WAARDE - 2e toetsperiode'!$B$9:$Y$44,23)</f>
        <v>60</v>
      </c>
      <c r="V13" s="219">
        <f>VLOOKUP($G$2,'NIVEAU WAARDE - vorig jaar'!$B$9:$Y$44,24)</f>
        <v>55</v>
      </c>
      <c r="W13" s="219">
        <f>VLOOKUP($G$2,'NIVEAU WAARDE - 1e toetsperiode'!$B$9:$Y$44,24)</f>
        <v>60</v>
      </c>
      <c r="X13" s="219">
        <f>VLOOKUP($G$2,'NIVEAU WAARDE - 2e toetsperiode'!$B$9:$Y$44,24)</f>
        <v>65</v>
      </c>
      <c r="Y13" s="220">
        <f>AB13/AA13</f>
        <v>54.666666666666664</v>
      </c>
      <c r="Z13" s="219">
        <f>VLOOKUP($G$2,AANLEG!B7:F42,5)</f>
        <v>2.5</v>
      </c>
      <c r="AA13" s="212">
        <f>COUNTIF(J13:X13,"&gt;0")</f>
        <v>15</v>
      </c>
      <c r="AB13" s="214">
        <f>SUM(J13:X13)</f>
        <v>820</v>
      </c>
    </row>
    <row r="14" spans="1:29" x14ac:dyDescent="0.4">
      <c r="A14" s="172">
        <v>9</v>
      </c>
      <c r="B14" s="173" t="str">
        <f>BEGINBLAD!C12</f>
        <v>leerling 9</v>
      </c>
    </row>
    <row r="15" spans="1:29" x14ac:dyDescent="0.4">
      <c r="A15" s="172">
        <v>10</v>
      </c>
      <c r="B15" s="173" t="str">
        <f>BEGINBLAD!C13</f>
        <v>leerling 10</v>
      </c>
    </row>
    <row r="16" spans="1:29" x14ac:dyDescent="0.4">
      <c r="A16" s="172">
        <v>11</v>
      </c>
      <c r="B16" s="173" t="str">
        <f>BEGINBLAD!C14</f>
        <v>leerling 11</v>
      </c>
      <c r="G16" s="49"/>
      <c r="H16" s="49"/>
      <c r="I16" s="49"/>
      <c r="J16" s="49"/>
      <c r="K16" s="49"/>
      <c r="L16" s="49"/>
      <c r="M16" s="49"/>
      <c r="N16" s="49"/>
      <c r="O16" s="49"/>
      <c r="P16" s="49"/>
      <c r="Q16" s="49"/>
      <c r="R16" s="49"/>
      <c r="S16" s="49"/>
      <c r="T16" s="49"/>
    </row>
    <row r="17" spans="1:20" x14ac:dyDescent="0.4">
      <c r="A17" s="172">
        <v>12</v>
      </c>
      <c r="B17" s="173" t="str">
        <f>BEGINBLAD!C15</f>
        <v>leerling 12</v>
      </c>
      <c r="G17" s="49"/>
      <c r="H17" s="49"/>
      <c r="I17" s="49"/>
      <c r="J17" s="49"/>
      <c r="K17" s="49"/>
      <c r="L17" s="49"/>
      <c r="M17" s="49"/>
      <c r="N17" s="49"/>
      <c r="O17" s="49"/>
      <c r="P17" s="49"/>
      <c r="Q17" s="49"/>
      <c r="R17" s="49"/>
      <c r="S17" s="49"/>
      <c r="T17" s="49"/>
    </row>
    <row r="18" spans="1:20" x14ac:dyDescent="0.4">
      <c r="A18" s="172">
        <v>13</v>
      </c>
      <c r="B18" s="173" t="str">
        <f>BEGINBLAD!C16</f>
        <v>leerling 13</v>
      </c>
      <c r="G18" s="50"/>
      <c r="H18" s="49"/>
      <c r="I18" s="49"/>
      <c r="J18" s="49"/>
      <c r="K18" s="49"/>
      <c r="L18" s="49"/>
      <c r="M18" s="49"/>
      <c r="N18" s="49"/>
      <c r="O18" s="49"/>
      <c r="P18" s="49"/>
      <c r="Q18" s="49"/>
      <c r="R18" s="49"/>
      <c r="S18" s="49"/>
      <c r="T18" s="49"/>
    </row>
    <row r="19" spans="1:20" x14ac:dyDescent="0.4">
      <c r="A19" s="172">
        <v>14</v>
      </c>
      <c r="B19" s="173" t="str">
        <f>BEGINBLAD!C17</f>
        <v>leerling 14</v>
      </c>
      <c r="G19" s="51"/>
      <c r="H19" s="51"/>
      <c r="I19" s="51"/>
      <c r="J19" s="51"/>
      <c r="K19" s="49"/>
      <c r="L19" s="51"/>
      <c r="M19" s="49"/>
      <c r="N19" s="49"/>
      <c r="O19" s="51"/>
      <c r="P19" s="49"/>
      <c r="Q19" s="49"/>
      <c r="R19" s="49"/>
      <c r="S19" s="49"/>
      <c r="T19" s="49"/>
    </row>
    <row r="20" spans="1:20" x14ac:dyDescent="0.4">
      <c r="A20" s="172">
        <v>15</v>
      </c>
      <c r="B20" s="173" t="str">
        <f>BEGINBLAD!C18</f>
        <v>leerling 15</v>
      </c>
      <c r="G20" s="52"/>
      <c r="H20" s="52"/>
      <c r="I20" s="53"/>
      <c r="J20" s="53"/>
      <c r="K20" s="49"/>
      <c r="L20" s="52"/>
      <c r="M20" s="49"/>
      <c r="N20" s="49"/>
      <c r="O20" s="53"/>
      <c r="P20" s="49"/>
      <c r="Q20" s="49"/>
      <c r="R20" s="49"/>
      <c r="S20" s="49"/>
      <c r="T20" s="49"/>
    </row>
    <row r="21" spans="1:20" x14ac:dyDescent="0.4">
      <c r="A21" s="172">
        <v>16</v>
      </c>
      <c r="B21" s="173" t="str">
        <f>BEGINBLAD!C19</f>
        <v>leerling 16</v>
      </c>
      <c r="G21" s="49"/>
      <c r="H21" s="49"/>
      <c r="I21" s="49"/>
      <c r="J21" s="49"/>
      <c r="K21" s="49"/>
      <c r="L21" s="49"/>
      <c r="M21" s="49"/>
      <c r="N21" s="49"/>
      <c r="O21" s="49"/>
      <c r="P21" s="49"/>
      <c r="Q21" s="49"/>
      <c r="R21" s="49"/>
      <c r="S21" s="49"/>
      <c r="T21" s="49"/>
    </row>
    <row r="22" spans="1:20" x14ac:dyDescent="0.4">
      <c r="A22" s="172">
        <v>17</v>
      </c>
      <c r="B22" s="173" t="str">
        <f>BEGINBLAD!C20</f>
        <v>leerling 17</v>
      </c>
      <c r="G22" s="49"/>
      <c r="H22" s="49"/>
      <c r="I22" s="49"/>
      <c r="J22" s="49"/>
      <c r="K22" s="49"/>
      <c r="L22" s="49"/>
      <c r="M22" s="49"/>
      <c r="N22" s="49"/>
      <c r="O22" s="49"/>
      <c r="P22" s="49"/>
      <c r="Q22" s="49"/>
      <c r="R22" s="49"/>
      <c r="S22" s="49"/>
      <c r="T22" s="49"/>
    </row>
    <row r="23" spans="1:20" ht="15" customHeight="1" x14ac:dyDescent="0.4">
      <c r="A23" s="172">
        <v>18</v>
      </c>
      <c r="B23" s="173" t="str">
        <f>BEGINBLAD!C21</f>
        <v>leerling 18</v>
      </c>
    </row>
    <row r="24" spans="1:20" x14ac:dyDescent="0.4">
      <c r="A24" s="172">
        <v>19</v>
      </c>
      <c r="B24" s="173" t="str">
        <f>BEGINBLAD!C22</f>
        <v>leerling 19</v>
      </c>
    </row>
    <row r="25" spans="1:20" x14ac:dyDescent="0.4">
      <c r="A25" s="172">
        <v>20</v>
      </c>
      <c r="B25" s="173" t="str">
        <f>BEGINBLAD!C23</f>
        <v>leerling 20</v>
      </c>
    </row>
    <row r="26" spans="1:20" x14ac:dyDescent="0.4">
      <c r="A26" s="172">
        <v>21</v>
      </c>
      <c r="B26" s="173" t="str">
        <f>BEGINBLAD!C24</f>
        <v>leerling 21</v>
      </c>
    </row>
    <row r="27" spans="1:20" x14ac:dyDescent="0.4">
      <c r="A27" s="172">
        <v>22</v>
      </c>
      <c r="B27" s="173" t="str">
        <f>BEGINBLAD!C25</f>
        <v>leerling 22</v>
      </c>
    </row>
    <row r="28" spans="1:20" ht="15.75" customHeight="1" x14ac:dyDescent="0.4">
      <c r="A28" s="172">
        <v>23</v>
      </c>
      <c r="B28" s="173" t="str">
        <f>BEGINBLAD!C26</f>
        <v>leerling 23</v>
      </c>
    </row>
    <row r="29" spans="1:20" x14ac:dyDescent="0.4">
      <c r="A29" s="172">
        <v>24</v>
      </c>
      <c r="B29" s="173" t="str">
        <f>BEGINBLAD!C27</f>
        <v>leerling 24</v>
      </c>
    </row>
    <row r="30" spans="1:20" x14ac:dyDescent="0.4">
      <c r="A30" s="172">
        <v>25</v>
      </c>
      <c r="B30" s="173" t="str">
        <f>BEGINBLAD!C28</f>
        <v>leerling 25</v>
      </c>
    </row>
    <row r="31" spans="1:20" x14ac:dyDescent="0.4">
      <c r="A31" s="172">
        <v>26</v>
      </c>
      <c r="B31" s="173" t="str">
        <f>BEGINBLAD!C29</f>
        <v>leerling 26</v>
      </c>
    </row>
    <row r="32" spans="1:20" x14ac:dyDescent="0.4">
      <c r="A32" s="172">
        <v>27</v>
      </c>
      <c r="B32" s="173">
        <f>BEGINBLAD!C30</f>
        <v>0</v>
      </c>
    </row>
    <row r="33" spans="1:2" x14ac:dyDescent="0.4">
      <c r="A33" s="172">
        <v>28</v>
      </c>
      <c r="B33" s="173">
        <f>BEGINBLAD!C31</f>
        <v>0</v>
      </c>
    </row>
    <row r="34" spans="1:2" x14ac:dyDescent="0.4">
      <c r="A34" s="172">
        <v>29</v>
      </c>
      <c r="B34" s="173">
        <f>BEGINBLAD!C32</f>
        <v>0</v>
      </c>
    </row>
    <row r="35" spans="1:2" x14ac:dyDescent="0.4">
      <c r="A35" s="172">
        <v>30</v>
      </c>
      <c r="B35" s="173">
        <f>BEGINBLAD!C33</f>
        <v>0</v>
      </c>
    </row>
    <row r="36" spans="1:2" x14ac:dyDescent="0.4">
      <c r="A36" s="172">
        <v>31</v>
      </c>
      <c r="B36" s="173">
        <f>BEGINBLAD!C34</f>
        <v>0</v>
      </c>
    </row>
    <row r="37" spans="1:2" x14ac:dyDescent="0.4">
      <c r="A37" s="172">
        <v>32</v>
      </c>
      <c r="B37" s="173">
        <f>BEGINBLAD!C35</f>
        <v>0</v>
      </c>
    </row>
    <row r="38" spans="1:2" x14ac:dyDescent="0.4">
      <c r="A38" s="172">
        <v>33</v>
      </c>
      <c r="B38" s="173">
        <f>BEGINBLAD!C36</f>
        <v>0</v>
      </c>
    </row>
    <row r="39" spans="1:2" x14ac:dyDescent="0.4">
      <c r="A39" s="172">
        <v>34</v>
      </c>
      <c r="B39" s="173">
        <f>BEGINBLAD!C37</f>
        <v>0</v>
      </c>
    </row>
    <row r="40" spans="1:2" x14ac:dyDescent="0.4">
      <c r="A40" s="172">
        <v>35</v>
      </c>
      <c r="B40" s="173">
        <f>BEGINBLAD!C38</f>
        <v>0</v>
      </c>
    </row>
    <row r="41" spans="1:2" x14ac:dyDescent="0.4">
      <c r="A41" s="172">
        <v>36</v>
      </c>
      <c r="B41" s="173">
        <f>BEGINBLAD!C39</f>
        <v>0</v>
      </c>
    </row>
    <row r="42" spans="1:2" x14ac:dyDescent="0.4">
      <c r="A42" s="54"/>
      <c r="B42" s="55"/>
    </row>
  </sheetData>
  <sheetProtection algorithmName="SHA-512" hashValue="T30doc55F8ghdtd//SpwBm8xZH3PqTXpJEfmuST3N5TF2jVJctn2qygkBos9ZLVf5uhEyvDwfsL2kLYtg0LHng==" saltValue="62crirAIlejemNB2gpjaEw==" spinCount="100000" sheet="1" objects="1" scenarios="1"/>
  <mergeCells count="6">
    <mergeCell ref="A2:B2"/>
    <mergeCell ref="H2:Y2"/>
    <mergeCell ref="Z2:AC2"/>
    <mergeCell ref="H3:Y3"/>
    <mergeCell ref="Z3:AC3"/>
    <mergeCell ref="D2:E2"/>
  </mergeCells>
  <pageMargins left="0.39370078740157483" right="0.23622047244094491" top="0.98425196850393704" bottom="0.98425196850393704" header="0.51181102362204722" footer="0.51181102362204722"/>
  <pageSetup paperSize="9" scale="53" orientation="landscape" horizontalDpi="4294967293" r:id="rId1"/>
  <headerFooter alignWithMargins="0">
    <oddHeader>&amp;C&amp;14DL - DLE</oddHeader>
    <oddFooter>&amp;R© www.meesterharrie.nl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98DB9-AE51-42DF-A29C-6B1B4E4D623B}">
  <sheetPr>
    <tabColor rgb="FF66CCFF"/>
    <pageSetUpPr fitToPage="1"/>
  </sheetPr>
  <dimension ref="B1:BC66"/>
  <sheetViews>
    <sheetView showGridLines="0" showRowColHeaders="0" zoomScale="80" zoomScaleNormal="80" workbookViewId="0"/>
  </sheetViews>
  <sheetFormatPr defaultColWidth="9.140625" defaultRowHeight="12.75" x14ac:dyDescent="0.2"/>
  <cols>
    <col min="1" max="1" width="9.140625" style="187"/>
    <col min="2" max="2" width="4.85546875" style="648" bestFit="1" customWidth="1"/>
    <col min="3" max="3" width="23.85546875" style="449" customWidth="1"/>
    <col min="4" max="20" width="5.85546875" style="741" customWidth="1"/>
    <col min="21" max="21" width="5.85546875" style="185" customWidth="1"/>
    <col min="22" max="22" width="2.42578125" style="185" customWidth="1"/>
    <col min="23" max="30" width="4.85546875" style="185" customWidth="1"/>
    <col min="31" max="31" width="4.85546875" style="796" customWidth="1"/>
    <col min="32" max="37" width="4.85546875" style="228" customWidth="1"/>
    <col min="38" max="38" width="2.42578125" style="228" customWidth="1"/>
    <col min="39" max="54" width="9.140625" style="228"/>
    <col min="55" max="16384" width="9.140625" style="187"/>
  </cols>
  <sheetData>
    <row r="1" spans="2:55" ht="44.25" customHeight="1" x14ac:dyDescent="0.2"/>
    <row r="2" spans="2:55" ht="20.25" x14ac:dyDescent="0.2">
      <c r="B2" s="1037">
        <f>BEGINBLAD!$I$2</f>
        <v>0</v>
      </c>
      <c r="C2" s="1037"/>
      <c r="D2" s="743"/>
      <c r="F2" s="744"/>
      <c r="G2" s="744"/>
      <c r="H2" s="744"/>
      <c r="I2" s="744"/>
      <c r="J2" s="744"/>
      <c r="K2" s="744"/>
      <c r="L2" s="744"/>
      <c r="M2" s="745"/>
      <c r="N2" s="745"/>
      <c r="O2" s="745"/>
      <c r="P2" s="745"/>
      <c r="Q2" s="745"/>
      <c r="R2" s="745"/>
      <c r="S2" s="745"/>
      <c r="T2" s="745"/>
      <c r="U2" s="797"/>
      <c r="V2" s="797"/>
      <c r="W2" s="797"/>
      <c r="X2" s="797"/>
      <c r="Y2" s="797"/>
      <c r="Z2" s="797"/>
      <c r="AA2" s="797"/>
      <c r="AB2" s="797"/>
      <c r="AC2" s="797"/>
    </row>
    <row r="3" spans="2:55" ht="9.9499999999999993" customHeight="1" x14ac:dyDescent="0.2">
      <c r="B3" s="801"/>
      <c r="C3" s="801"/>
      <c r="D3" s="743"/>
      <c r="E3" s="795"/>
      <c r="F3" s="744"/>
      <c r="G3" s="744"/>
      <c r="H3" s="744"/>
      <c r="I3" s="744"/>
      <c r="J3" s="744"/>
      <c r="K3" s="744"/>
      <c r="L3" s="744"/>
      <c r="M3" s="745"/>
      <c r="N3" s="745"/>
      <c r="O3" s="745"/>
      <c r="P3" s="745"/>
      <c r="Q3" s="745"/>
      <c r="R3" s="745"/>
      <c r="S3" s="745"/>
      <c r="T3" s="745"/>
      <c r="U3" s="797"/>
      <c r="V3" s="797"/>
      <c r="W3" s="797"/>
      <c r="X3" s="797"/>
      <c r="Y3" s="797"/>
      <c r="Z3" s="797"/>
      <c r="AA3" s="797"/>
      <c r="AB3" s="797"/>
      <c r="AC3" s="797"/>
    </row>
    <row r="4" spans="2:55" ht="20.25" x14ac:dyDescent="0.2">
      <c r="B4" s="1040" t="s">
        <v>474</v>
      </c>
      <c r="C4" s="1041"/>
      <c r="D4" s="825"/>
      <c r="E4" s="826"/>
      <c r="F4" s="827"/>
      <c r="G4" s="827"/>
      <c r="H4" s="827"/>
      <c r="I4" s="827"/>
      <c r="J4" s="827"/>
      <c r="K4" s="827"/>
      <c r="L4" s="827"/>
      <c r="M4" s="828"/>
      <c r="N4" s="828"/>
      <c r="O4" s="828"/>
      <c r="P4" s="828"/>
      <c r="Q4" s="828"/>
      <c r="R4" s="828"/>
      <c r="S4" s="828"/>
      <c r="T4" s="829"/>
      <c r="U4" s="797"/>
      <c r="V4" s="797"/>
      <c r="W4" s="797"/>
      <c r="X4" s="797"/>
      <c r="Y4" s="797"/>
      <c r="Z4" s="797"/>
      <c r="AA4" s="797"/>
      <c r="AB4" s="797"/>
      <c r="AC4" s="797"/>
    </row>
    <row r="5" spans="2:55" ht="21" x14ac:dyDescent="0.2">
      <c r="B5" s="1042">
        <f>Referentieniveau!$D$7</f>
        <v>30</v>
      </c>
      <c r="C5" s="1043"/>
      <c r="D5" s="830"/>
      <c r="E5" s="831"/>
      <c r="F5" s="832"/>
      <c r="G5" s="832"/>
      <c r="H5" s="832"/>
      <c r="I5" s="832"/>
      <c r="J5" s="832"/>
      <c r="K5" s="832"/>
      <c r="L5" s="832"/>
      <c r="M5" s="832"/>
      <c r="N5" s="832"/>
      <c r="O5" s="832"/>
      <c r="P5" s="832"/>
      <c r="Q5" s="832"/>
      <c r="R5" s="832"/>
      <c r="S5" s="832"/>
      <c r="T5" s="833"/>
      <c r="U5" s="797"/>
      <c r="V5" s="797"/>
      <c r="W5" s="797"/>
      <c r="X5" s="797"/>
      <c r="Y5" s="797"/>
      <c r="Z5" s="797"/>
      <c r="AA5" s="797"/>
      <c r="AB5" s="797"/>
      <c r="AC5" s="797"/>
    </row>
    <row r="6" spans="2:55" ht="9.9499999999999993" customHeight="1" x14ac:dyDescent="0.2">
      <c r="B6" s="176"/>
      <c r="C6" s="176"/>
      <c r="D6" s="746"/>
      <c r="E6" s="795"/>
      <c r="F6" s="745"/>
      <c r="G6" s="745"/>
      <c r="H6" s="745"/>
      <c r="I6" s="745"/>
      <c r="J6" s="745"/>
      <c r="K6" s="745"/>
      <c r="L6" s="745"/>
      <c r="M6" s="745"/>
      <c r="N6" s="745"/>
      <c r="O6" s="745"/>
      <c r="P6" s="745"/>
      <c r="Q6" s="745"/>
      <c r="R6" s="745"/>
      <c r="S6" s="745"/>
      <c r="T6" s="745"/>
      <c r="U6" s="797"/>
      <c r="V6" s="797"/>
      <c r="W6" s="797"/>
      <c r="X6" s="797"/>
      <c r="Y6" s="797"/>
      <c r="Z6" s="797"/>
      <c r="AA6" s="797"/>
      <c r="AB6" s="797"/>
      <c r="AC6" s="797"/>
    </row>
    <row r="7" spans="2:55" ht="21" x14ac:dyDescent="0.2">
      <c r="C7" s="176"/>
      <c r="D7" s="1038" t="s">
        <v>89</v>
      </c>
      <c r="E7" s="1038"/>
      <c r="F7" s="1038"/>
      <c r="G7" s="1038"/>
      <c r="H7" s="1038"/>
      <c r="I7" s="745"/>
      <c r="J7" s="1039" t="s">
        <v>90</v>
      </c>
      <c r="K7" s="1039"/>
      <c r="L7" s="1039"/>
      <c r="M7" s="1039"/>
      <c r="N7" s="1039"/>
      <c r="O7" s="747"/>
      <c r="P7" s="1044" t="s">
        <v>91</v>
      </c>
      <c r="Q7" s="1044"/>
      <c r="R7" s="1044"/>
      <c r="S7" s="1044"/>
      <c r="T7" s="1044"/>
      <c r="U7" s="273"/>
      <c r="V7" s="797"/>
      <c r="W7" s="273"/>
      <c r="X7" s="273"/>
      <c r="Y7" s="273"/>
      <c r="Z7" s="273"/>
      <c r="AA7" s="273"/>
      <c r="AB7" s="273"/>
      <c r="AC7" s="273"/>
      <c r="AD7" s="228"/>
      <c r="AE7" s="273"/>
      <c r="AF7" s="273"/>
      <c r="AG7" s="273"/>
      <c r="AH7" s="273"/>
      <c r="AI7" s="273"/>
      <c r="AJ7" s="273"/>
      <c r="AK7" s="273"/>
      <c r="AL7" s="273"/>
    </row>
    <row r="8" spans="2:55" ht="9.9499999999999993" customHeight="1" x14ac:dyDescent="0.2"/>
    <row r="9" spans="2:55" ht="94.5" x14ac:dyDescent="0.2">
      <c r="B9" s="1045" t="s">
        <v>92</v>
      </c>
      <c r="C9" s="1046"/>
      <c r="D9" s="748" t="s">
        <v>45</v>
      </c>
      <c r="E9" s="748" t="s">
        <v>46</v>
      </c>
      <c r="F9" s="748" t="s">
        <v>47</v>
      </c>
      <c r="G9" s="748" t="s">
        <v>48</v>
      </c>
      <c r="H9" s="748" t="s">
        <v>49</v>
      </c>
      <c r="I9" s="749"/>
      <c r="J9" s="748" t="s">
        <v>45</v>
      </c>
      <c r="K9" s="748" t="s">
        <v>46</v>
      </c>
      <c r="L9" s="748" t="s">
        <v>47</v>
      </c>
      <c r="M9" s="748" t="s">
        <v>48</v>
      </c>
      <c r="N9" s="748" t="s">
        <v>49</v>
      </c>
      <c r="O9" s="749"/>
      <c r="P9" s="748" t="s">
        <v>45</v>
      </c>
      <c r="Q9" s="748" t="s">
        <v>46</v>
      </c>
      <c r="R9" s="748" t="s">
        <v>47</v>
      </c>
      <c r="S9" s="748" t="s">
        <v>48</v>
      </c>
      <c r="T9" s="748" t="s">
        <v>49</v>
      </c>
      <c r="U9" s="753"/>
      <c r="V9" s="753"/>
      <c r="W9" s="187"/>
      <c r="X9" s="187"/>
      <c r="Y9" s="187"/>
      <c r="Z9" s="187"/>
      <c r="AA9" s="187"/>
      <c r="AB9" s="187"/>
      <c r="AC9" s="187"/>
      <c r="AD9" s="187"/>
      <c r="AE9" s="187"/>
      <c r="AF9" s="187"/>
      <c r="AG9" s="187"/>
      <c r="AH9" s="187"/>
      <c r="AI9" s="187"/>
      <c r="AJ9" s="187"/>
      <c r="AK9" s="187"/>
      <c r="BA9" s="187"/>
      <c r="BB9" s="187"/>
    </row>
    <row r="10" spans="2:55" ht="13.5" hidden="1" customHeight="1" thickBot="1" x14ac:dyDescent="0.25">
      <c r="B10" s="750"/>
      <c r="C10" s="751" t="s">
        <v>98</v>
      </c>
      <c r="D10" s="752">
        <v>0</v>
      </c>
      <c r="E10" s="752">
        <v>0</v>
      </c>
      <c r="F10" s="752">
        <v>0</v>
      </c>
      <c r="G10" s="752">
        <v>0</v>
      </c>
      <c r="H10" s="752">
        <v>0</v>
      </c>
      <c r="I10" s="749"/>
      <c r="J10" s="752">
        <v>0</v>
      </c>
      <c r="K10" s="752">
        <v>0</v>
      </c>
      <c r="L10" s="752">
        <v>0</v>
      </c>
      <c r="M10" s="752">
        <v>0</v>
      </c>
      <c r="N10" s="752">
        <v>0</v>
      </c>
      <c r="P10" s="752">
        <v>0</v>
      </c>
      <c r="Q10" s="752">
        <v>0</v>
      </c>
      <c r="R10" s="752">
        <v>0</v>
      </c>
      <c r="S10" s="752">
        <v>0</v>
      </c>
      <c r="T10" s="752">
        <v>0</v>
      </c>
      <c r="V10" s="753"/>
      <c r="W10" s="187"/>
      <c r="X10" s="187"/>
      <c r="Y10" s="187"/>
      <c r="Z10" s="187"/>
      <c r="AA10" s="187"/>
      <c r="AB10" s="187"/>
      <c r="AC10" s="187"/>
      <c r="AD10" s="187"/>
      <c r="AE10" s="187"/>
      <c r="AF10" s="187"/>
      <c r="AG10" s="187"/>
      <c r="AH10" s="187"/>
      <c r="AI10" s="187"/>
      <c r="AJ10" s="187"/>
      <c r="AK10" s="187"/>
      <c r="AO10" s="753"/>
      <c r="AP10" s="753"/>
      <c r="AQ10" s="753"/>
      <c r="AR10" s="753"/>
      <c r="AS10" s="753"/>
      <c r="AT10" s="753"/>
      <c r="AU10" s="754"/>
      <c r="AV10" s="754"/>
      <c r="AW10" s="755"/>
    </row>
    <row r="11" spans="2:55" ht="19.5" customHeight="1" x14ac:dyDescent="0.2">
      <c r="B11" s="1053" t="s">
        <v>99</v>
      </c>
      <c r="C11" s="1054"/>
      <c r="D11" s="756">
        <f>'NIVEAU WAARDE - vorig jaar'!D50</f>
        <v>1.4</v>
      </c>
      <c r="E11" s="756">
        <f>'NIVEAU WAARDE - vorig jaar'!E50</f>
        <v>2.2999999999999998</v>
      </c>
      <c r="F11" s="756">
        <f>'NIVEAU WAARDE - vorig jaar'!F50</f>
        <v>1.7</v>
      </c>
      <c r="G11" s="756">
        <f>'NIVEAU WAARDE - vorig jaar'!G50</f>
        <v>2.2000000000000002</v>
      </c>
      <c r="H11" s="756">
        <f>'NIVEAU WAARDE - vorig jaar'!H50</f>
        <v>1.1000000000000001</v>
      </c>
      <c r="I11" s="757"/>
      <c r="J11" s="756">
        <f>'NIVEAU WAARDE - 1e toetsperiode'!D50</f>
        <v>1.6</v>
      </c>
      <c r="K11" s="756">
        <f>'NIVEAU WAARDE - 1e toetsperiode'!E50</f>
        <v>1.9</v>
      </c>
      <c r="L11" s="756">
        <f>'NIVEAU WAARDE - 1e toetsperiode'!F50</f>
        <v>0.8</v>
      </c>
      <c r="M11" s="756">
        <f>'NIVEAU WAARDE - 1e toetsperiode'!G50</f>
        <v>2.2999999999999998</v>
      </c>
      <c r="N11" s="756">
        <f>'NIVEAU WAARDE - 1e toetsperiode'!H50</f>
        <v>1.4</v>
      </c>
      <c r="O11" s="758"/>
      <c r="P11" s="759" t="e">
        <f>'NIVEAU WAARDE - 2e toetsperiode'!D50</f>
        <v>#NUM!</v>
      </c>
      <c r="Q11" s="759">
        <f>'NIVEAU WAARDE - 2e toetsperiode'!E50</f>
        <v>2.5</v>
      </c>
      <c r="R11" s="759">
        <f>'NIVEAU WAARDE - 2e toetsperiode'!F50</f>
        <v>1.6</v>
      </c>
      <c r="S11" s="759">
        <f>'NIVEAU WAARDE - 2e toetsperiode'!G50</f>
        <v>2.9</v>
      </c>
      <c r="T11" s="759">
        <f>'NIVEAU WAARDE - 2e toetsperiode'!H50</f>
        <v>2.1</v>
      </c>
      <c r="U11" s="761"/>
      <c r="W11" s="187"/>
      <c r="X11" s="187"/>
      <c r="Y11" s="187"/>
      <c r="Z11" s="187"/>
      <c r="AA11" s="187"/>
      <c r="AB11" s="187"/>
      <c r="AC11" s="187"/>
      <c r="AD11" s="187"/>
      <c r="AE11" s="187"/>
      <c r="AF11" s="187"/>
      <c r="AG11" s="187"/>
      <c r="AH11" s="187"/>
      <c r="AI11" s="187"/>
      <c r="AJ11" s="187"/>
      <c r="AK11" s="187"/>
      <c r="AO11" s="229"/>
      <c r="AP11" s="229"/>
      <c r="AQ11" s="237"/>
      <c r="AR11" s="237"/>
      <c r="AS11" s="237"/>
      <c r="AT11" s="237"/>
      <c r="AU11" s="229"/>
      <c r="AV11" s="229"/>
      <c r="AW11" s="229"/>
      <c r="AX11" s="229"/>
      <c r="AY11" s="229"/>
      <c r="AZ11" s="229"/>
      <c r="BA11" s="229"/>
      <c r="BB11" s="229"/>
      <c r="BC11" s="760"/>
    </row>
    <row r="12" spans="2:55" ht="19.5" customHeight="1" x14ac:dyDescent="0.2">
      <c r="B12" s="1053" t="s">
        <v>100</v>
      </c>
      <c r="C12" s="1054"/>
      <c r="D12" s="756">
        <f>'NIVEAU WAARDE - vorig jaar'!D49</f>
        <v>2.2000000000000002</v>
      </c>
      <c r="E12" s="756">
        <f>'NIVEAU WAARDE - vorig jaar'!E49</f>
        <v>3.7</v>
      </c>
      <c r="F12" s="756">
        <f>'NIVEAU WAARDE - vorig jaar'!F49</f>
        <v>2.9</v>
      </c>
      <c r="G12" s="756">
        <f>'NIVEAU WAARDE - vorig jaar'!G49</f>
        <v>3.2</v>
      </c>
      <c r="H12" s="756">
        <f>'NIVEAU WAARDE - vorig jaar'!H49</f>
        <v>3.6</v>
      </c>
      <c r="I12" s="757"/>
      <c r="J12" s="756">
        <f>'NIVEAU WAARDE - 1e toetsperiode'!D49</f>
        <v>3.1</v>
      </c>
      <c r="K12" s="756">
        <f>'NIVEAU WAARDE - 1e toetsperiode'!E49</f>
        <v>3.7</v>
      </c>
      <c r="L12" s="756">
        <f>'NIVEAU WAARDE - 1e toetsperiode'!F49</f>
        <v>2.2000000000000002</v>
      </c>
      <c r="M12" s="756">
        <f>'NIVEAU WAARDE - 1e toetsperiode'!G49</f>
        <v>3.6</v>
      </c>
      <c r="N12" s="756">
        <f>'NIVEAU WAARDE - 1e toetsperiode'!H49</f>
        <v>3.3</v>
      </c>
      <c r="O12" s="758"/>
      <c r="P12" s="759" t="e">
        <f>'NIVEAU WAARDE - 2e toetsperiode'!D49</f>
        <v>#NUM!</v>
      </c>
      <c r="Q12" s="759">
        <f>'NIVEAU WAARDE - 2e toetsperiode'!E49</f>
        <v>4.7</v>
      </c>
      <c r="R12" s="759">
        <f>'NIVEAU WAARDE - 2e toetsperiode'!F49</f>
        <v>2.9</v>
      </c>
      <c r="S12" s="759">
        <f>'NIVEAU WAARDE - 2e toetsperiode'!G49</f>
        <v>3.6</v>
      </c>
      <c r="T12" s="759">
        <f>'NIVEAU WAARDE - 2e toetsperiode'!H49</f>
        <v>3.7</v>
      </c>
      <c r="U12" s="761"/>
      <c r="W12" s="187"/>
      <c r="X12" s="187"/>
      <c r="Y12" s="187"/>
      <c r="Z12" s="187"/>
      <c r="AA12" s="187"/>
      <c r="AB12" s="187"/>
      <c r="AC12" s="187"/>
      <c r="AD12" s="187"/>
      <c r="AE12" s="187"/>
      <c r="AF12" s="187"/>
      <c r="AG12" s="187"/>
      <c r="AH12" s="187"/>
      <c r="AI12" s="187"/>
      <c r="AJ12" s="187"/>
      <c r="AK12" s="187"/>
      <c r="AO12" s="187"/>
      <c r="AP12" s="187"/>
      <c r="AQ12" s="187"/>
      <c r="AR12" s="187"/>
      <c r="AS12" s="187"/>
      <c r="AT12" s="187"/>
      <c r="AU12" s="229"/>
      <c r="AV12" s="229"/>
      <c r="AW12" s="229"/>
      <c r="AX12" s="229"/>
      <c r="AY12" s="229"/>
      <c r="AZ12" s="229"/>
      <c r="BA12" s="229"/>
      <c r="BB12" s="229"/>
      <c r="BC12" s="760"/>
    </row>
    <row r="13" spans="2:55" s="802" customFormat="1" ht="9.9499999999999993" customHeight="1" x14ac:dyDescent="0.2">
      <c r="B13" s="803"/>
      <c r="C13" s="803"/>
      <c r="D13" s="804"/>
      <c r="E13" s="805"/>
      <c r="F13" s="805"/>
      <c r="G13" s="805"/>
      <c r="H13" s="805"/>
      <c r="I13" s="806"/>
      <c r="J13" s="805"/>
      <c r="K13" s="805"/>
      <c r="L13" s="805"/>
      <c r="M13" s="805"/>
      <c r="N13" s="805"/>
      <c r="O13" s="807"/>
      <c r="P13" s="808"/>
      <c r="Q13" s="808"/>
      <c r="R13" s="808"/>
      <c r="S13" s="808"/>
      <c r="T13" s="808"/>
      <c r="U13" s="809"/>
      <c r="V13" s="810"/>
      <c r="AL13" s="812"/>
      <c r="AM13" s="812"/>
      <c r="AN13" s="812"/>
      <c r="AU13" s="811"/>
      <c r="AV13" s="811"/>
      <c r="AW13" s="811"/>
      <c r="AX13" s="811"/>
      <c r="AY13" s="811"/>
      <c r="AZ13" s="811"/>
      <c r="BA13" s="811"/>
      <c r="BB13" s="811"/>
      <c r="BC13" s="813"/>
    </row>
    <row r="14" spans="2:55" s="180" customFormat="1" ht="19.5" customHeight="1" x14ac:dyDescent="0.2">
      <c r="B14" s="1047" t="s">
        <v>505</v>
      </c>
      <c r="C14" s="1048"/>
      <c r="D14" s="799">
        <f>6-(Referentieniveau!$D$7/10)</f>
        <v>3</v>
      </c>
      <c r="E14" s="814">
        <v>2</v>
      </c>
      <c r="F14" s="814">
        <v>2</v>
      </c>
      <c r="G14" s="814">
        <v>2</v>
      </c>
      <c r="H14" s="814">
        <v>2</v>
      </c>
      <c r="I14" s="815"/>
      <c r="J14" s="814">
        <v>2</v>
      </c>
      <c r="K14" s="814">
        <v>2</v>
      </c>
      <c r="L14" s="814">
        <v>2</v>
      </c>
      <c r="M14" s="814">
        <v>2</v>
      </c>
      <c r="N14" s="814">
        <v>2</v>
      </c>
      <c r="O14" s="814"/>
      <c r="P14" s="814">
        <v>2</v>
      </c>
      <c r="Q14" s="814">
        <v>2</v>
      </c>
      <c r="R14" s="814">
        <v>2</v>
      </c>
      <c r="S14" s="814">
        <v>2</v>
      </c>
      <c r="T14" s="816">
        <v>2</v>
      </c>
      <c r="U14" s="229"/>
      <c r="V14" s="185"/>
      <c r="AL14" s="228"/>
      <c r="AM14" s="228"/>
      <c r="AN14" s="228"/>
      <c r="AU14" s="228"/>
      <c r="AV14" s="228"/>
      <c r="AW14" s="228"/>
      <c r="AX14" s="228"/>
      <c r="AY14" s="228"/>
      <c r="AZ14" s="228"/>
      <c r="BA14" s="228"/>
      <c r="BB14" s="228"/>
    </row>
    <row r="15" spans="2:55" s="180" customFormat="1" ht="19.5" customHeight="1" x14ac:dyDescent="0.2">
      <c r="B15" s="1049" t="s">
        <v>503</v>
      </c>
      <c r="C15" s="1050"/>
      <c r="D15" s="817">
        <f>D14-1</f>
        <v>2</v>
      </c>
      <c r="E15" s="818">
        <v>4</v>
      </c>
      <c r="F15" s="818">
        <v>4</v>
      </c>
      <c r="G15" s="818">
        <v>4</v>
      </c>
      <c r="H15" s="818">
        <v>4</v>
      </c>
      <c r="I15" s="819"/>
      <c r="J15" s="818">
        <v>4</v>
      </c>
      <c r="K15" s="818">
        <v>4</v>
      </c>
      <c r="L15" s="818">
        <v>4</v>
      </c>
      <c r="M15" s="818">
        <v>4</v>
      </c>
      <c r="N15" s="818">
        <v>4</v>
      </c>
      <c r="O15" s="818"/>
      <c r="P15" s="818">
        <v>4</v>
      </c>
      <c r="Q15" s="818">
        <v>4</v>
      </c>
      <c r="R15" s="818">
        <v>4</v>
      </c>
      <c r="S15" s="818">
        <v>4</v>
      </c>
      <c r="T15" s="820">
        <v>4</v>
      </c>
      <c r="U15" s="229"/>
      <c r="V15" s="185"/>
      <c r="AL15" s="228"/>
      <c r="AM15" s="228"/>
      <c r="AN15" s="228"/>
      <c r="AO15" s="228"/>
      <c r="AP15" s="228"/>
      <c r="AQ15" s="228"/>
      <c r="AR15" s="228"/>
      <c r="AS15" s="228"/>
      <c r="AT15" s="228"/>
      <c r="AU15" s="228"/>
      <c r="AV15" s="228"/>
      <c r="AW15" s="228"/>
      <c r="AX15" s="228"/>
      <c r="AY15" s="228"/>
      <c r="AZ15" s="228"/>
      <c r="BA15" s="228"/>
      <c r="BB15" s="228"/>
    </row>
    <row r="16" spans="2:55" s="180" customFormat="1" ht="19.5" customHeight="1" x14ac:dyDescent="0.2">
      <c r="B16" s="1051" t="s">
        <v>504</v>
      </c>
      <c r="C16" s="1052"/>
      <c r="D16" s="821">
        <f>D14+1</f>
        <v>4</v>
      </c>
      <c r="E16" s="822"/>
      <c r="F16" s="822"/>
      <c r="G16" s="822"/>
      <c r="H16" s="822"/>
      <c r="I16" s="823"/>
      <c r="J16" s="822"/>
      <c r="K16" s="822"/>
      <c r="L16" s="822"/>
      <c r="M16" s="822"/>
      <c r="N16" s="822"/>
      <c r="O16" s="822"/>
      <c r="P16" s="822"/>
      <c r="Q16" s="822"/>
      <c r="R16" s="822"/>
      <c r="S16" s="822"/>
      <c r="T16" s="824"/>
      <c r="U16" s="229"/>
      <c r="V16" s="185"/>
      <c r="W16" s="185"/>
      <c r="X16" s="185"/>
      <c r="Y16" s="185"/>
      <c r="Z16" s="185"/>
      <c r="AA16" s="185"/>
      <c r="AB16" s="185"/>
      <c r="AC16" s="185"/>
      <c r="AD16" s="185"/>
      <c r="AE16" s="796"/>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row>
    <row r="17" spans="2:54" s="180" customFormat="1" ht="9.9499999999999993" customHeight="1" x14ac:dyDescent="0.2">
      <c r="B17" s="648"/>
      <c r="C17" s="449"/>
      <c r="D17" s="600"/>
      <c r="E17" s="600"/>
      <c r="F17" s="600"/>
      <c r="G17" s="600"/>
      <c r="H17" s="600"/>
      <c r="I17" s="181"/>
      <c r="J17" s="600"/>
      <c r="K17" s="600"/>
      <c r="L17" s="600"/>
      <c r="M17" s="600"/>
      <c r="N17" s="600"/>
      <c r="O17" s="600"/>
      <c r="P17" s="600"/>
      <c r="Q17" s="600"/>
      <c r="R17" s="600"/>
      <c r="S17" s="600"/>
      <c r="T17" s="600"/>
      <c r="U17" s="229"/>
      <c r="V17" s="185"/>
      <c r="W17" s="185"/>
      <c r="X17" s="185"/>
      <c r="Y17" s="185"/>
      <c r="Z17" s="185"/>
      <c r="AA17" s="185"/>
      <c r="AB17" s="185"/>
      <c r="AC17" s="185"/>
      <c r="AD17" s="185"/>
      <c r="AE17" s="796"/>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row>
    <row r="18" spans="2:54" ht="19.5" customHeight="1" x14ac:dyDescent="0.2">
      <c r="B18" s="396"/>
      <c r="D18" s="761"/>
      <c r="E18" s="758"/>
      <c r="F18" s="758"/>
      <c r="G18" s="758"/>
      <c r="H18" s="758"/>
      <c r="I18" s="757"/>
      <c r="J18" s="761"/>
      <c r="K18" s="758"/>
      <c r="L18" s="761"/>
      <c r="M18" s="761"/>
      <c r="N18" s="758"/>
      <c r="O18" s="758"/>
      <c r="P18" s="761"/>
      <c r="Q18" s="761"/>
      <c r="R18" s="761"/>
      <c r="S18" s="758"/>
      <c r="T18" s="761"/>
      <c r="U18" s="761"/>
    </row>
    <row r="19" spans="2:54" ht="19.5" customHeight="1" x14ac:dyDescent="0.2">
      <c r="B19" s="762"/>
      <c r="D19" s="761"/>
      <c r="E19" s="758"/>
      <c r="F19" s="758"/>
      <c r="G19" s="758"/>
      <c r="H19" s="758"/>
      <c r="I19" s="757"/>
      <c r="J19" s="761"/>
      <c r="K19" s="758"/>
      <c r="L19" s="761"/>
      <c r="M19" s="761"/>
      <c r="N19" s="758"/>
      <c r="O19" s="758"/>
      <c r="P19" s="761"/>
      <c r="Q19" s="761"/>
      <c r="R19" s="761"/>
      <c r="S19" s="758"/>
      <c r="T19" s="761"/>
      <c r="U19" s="761"/>
    </row>
    <row r="20" spans="2:54" ht="19.5" customHeight="1" x14ac:dyDescent="0.2">
      <c r="B20" s="762"/>
      <c r="D20" s="1036" t="s">
        <v>93</v>
      </c>
      <c r="E20" s="1036"/>
      <c r="F20" s="1036"/>
      <c r="G20" s="1036" t="s">
        <v>94</v>
      </c>
      <c r="H20" s="1036"/>
      <c r="I20" s="1036"/>
      <c r="J20" s="1036" t="s">
        <v>95</v>
      </c>
      <c r="K20" s="1036"/>
      <c r="L20" s="1036"/>
      <c r="M20" s="1036" t="s">
        <v>96</v>
      </c>
      <c r="N20" s="1036"/>
      <c r="O20" s="1036"/>
      <c r="P20" s="1036" t="s">
        <v>97</v>
      </c>
      <c r="Q20" s="1036"/>
      <c r="R20" s="1036"/>
      <c r="S20" s="758"/>
      <c r="T20" s="761"/>
      <c r="U20" s="761"/>
    </row>
    <row r="21" spans="2:54" ht="19.5" customHeight="1" x14ac:dyDescent="0.2">
      <c r="D21" s="753"/>
      <c r="E21" s="753"/>
      <c r="F21" s="753"/>
      <c r="G21" s="753"/>
      <c r="H21" s="753"/>
      <c r="I21" s="753"/>
      <c r="J21" s="754"/>
      <c r="K21" s="754"/>
      <c r="L21" s="755"/>
      <c r="M21" s="228"/>
      <c r="N21" s="228"/>
      <c r="O21" s="228"/>
      <c r="P21" s="228"/>
      <c r="Q21" s="228"/>
      <c r="R21" s="228"/>
      <c r="S21" s="758"/>
      <c r="T21" s="761"/>
      <c r="U21" s="761"/>
    </row>
    <row r="22" spans="2:54" ht="19.5" customHeight="1" x14ac:dyDescent="0.2">
      <c r="D22" s="229">
        <f>D11</f>
        <v>1.4</v>
      </c>
      <c r="E22" s="229">
        <f>J11</f>
        <v>1.6</v>
      </c>
      <c r="F22" s="229" t="e">
        <f>P11</f>
        <v>#NUM!</v>
      </c>
      <c r="G22" s="229">
        <f>E11</f>
        <v>2.2999999999999998</v>
      </c>
      <c r="H22" s="229">
        <f>K11</f>
        <v>1.9</v>
      </c>
      <c r="I22" s="229">
        <f>Q11</f>
        <v>2.5</v>
      </c>
      <c r="J22" s="229">
        <f>F11</f>
        <v>1.7</v>
      </c>
      <c r="K22" s="229">
        <f>L11</f>
        <v>0.8</v>
      </c>
      <c r="L22" s="229">
        <f>R11</f>
        <v>1.6</v>
      </c>
      <c r="M22" s="229">
        <f>G11</f>
        <v>2.2000000000000002</v>
      </c>
      <c r="N22" s="229">
        <f>M11</f>
        <v>2.2999999999999998</v>
      </c>
      <c r="O22" s="229">
        <f>S11</f>
        <v>2.9</v>
      </c>
      <c r="P22" s="229">
        <f>H11</f>
        <v>1.1000000000000001</v>
      </c>
      <c r="Q22" s="229">
        <f>N11</f>
        <v>1.4</v>
      </c>
      <c r="R22" s="229">
        <f>T11</f>
        <v>2.1</v>
      </c>
      <c r="S22" s="758"/>
      <c r="T22" s="761"/>
      <c r="U22" s="761"/>
    </row>
    <row r="23" spans="2:54" ht="19.5" customHeight="1" x14ac:dyDescent="0.2">
      <c r="D23" s="229">
        <f>D12</f>
        <v>2.2000000000000002</v>
      </c>
      <c r="E23" s="229">
        <f>J12</f>
        <v>3.1</v>
      </c>
      <c r="F23" s="229" t="e">
        <f>P12</f>
        <v>#NUM!</v>
      </c>
      <c r="G23" s="229">
        <f>E12</f>
        <v>3.7</v>
      </c>
      <c r="H23" s="229">
        <f>K12</f>
        <v>3.7</v>
      </c>
      <c r="I23" s="229">
        <f>Q12</f>
        <v>4.7</v>
      </c>
      <c r="J23" s="229">
        <f>F12</f>
        <v>2.9</v>
      </c>
      <c r="K23" s="229">
        <f>L12</f>
        <v>2.2000000000000002</v>
      </c>
      <c r="L23" s="229">
        <f>R12</f>
        <v>2.9</v>
      </c>
      <c r="M23" s="229">
        <f>G12</f>
        <v>3.2</v>
      </c>
      <c r="N23" s="229">
        <f>M12</f>
        <v>3.6</v>
      </c>
      <c r="O23" s="229">
        <f>S12</f>
        <v>3.6</v>
      </c>
      <c r="P23" s="229">
        <f>H12</f>
        <v>3.6</v>
      </c>
      <c r="Q23" s="229">
        <f>N12</f>
        <v>3.3</v>
      </c>
      <c r="R23" s="229">
        <f>T12</f>
        <v>3.7</v>
      </c>
      <c r="S23" s="758"/>
      <c r="T23" s="761"/>
      <c r="U23" s="761"/>
    </row>
    <row r="24" spans="2:54" ht="19.5" customHeight="1" x14ac:dyDescent="0.2">
      <c r="D24" s="811"/>
      <c r="E24" s="811"/>
      <c r="F24" s="811"/>
      <c r="G24" s="811"/>
      <c r="H24" s="811"/>
      <c r="I24" s="811"/>
      <c r="J24" s="811"/>
      <c r="K24" s="811"/>
      <c r="L24" s="811"/>
      <c r="M24" s="811"/>
      <c r="N24" s="811"/>
      <c r="O24" s="811"/>
      <c r="P24" s="811"/>
      <c r="Q24" s="811"/>
      <c r="R24" s="811"/>
      <c r="S24" s="758"/>
      <c r="T24" s="761"/>
      <c r="U24" s="761"/>
    </row>
    <row r="25" spans="2:54" ht="19.5" customHeight="1" x14ac:dyDescent="0.2">
      <c r="D25" s="800">
        <f>$D$15</f>
        <v>2</v>
      </c>
      <c r="E25" s="800">
        <f t="shared" ref="E25:R25" si="0">$D$15</f>
        <v>2</v>
      </c>
      <c r="F25" s="800">
        <f t="shared" si="0"/>
        <v>2</v>
      </c>
      <c r="G25" s="800">
        <f t="shared" si="0"/>
        <v>2</v>
      </c>
      <c r="H25" s="800">
        <f t="shared" si="0"/>
        <v>2</v>
      </c>
      <c r="I25" s="800">
        <f t="shared" si="0"/>
        <v>2</v>
      </c>
      <c r="J25" s="800">
        <f t="shared" si="0"/>
        <v>2</v>
      </c>
      <c r="K25" s="800">
        <f t="shared" si="0"/>
        <v>2</v>
      </c>
      <c r="L25" s="800">
        <f t="shared" si="0"/>
        <v>2</v>
      </c>
      <c r="M25" s="800">
        <f t="shared" si="0"/>
        <v>2</v>
      </c>
      <c r="N25" s="800">
        <f t="shared" si="0"/>
        <v>2</v>
      </c>
      <c r="O25" s="800">
        <f t="shared" si="0"/>
        <v>2</v>
      </c>
      <c r="P25" s="800">
        <f t="shared" si="0"/>
        <v>2</v>
      </c>
      <c r="Q25" s="800">
        <f t="shared" si="0"/>
        <v>2</v>
      </c>
      <c r="R25" s="800">
        <f t="shared" si="0"/>
        <v>2</v>
      </c>
      <c r="S25" s="758"/>
      <c r="T25" s="761"/>
      <c r="U25" s="761"/>
    </row>
    <row r="26" spans="2:54" ht="19.5" customHeight="1" x14ac:dyDescent="0.2">
      <c r="D26" s="800">
        <f>$D$16</f>
        <v>4</v>
      </c>
      <c r="E26" s="800">
        <f t="shared" ref="E26:R26" si="1">$D$16</f>
        <v>4</v>
      </c>
      <c r="F26" s="800">
        <f t="shared" si="1"/>
        <v>4</v>
      </c>
      <c r="G26" s="800">
        <f t="shared" si="1"/>
        <v>4</v>
      </c>
      <c r="H26" s="800">
        <f t="shared" si="1"/>
        <v>4</v>
      </c>
      <c r="I26" s="800">
        <f t="shared" si="1"/>
        <v>4</v>
      </c>
      <c r="J26" s="800">
        <f t="shared" si="1"/>
        <v>4</v>
      </c>
      <c r="K26" s="800">
        <f t="shared" si="1"/>
        <v>4</v>
      </c>
      <c r="L26" s="800">
        <f t="shared" si="1"/>
        <v>4</v>
      </c>
      <c r="M26" s="800">
        <f t="shared" si="1"/>
        <v>4</v>
      </c>
      <c r="N26" s="800">
        <f t="shared" si="1"/>
        <v>4</v>
      </c>
      <c r="O26" s="800">
        <f t="shared" si="1"/>
        <v>4</v>
      </c>
      <c r="P26" s="800">
        <f t="shared" si="1"/>
        <v>4</v>
      </c>
      <c r="Q26" s="800">
        <f t="shared" si="1"/>
        <v>4</v>
      </c>
      <c r="R26" s="800">
        <f t="shared" si="1"/>
        <v>4</v>
      </c>
      <c r="S26" s="758"/>
      <c r="T26" s="761"/>
      <c r="U26" s="761"/>
    </row>
    <row r="27" spans="2:54" ht="19.5" customHeight="1" x14ac:dyDescent="0.2">
      <c r="D27" s="761"/>
      <c r="E27" s="758"/>
      <c r="F27" s="758"/>
      <c r="G27" s="187"/>
      <c r="H27" s="648"/>
      <c r="I27" s="757"/>
      <c r="J27" s="761"/>
      <c r="K27" s="758"/>
      <c r="L27" s="761"/>
      <c r="M27" s="761"/>
      <c r="N27" s="758"/>
      <c r="O27" s="758"/>
      <c r="P27" s="761"/>
      <c r="Q27" s="761"/>
      <c r="R27" s="761"/>
      <c r="S27" s="758"/>
      <c r="T27" s="761"/>
      <c r="U27" s="761"/>
    </row>
    <row r="28" spans="2:54" ht="19.5" customHeight="1" x14ac:dyDescent="0.2">
      <c r="D28" s="185" t="s">
        <v>101</v>
      </c>
      <c r="E28" s="185" t="s">
        <v>102</v>
      </c>
      <c r="F28" s="185" t="s">
        <v>103</v>
      </c>
      <c r="G28" s="185" t="s">
        <v>104</v>
      </c>
      <c r="H28" s="185" t="s">
        <v>105</v>
      </c>
      <c r="I28" s="185" t="s">
        <v>106</v>
      </c>
      <c r="J28" s="761"/>
      <c r="K28" s="758"/>
      <c r="L28" s="761"/>
      <c r="M28" s="761"/>
      <c r="N28" s="758"/>
      <c r="O28" s="758"/>
      <c r="P28" s="761"/>
      <c r="Q28" s="761"/>
      <c r="R28" s="761"/>
      <c r="S28" s="758"/>
      <c r="T28" s="761"/>
      <c r="U28" s="761"/>
    </row>
    <row r="29" spans="2:54" ht="19.5" customHeight="1" x14ac:dyDescent="0.2">
      <c r="D29" s="810"/>
      <c r="E29" s="810"/>
      <c r="F29" s="810"/>
      <c r="G29" s="810"/>
      <c r="H29" s="810"/>
      <c r="I29" s="810"/>
      <c r="J29" s="761"/>
      <c r="K29" s="758"/>
      <c r="L29" s="761"/>
      <c r="M29" s="761"/>
      <c r="N29" s="758"/>
      <c r="O29" s="758"/>
      <c r="P29" s="761"/>
      <c r="Q29" s="761"/>
      <c r="R29" s="761"/>
      <c r="S29" s="758"/>
      <c r="T29" s="761"/>
      <c r="U29" s="761"/>
    </row>
    <row r="30" spans="2:54" ht="19.5" customHeight="1" x14ac:dyDescent="0.2">
      <c r="D30" s="185">
        <v>0.5</v>
      </c>
      <c r="E30" s="185">
        <v>1.5</v>
      </c>
      <c r="F30" s="185">
        <v>2.4</v>
      </c>
      <c r="G30" s="185">
        <v>3.3</v>
      </c>
      <c r="H30" s="185">
        <v>4.2</v>
      </c>
      <c r="I30" s="185">
        <v>5</v>
      </c>
      <c r="J30" s="761"/>
      <c r="K30" s="758"/>
      <c r="L30" s="761"/>
      <c r="M30" s="761"/>
      <c r="N30" s="758"/>
      <c r="O30" s="758"/>
      <c r="P30" s="761"/>
      <c r="Q30" s="761"/>
      <c r="R30" s="761"/>
      <c r="S30" s="758"/>
      <c r="T30" s="761"/>
      <c r="U30" s="761"/>
    </row>
    <row r="31" spans="2:54" ht="19.5" customHeight="1" x14ac:dyDescent="0.2">
      <c r="D31" s="761"/>
      <c r="E31" s="758"/>
      <c r="F31" s="758"/>
      <c r="G31" s="758"/>
      <c r="H31" s="758"/>
      <c r="I31" s="757"/>
      <c r="J31" s="761"/>
      <c r="K31" s="758"/>
      <c r="L31" s="761"/>
      <c r="M31" s="761"/>
      <c r="N31" s="758"/>
      <c r="O31" s="758"/>
      <c r="P31" s="761"/>
      <c r="Q31" s="761"/>
      <c r="R31" s="761"/>
      <c r="S31" s="758"/>
      <c r="T31" s="761"/>
      <c r="U31" s="761"/>
    </row>
    <row r="32" spans="2:54" ht="19.5" customHeight="1" x14ac:dyDescent="0.2">
      <c r="D32" s="761"/>
      <c r="E32" s="758"/>
      <c r="F32" s="758"/>
      <c r="G32" s="758"/>
      <c r="H32" s="758"/>
      <c r="I32" s="757"/>
      <c r="J32" s="761"/>
      <c r="K32" s="758"/>
      <c r="L32" s="761"/>
      <c r="M32" s="761"/>
      <c r="N32" s="758"/>
      <c r="O32" s="758"/>
      <c r="P32" s="761"/>
      <c r="Q32" s="761"/>
      <c r="R32" s="761"/>
      <c r="S32" s="758"/>
      <c r="T32" s="761"/>
      <c r="U32" s="761"/>
    </row>
    <row r="33" spans="4:21" ht="19.5" customHeight="1" x14ac:dyDescent="0.2">
      <c r="D33" s="761"/>
      <c r="E33" s="758"/>
      <c r="F33" s="758"/>
      <c r="G33" s="758"/>
      <c r="H33" s="758"/>
      <c r="I33" s="757"/>
      <c r="J33" s="761"/>
      <c r="K33" s="758"/>
      <c r="L33" s="761"/>
      <c r="M33" s="761"/>
      <c r="N33" s="758"/>
      <c r="O33" s="758"/>
      <c r="P33" s="761"/>
      <c r="Q33" s="761"/>
      <c r="R33" s="761"/>
      <c r="S33" s="758"/>
      <c r="T33" s="761"/>
      <c r="U33" s="761"/>
    </row>
    <row r="34" spans="4:21" ht="19.5" customHeight="1" x14ac:dyDescent="0.2">
      <c r="D34" s="761"/>
      <c r="E34" s="758"/>
      <c r="F34" s="758"/>
      <c r="G34" s="758"/>
      <c r="H34" s="758"/>
      <c r="I34" s="757"/>
      <c r="J34" s="761"/>
      <c r="K34" s="758"/>
      <c r="L34" s="761"/>
      <c r="M34" s="761"/>
      <c r="N34" s="758"/>
      <c r="O34" s="758"/>
      <c r="P34" s="761"/>
      <c r="Q34" s="761"/>
      <c r="R34" s="761"/>
      <c r="S34" s="758"/>
      <c r="T34" s="761"/>
      <c r="U34" s="761"/>
    </row>
    <row r="35" spans="4:21" ht="19.5" customHeight="1" x14ac:dyDescent="0.2">
      <c r="D35" s="761"/>
      <c r="E35" s="758"/>
      <c r="F35" s="758"/>
      <c r="G35" s="758"/>
      <c r="H35" s="758"/>
      <c r="I35" s="757"/>
      <c r="J35" s="761"/>
      <c r="K35" s="758"/>
      <c r="L35" s="761"/>
      <c r="M35" s="761"/>
      <c r="N35" s="758"/>
      <c r="O35" s="758"/>
      <c r="P35" s="761"/>
      <c r="Q35" s="761"/>
      <c r="R35" s="761"/>
      <c r="S35" s="758"/>
      <c r="T35" s="761"/>
      <c r="U35" s="761"/>
    </row>
    <row r="36" spans="4:21" ht="19.5" customHeight="1" x14ac:dyDescent="0.2">
      <c r="D36" s="761"/>
      <c r="E36" s="758"/>
      <c r="F36" s="758"/>
      <c r="G36" s="758"/>
      <c r="H36" s="758"/>
      <c r="I36" s="757"/>
      <c r="J36" s="761"/>
      <c r="K36" s="758"/>
      <c r="L36" s="761"/>
      <c r="M36" s="761"/>
      <c r="N36" s="758"/>
      <c r="O36" s="758"/>
      <c r="P36" s="761"/>
      <c r="Q36" s="761"/>
      <c r="R36" s="761"/>
      <c r="S36" s="758"/>
      <c r="T36" s="761"/>
      <c r="U36" s="761"/>
    </row>
    <row r="37" spans="4:21" ht="19.5" customHeight="1" x14ac:dyDescent="0.2">
      <c r="D37" s="761"/>
      <c r="E37" s="758"/>
      <c r="F37" s="758"/>
      <c r="G37" s="758"/>
      <c r="H37" s="758"/>
      <c r="I37" s="757"/>
      <c r="J37" s="761"/>
      <c r="K37" s="758"/>
      <c r="L37" s="761"/>
      <c r="M37" s="761"/>
      <c r="N37" s="758"/>
      <c r="O37" s="758"/>
      <c r="P37" s="761"/>
      <c r="Q37" s="761"/>
      <c r="R37" s="761"/>
      <c r="S37" s="758"/>
      <c r="T37" s="761"/>
      <c r="U37" s="761"/>
    </row>
    <row r="38" spans="4:21" ht="19.5" customHeight="1" x14ac:dyDescent="0.2">
      <c r="D38" s="761"/>
      <c r="E38" s="758"/>
      <c r="F38" s="758"/>
      <c r="G38" s="758"/>
      <c r="H38" s="758"/>
      <c r="I38" s="757"/>
      <c r="J38" s="761"/>
      <c r="K38" s="758"/>
      <c r="L38" s="761"/>
      <c r="M38" s="761"/>
      <c r="N38" s="758"/>
      <c r="O38" s="758"/>
      <c r="P38" s="761"/>
      <c r="Q38" s="761"/>
      <c r="R38" s="761"/>
      <c r="S38" s="758"/>
      <c r="T38" s="761"/>
      <c r="U38" s="761"/>
    </row>
    <row r="39" spans="4:21" ht="19.5" customHeight="1" x14ac:dyDescent="0.2">
      <c r="D39" s="761"/>
      <c r="E39" s="758"/>
      <c r="F39" s="758"/>
      <c r="G39" s="758"/>
      <c r="H39" s="758"/>
      <c r="I39" s="757"/>
      <c r="J39" s="761"/>
      <c r="K39" s="758"/>
      <c r="L39" s="761"/>
      <c r="M39" s="761"/>
      <c r="N39" s="758"/>
      <c r="O39" s="758"/>
      <c r="P39" s="761"/>
      <c r="Q39" s="761"/>
      <c r="R39" s="761"/>
      <c r="S39" s="758"/>
      <c r="T39" s="761"/>
      <c r="U39" s="761"/>
    </row>
    <row r="40" spans="4:21" ht="19.5" customHeight="1" x14ac:dyDescent="0.2">
      <c r="D40" s="761"/>
      <c r="E40" s="758"/>
      <c r="F40" s="758"/>
      <c r="G40" s="758"/>
      <c r="H40" s="758"/>
      <c r="I40" s="757"/>
      <c r="J40" s="761"/>
      <c r="K40" s="758"/>
      <c r="L40" s="761"/>
      <c r="M40" s="761"/>
      <c r="N40" s="758"/>
      <c r="O40" s="758"/>
      <c r="P40" s="761"/>
      <c r="Q40" s="761"/>
      <c r="R40" s="761"/>
      <c r="S40" s="758"/>
      <c r="T40" s="761"/>
      <c r="U40" s="761"/>
    </row>
    <row r="41" spans="4:21" ht="19.5" customHeight="1" x14ac:dyDescent="0.2">
      <c r="D41" s="761"/>
      <c r="E41" s="758"/>
      <c r="F41" s="758"/>
      <c r="G41" s="758"/>
      <c r="H41" s="758"/>
      <c r="I41" s="757"/>
      <c r="J41" s="761"/>
      <c r="K41" s="758"/>
      <c r="L41" s="761"/>
      <c r="M41" s="761"/>
      <c r="N41" s="758"/>
      <c r="O41" s="758"/>
      <c r="P41" s="761"/>
      <c r="Q41" s="761"/>
      <c r="R41" s="761"/>
      <c r="S41" s="758"/>
      <c r="T41" s="761"/>
      <c r="U41" s="798"/>
    </row>
    <row r="42" spans="4:21" ht="19.5" customHeight="1" x14ac:dyDescent="0.2">
      <c r="D42" s="761"/>
      <c r="E42" s="758"/>
      <c r="F42" s="758"/>
      <c r="G42" s="758"/>
      <c r="H42" s="758"/>
      <c r="I42" s="757"/>
      <c r="J42" s="761"/>
      <c r="K42" s="758"/>
      <c r="L42" s="761"/>
      <c r="M42" s="761"/>
      <c r="N42" s="758"/>
      <c r="O42" s="758"/>
      <c r="P42" s="761"/>
      <c r="Q42" s="761"/>
      <c r="R42" s="761"/>
      <c r="S42" s="758"/>
      <c r="T42" s="761"/>
      <c r="U42" s="761"/>
    </row>
    <row r="43" spans="4:21" ht="19.5" customHeight="1" x14ac:dyDescent="0.2">
      <c r="D43" s="761"/>
      <c r="E43" s="761"/>
      <c r="F43" s="758"/>
      <c r="G43" s="761"/>
      <c r="H43" s="761"/>
      <c r="I43" s="757"/>
      <c r="J43" s="761"/>
      <c r="K43" s="761"/>
      <c r="L43" s="761"/>
      <c r="M43" s="761"/>
      <c r="N43" s="761"/>
      <c r="O43" s="758"/>
      <c r="P43" s="761"/>
      <c r="Q43" s="761"/>
      <c r="R43" s="761"/>
      <c r="S43" s="758"/>
      <c r="T43" s="761"/>
      <c r="U43" s="761"/>
    </row>
    <row r="44" spans="4:21" ht="19.5" customHeight="1" x14ac:dyDescent="0.2">
      <c r="D44" s="761"/>
      <c r="E44" s="761"/>
      <c r="F44" s="761"/>
      <c r="G44" s="761"/>
      <c r="H44" s="761"/>
      <c r="I44" s="757"/>
      <c r="J44" s="761"/>
      <c r="K44" s="761"/>
      <c r="L44" s="761"/>
      <c r="M44" s="761"/>
      <c r="N44" s="761"/>
      <c r="O44" s="758"/>
      <c r="P44" s="761"/>
      <c r="Q44" s="761"/>
      <c r="R44" s="761"/>
      <c r="S44" s="758"/>
      <c r="T44" s="761"/>
      <c r="U44" s="761"/>
    </row>
    <row r="45" spans="4:21" ht="19.5" customHeight="1" x14ac:dyDescent="0.2">
      <c r="D45" s="761"/>
      <c r="E45" s="761"/>
      <c r="F45" s="761"/>
      <c r="G45" s="761"/>
      <c r="H45" s="761"/>
      <c r="I45" s="757"/>
      <c r="J45" s="761"/>
      <c r="K45" s="761"/>
      <c r="L45" s="761"/>
      <c r="M45" s="761"/>
      <c r="N45" s="761"/>
      <c r="O45" s="758"/>
      <c r="P45" s="761"/>
      <c r="Q45" s="761"/>
      <c r="R45" s="761"/>
      <c r="S45" s="758"/>
      <c r="T45" s="761"/>
      <c r="U45" s="761"/>
    </row>
    <row r="46" spans="4:21" ht="19.5" customHeight="1" x14ac:dyDescent="0.2">
      <c r="D46" s="763"/>
      <c r="E46" s="761"/>
      <c r="F46" s="761"/>
      <c r="G46" s="761"/>
      <c r="H46" s="763"/>
      <c r="I46" s="757"/>
      <c r="J46" s="761"/>
      <c r="K46" s="761"/>
      <c r="L46" s="761"/>
      <c r="M46" s="761"/>
      <c r="N46" s="761"/>
      <c r="O46" s="758"/>
      <c r="P46" s="761"/>
      <c r="Q46" s="761"/>
      <c r="R46" s="761"/>
      <c r="S46" s="758"/>
      <c r="T46" s="761"/>
      <c r="U46" s="761"/>
    </row>
    <row r="47" spans="4:21" ht="19.5" customHeight="1" x14ac:dyDescent="0.2">
      <c r="D47" s="760"/>
      <c r="E47" s="760"/>
      <c r="F47" s="760"/>
      <c r="G47" s="760"/>
      <c r="H47" s="760"/>
      <c r="I47" s="757"/>
      <c r="J47" s="760"/>
      <c r="K47" s="760"/>
      <c r="L47" s="760"/>
      <c r="M47" s="760"/>
      <c r="N47" s="760"/>
      <c r="O47" s="757"/>
      <c r="P47" s="760"/>
      <c r="Q47" s="760"/>
      <c r="R47" s="760"/>
      <c r="S47" s="760"/>
      <c r="T47" s="760"/>
      <c r="U47" s="798"/>
    </row>
    <row r="48" spans="4:21" ht="19.5" customHeight="1" x14ac:dyDescent="0.2">
      <c r="D48" s="760"/>
      <c r="E48" s="760"/>
      <c r="F48" s="760"/>
      <c r="G48" s="760"/>
      <c r="H48" s="760"/>
      <c r="I48" s="757"/>
      <c r="J48" s="760"/>
      <c r="K48" s="760"/>
      <c r="L48" s="760"/>
      <c r="M48" s="760"/>
      <c r="N48" s="760"/>
      <c r="O48" s="757"/>
      <c r="P48" s="760"/>
      <c r="Q48" s="760"/>
      <c r="R48" s="760"/>
      <c r="S48" s="760"/>
      <c r="T48" s="760"/>
      <c r="U48" s="798"/>
    </row>
    <row r="49" spans="3:29" ht="19.5" customHeight="1" x14ac:dyDescent="0.2">
      <c r="D49" s="760"/>
      <c r="E49" s="760"/>
      <c r="F49" s="760"/>
      <c r="G49" s="760"/>
      <c r="H49" s="760"/>
      <c r="I49" s="757"/>
      <c r="J49" s="760"/>
      <c r="K49" s="760"/>
      <c r="L49" s="760"/>
      <c r="M49" s="760"/>
      <c r="N49" s="760"/>
      <c r="O49" s="757"/>
      <c r="P49" s="760"/>
      <c r="Q49" s="760"/>
      <c r="R49" s="760"/>
      <c r="S49" s="760"/>
      <c r="T49" s="760"/>
      <c r="U49" s="798"/>
    </row>
    <row r="50" spans="3:29" ht="19.5" customHeight="1" x14ac:dyDescent="0.2">
      <c r="D50" s="760"/>
      <c r="E50" s="760"/>
      <c r="F50" s="760"/>
      <c r="G50" s="760"/>
      <c r="H50" s="760"/>
      <c r="I50" s="757"/>
      <c r="J50" s="760"/>
      <c r="K50" s="760"/>
      <c r="L50" s="760"/>
      <c r="M50" s="760"/>
      <c r="N50" s="760"/>
      <c r="O50" s="757"/>
      <c r="P50" s="760"/>
      <c r="Q50" s="760"/>
      <c r="R50" s="760"/>
      <c r="S50" s="760"/>
      <c r="T50" s="760"/>
      <c r="U50" s="798"/>
    </row>
    <row r="51" spans="3:29" ht="19.5" customHeight="1" x14ac:dyDescent="0.2">
      <c r="D51" s="760"/>
      <c r="E51" s="760"/>
      <c r="F51" s="760"/>
      <c r="G51" s="760"/>
      <c r="H51" s="760"/>
      <c r="I51" s="757"/>
      <c r="J51" s="760"/>
      <c r="K51" s="760"/>
      <c r="L51" s="760"/>
      <c r="M51" s="760"/>
      <c r="N51" s="760"/>
      <c r="O51" s="757"/>
      <c r="P51" s="760"/>
      <c r="Q51" s="760"/>
      <c r="R51" s="760"/>
      <c r="S51" s="760"/>
      <c r="T51" s="760"/>
      <c r="U51" s="798"/>
    </row>
    <row r="52" spans="3:29" ht="19.5" customHeight="1" x14ac:dyDescent="0.2">
      <c r="D52" s="760"/>
      <c r="E52" s="760"/>
      <c r="F52" s="760"/>
      <c r="G52" s="760"/>
      <c r="H52" s="760"/>
      <c r="I52" s="757"/>
      <c r="J52" s="760"/>
      <c r="K52" s="760"/>
      <c r="L52" s="760"/>
      <c r="M52" s="760"/>
      <c r="N52" s="760"/>
      <c r="O52" s="757"/>
      <c r="P52" s="760"/>
      <c r="Q52" s="760"/>
      <c r="R52" s="760"/>
      <c r="S52" s="760"/>
      <c r="T52" s="760"/>
      <c r="U52" s="798"/>
    </row>
    <row r="53" spans="3:29" ht="19.5" customHeight="1" x14ac:dyDescent="0.2">
      <c r="D53" s="760"/>
      <c r="E53" s="760"/>
      <c r="F53" s="760"/>
      <c r="G53" s="760"/>
      <c r="H53" s="760"/>
      <c r="I53" s="757"/>
      <c r="J53" s="760"/>
      <c r="K53" s="760"/>
      <c r="L53" s="760"/>
      <c r="M53" s="760"/>
      <c r="N53" s="760"/>
      <c r="O53" s="757"/>
      <c r="P53" s="760"/>
      <c r="Q53" s="760"/>
      <c r="R53" s="760"/>
      <c r="S53" s="760"/>
      <c r="T53" s="760"/>
      <c r="U53" s="798"/>
    </row>
    <row r="54" spans="3:29" ht="19.5" customHeight="1" x14ac:dyDescent="0.2">
      <c r="C54" s="396"/>
      <c r="D54" s="760"/>
      <c r="E54" s="760"/>
      <c r="F54" s="760"/>
      <c r="G54" s="760"/>
      <c r="H54" s="760"/>
      <c r="I54" s="760"/>
      <c r="J54" s="760"/>
      <c r="K54" s="760"/>
      <c r="L54" s="760"/>
      <c r="M54" s="760"/>
      <c r="N54" s="760"/>
      <c r="O54" s="760"/>
      <c r="P54" s="760"/>
      <c r="Q54" s="760"/>
      <c r="R54" s="760"/>
      <c r="S54" s="760"/>
      <c r="T54" s="760"/>
      <c r="U54" s="229"/>
      <c r="AB54" s="1035"/>
      <c r="AC54" s="1035"/>
    </row>
    <row r="55" spans="3:29" ht="19.5" customHeight="1" x14ac:dyDescent="0.2">
      <c r="C55" s="396"/>
      <c r="D55" s="760"/>
      <c r="E55" s="760"/>
      <c r="F55" s="760"/>
      <c r="G55" s="760"/>
      <c r="H55" s="760"/>
      <c r="J55" s="760"/>
      <c r="K55" s="760"/>
      <c r="L55" s="760"/>
      <c r="M55" s="760"/>
      <c r="N55" s="760"/>
      <c r="O55" s="760"/>
      <c r="P55" s="760"/>
      <c r="Q55" s="760"/>
      <c r="R55" s="760"/>
      <c r="S55" s="760"/>
      <c r="T55" s="760"/>
      <c r="U55" s="229"/>
      <c r="AB55" s="1035"/>
      <c r="AC55" s="1035"/>
    </row>
    <row r="56" spans="3:29" ht="19.5" customHeight="1" x14ac:dyDescent="0.2">
      <c r="C56" s="182"/>
      <c r="D56" s="183"/>
      <c r="E56" s="183"/>
      <c r="F56" s="183"/>
      <c r="G56" s="183"/>
      <c r="H56" s="183"/>
      <c r="I56" s="183"/>
      <c r="J56" s="183"/>
      <c r="K56" s="183"/>
      <c r="L56" s="183"/>
      <c r="M56" s="183"/>
      <c r="N56" s="183"/>
      <c r="O56" s="183"/>
      <c r="P56" s="183"/>
      <c r="Q56" s="183"/>
      <c r="R56" s="183"/>
      <c r="S56" s="183"/>
      <c r="T56" s="183"/>
    </row>
    <row r="57" spans="3:29" ht="19.5" customHeight="1" x14ac:dyDescent="0.2">
      <c r="C57" s="764"/>
      <c r="D57" s="179"/>
      <c r="E57" s="179"/>
      <c r="F57" s="179"/>
      <c r="G57" s="179"/>
      <c r="H57" s="179"/>
      <c r="I57" s="179"/>
      <c r="J57" s="179"/>
      <c r="K57" s="179"/>
      <c r="L57" s="179"/>
      <c r="M57" s="179"/>
      <c r="N57" s="179"/>
      <c r="O57" s="179"/>
      <c r="P57" s="179"/>
      <c r="Q57" s="179"/>
      <c r="R57" s="179"/>
      <c r="S57" s="179"/>
      <c r="T57" s="179"/>
    </row>
    <row r="58" spans="3:29" ht="19.5" customHeight="1" x14ac:dyDescent="0.2">
      <c r="C58" s="764"/>
      <c r="D58" s="184"/>
      <c r="E58" s="185"/>
      <c r="F58" s="185"/>
      <c r="G58" s="185"/>
      <c r="H58" s="185"/>
      <c r="I58" s="185"/>
      <c r="J58" s="184"/>
      <c r="K58" s="185"/>
      <c r="L58" s="185"/>
      <c r="M58" s="185"/>
      <c r="N58" s="185"/>
      <c r="O58" s="185"/>
      <c r="P58" s="184"/>
      <c r="Q58" s="185"/>
      <c r="R58" s="185"/>
      <c r="S58" s="185"/>
      <c r="T58" s="185"/>
    </row>
    <row r="59" spans="3:29" ht="19.5" customHeight="1" x14ac:dyDescent="0.2">
      <c r="D59" s="185"/>
      <c r="E59" s="185"/>
      <c r="F59" s="185"/>
      <c r="G59" s="185"/>
      <c r="H59" s="185"/>
      <c r="I59" s="185"/>
      <c r="J59" s="185"/>
      <c r="K59" s="185"/>
      <c r="L59" s="185"/>
      <c r="M59" s="185"/>
      <c r="N59" s="185"/>
      <c r="O59" s="185"/>
      <c r="P59" s="185"/>
      <c r="Q59" s="185"/>
      <c r="R59" s="185"/>
      <c r="S59" s="185"/>
      <c r="T59" s="185"/>
    </row>
    <row r="60" spans="3:29" ht="19.5" customHeight="1" x14ac:dyDescent="0.2">
      <c r="D60" s="185"/>
      <c r="E60" s="185"/>
      <c r="F60" s="185"/>
      <c r="G60" s="185"/>
      <c r="H60" s="185"/>
      <c r="I60" s="185"/>
      <c r="J60" s="185"/>
      <c r="K60" s="185"/>
      <c r="L60" s="185"/>
      <c r="M60" s="185"/>
      <c r="N60" s="185"/>
      <c r="O60" s="185"/>
      <c r="P60" s="185"/>
      <c r="Q60" s="185"/>
      <c r="R60" s="185"/>
      <c r="S60" s="185"/>
      <c r="T60" s="185"/>
    </row>
    <row r="61" spans="3:29" ht="19.5" customHeight="1" x14ac:dyDescent="0.2"/>
    <row r="62" spans="3:29" ht="19.5" customHeight="1" x14ac:dyDescent="0.2"/>
    <row r="63" spans="3:29" ht="19.5" customHeight="1" x14ac:dyDescent="0.2"/>
    <row r="64" spans="3:29" ht="19.5" customHeight="1" x14ac:dyDescent="0.2"/>
    <row r="65" ht="19.5" customHeight="1" x14ac:dyDescent="0.2"/>
    <row r="66" ht="19.5" customHeight="1" x14ac:dyDescent="0.2"/>
  </sheetData>
  <sheetProtection algorithmName="SHA-512" hashValue="csdTSETqTr+Kx1y+IqnJ74Si9BNA/pINrYYiM/qV/tw8NGvm0egHa9y//QjY+9judo+bL8dvpR3Hf66ZnYguzw==" saltValue="J5/4AjCt7tISuw0a+QEwRw==" spinCount="100000" sheet="1" objects="1" scenarios="1"/>
  <mergeCells count="19">
    <mergeCell ref="P7:T7"/>
    <mergeCell ref="B9:C9"/>
    <mergeCell ref="D20:F20"/>
    <mergeCell ref="B14:C14"/>
    <mergeCell ref="B15:C15"/>
    <mergeCell ref="B16:C16"/>
    <mergeCell ref="B11:C11"/>
    <mergeCell ref="B12:C12"/>
    <mergeCell ref="B2:C2"/>
    <mergeCell ref="D7:H7"/>
    <mergeCell ref="J7:N7"/>
    <mergeCell ref="B4:C4"/>
    <mergeCell ref="B5:C5"/>
    <mergeCell ref="AB54:AC54"/>
    <mergeCell ref="AB55:AC55"/>
    <mergeCell ref="G20:I20"/>
    <mergeCell ref="J20:L20"/>
    <mergeCell ref="M20:O20"/>
    <mergeCell ref="P20:R20"/>
  </mergeCells>
  <conditionalFormatting sqref="U18:U44">
    <cfRule type="cellIs" dxfId="1698" priority="28" stopIfTrue="1" operator="between">
      <formula>0.1</formula>
      <formula>1.9</formula>
    </cfRule>
    <cfRule type="cellIs" dxfId="1697" priority="29" stopIfTrue="1" operator="between">
      <formula>3</formula>
      <formula>3.9</formula>
    </cfRule>
    <cfRule type="cellIs" dxfId="1696" priority="30" stopIfTrue="1" operator="between">
      <formula>4</formula>
      <formula>5</formula>
    </cfRule>
  </conditionalFormatting>
  <conditionalFormatting sqref="U18:U44">
    <cfRule type="cellIs" dxfId="1695" priority="27" operator="between">
      <formula>2</formula>
      <formula>2.9</formula>
    </cfRule>
  </conditionalFormatting>
  <conditionalFormatting sqref="U12:U13">
    <cfRule type="cellIs" dxfId="1694" priority="24" stopIfTrue="1" operator="between">
      <formula>0.1</formula>
      <formula>1.9</formula>
    </cfRule>
    <cfRule type="cellIs" dxfId="1693" priority="25" stopIfTrue="1" operator="between">
      <formula>3</formula>
      <formula>3.9</formula>
    </cfRule>
    <cfRule type="cellIs" dxfId="1692" priority="26" stopIfTrue="1" operator="between">
      <formula>4</formula>
      <formula>5</formula>
    </cfRule>
  </conditionalFormatting>
  <conditionalFormatting sqref="U12:U13">
    <cfRule type="cellIs" dxfId="1691" priority="23" operator="between">
      <formula>2</formula>
      <formula>2.9</formula>
    </cfRule>
  </conditionalFormatting>
  <conditionalFormatting sqref="U11">
    <cfRule type="cellIs" dxfId="1690" priority="20" stopIfTrue="1" operator="between">
      <formula>0.1</formula>
      <formula>1.9</formula>
    </cfRule>
    <cfRule type="cellIs" dxfId="1689" priority="21" stopIfTrue="1" operator="between">
      <formula>3</formula>
      <formula>3.9</formula>
    </cfRule>
    <cfRule type="cellIs" dxfId="1688" priority="22" stopIfTrue="1" operator="between">
      <formula>4</formula>
      <formula>5</formula>
    </cfRule>
  </conditionalFormatting>
  <conditionalFormatting sqref="U11">
    <cfRule type="cellIs" dxfId="1687" priority="19" operator="between">
      <formula>2</formula>
      <formula>2.9</formula>
    </cfRule>
  </conditionalFormatting>
  <conditionalFormatting sqref="D11:H13">
    <cfRule type="cellIs" dxfId="1686" priority="13" operator="equal">
      <formula>""</formula>
    </cfRule>
    <cfRule type="cellIs" dxfId="1685" priority="14" operator="between">
      <formula>4</formula>
      <formula>5</formula>
    </cfRule>
    <cfRule type="cellIs" dxfId="1684" priority="15" operator="between">
      <formula>3</formula>
      <formula>4</formula>
    </cfRule>
    <cfRule type="cellIs" dxfId="1683" priority="16" operator="between">
      <formula>2</formula>
      <formula>3</formula>
    </cfRule>
    <cfRule type="cellIs" dxfId="1682" priority="17" operator="between">
      <formula>1</formula>
      <formula>2</formula>
    </cfRule>
    <cfRule type="cellIs" dxfId="1681" priority="18" operator="between">
      <formula>0</formula>
      <formula>1</formula>
    </cfRule>
  </conditionalFormatting>
  <conditionalFormatting sqref="J11:N13">
    <cfRule type="cellIs" dxfId="1680" priority="7" operator="equal">
      <formula>""</formula>
    </cfRule>
    <cfRule type="cellIs" dxfId="1679" priority="8" operator="between">
      <formula>4</formula>
      <formula>5</formula>
    </cfRule>
    <cfRule type="cellIs" dxfId="1678" priority="9" operator="between">
      <formula>3</formula>
      <formula>4</formula>
    </cfRule>
    <cfRule type="cellIs" dxfId="1677" priority="10" operator="between">
      <formula>2</formula>
      <formula>3</formula>
    </cfRule>
    <cfRule type="cellIs" dxfId="1676" priority="11" operator="between">
      <formula>1</formula>
      <formula>2</formula>
    </cfRule>
    <cfRule type="cellIs" dxfId="1675" priority="12" operator="between">
      <formula>0</formula>
      <formula>1</formula>
    </cfRule>
  </conditionalFormatting>
  <conditionalFormatting sqref="P11:T13">
    <cfRule type="cellIs" dxfId="1674" priority="1" operator="equal">
      <formula>""</formula>
    </cfRule>
    <cfRule type="cellIs" dxfId="1673" priority="2" operator="between">
      <formula>4</formula>
      <formula>5</formula>
    </cfRule>
    <cfRule type="cellIs" dxfId="1672" priority="3" operator="between">
      <formula>3</formula>
      <formula>4</formula>
    </cfRule>
    <cfRule type="cellIs" dxfId="1671" priority="4" operator="between">
      <formula>2</formula>
      <formula>3</formula>
    </cfRule>
    <cfRule type="cellIs" dxfId="1670" priority="5" operator="between">
      <formula>1</formula>
      <formula>2</formula>
    </cfRule>
    <cfRule type="cellIs" dxfId="1669" priority="6" operator="between">
      <formula>0</formula>
      <formula>1</formula>
    </cfRule>
  </conditionalFormatting>
  <pageMargins left="0.55118110236220474" right="0.27559055118110237" top="0.47244094488188981" bottom="0.43307086614173229" header="0.23622047244094491" footer="0.23622047244094491"/>
  <pageSetup paperSize="9" scale="75" orientation="portrait" horizontalDpi="4294967293" r:id="rId1"/>
  <headerFooter alignWithMargins="0">
    <oddHeader>&amp;C&amp;"Comic Sans MS,Standaard"&amp;16Opbrengstgericht Passend Onderwijs = OPO</oddHeader>
    <oddFooter>&amp;R© www.meesterharrie.nl</oddFooter>
  </headerFooter>
  <colBreaks count="1" manualBreakCount="1">
    <brk id="30"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676AF-0C4C-4D10-B5C6-A0313C0FDB80}">
  <sheetPr>
    <pageSetUpPr fitToPage="1"/>
  </sheetPr>
  <dimension ref="B1:X52"/>
  <sheetViews>
    <sheetView showGridLines="0" showRowColHeaders="0" zoomScale="80" zoomScaleNormal="80" workbookViewId="0">
      <selection activeCell="Z12" sqref="Z12"/>
    </sheetView>
  </sheetViews>
  <sheetFormatPr defaultColWidth="8.85546875" defaultRowHeight="12.75" x14ac:dyDescent="0.2"/>
  <cols>
    <col min="1" max="1" width="3.140625" style="187" customWidth="1"/>
    <col min="2" max="2" width="4" style="648" bestFit="1" customWidth="1"/>
    <col min="3" max="3" width="25.85546875" style="449" customWidth="1"/>
    <col min="4" max="7" width="5.5703125" style="187" customWidth="1"/>
    <col min="8" max="8" width="8.85546875" style="187" customWidth="1"/>
    <col min="9" max="11" width="8.85546875" style="187"/>
    <col min="12" max="12" width="4.140625" style="187" customWidth="1"/>
    <col min="13" max="13" width="3.140625" style="187" customWidth="1"/>
    <col min="14" max="14" width="4" style="648" bestFit="1" customWidth="1"/>
    <col min="15" max="15" width="25.85546875" style="449" customWidth="1"/>
    <col min="16" max="19" width="5.5703125" style="187" customWidth="1"/>
    <col min="20" max="23" width="8.85546875" style="187"/>
    <col min="24" max="24" width="4.140625" style="187" customWidth="1"/>
    <col min="25" max="16384" width="8.85546875" style="187"/>
  </cols>
  <sheetData>
    <row r="1" spans="2:24" ht="13.5" thickBot="1" x14ac:dyDescent="0.25">
      <c r="C1" s="1055" t="s">
        <v>300</v>
      </c>
      <c r="D1" s="1055"/>
      <c r="E1" s="1055"/>
      <c r="F1" s="1055"/>
      <c r="G1" s="1055"/>
      <c r="N1" s="1055" t="s">
        <v>162</v>
      </c>
      <c r="O1" s="1055"/>
      <c r="P1" s="1055"/>
      <c r="Q1" s="1055"/>
      <c r="R1" s="1055"/>
      <c r="S1" s="1055"/>
    </row>
    <row r="2" spans="2:24" ht="15" customHeight="1" thickTop="1" x14ac:dyDescent="0.2">
      <c r="B2" s="1067"/>
      <c r="C2" s="1068"/>
      <c r="D2" s="1069" t="s">
        <v>110</v>
      </c>
      <c r="E2" s="1069"/>
      <c r="F2" s="1069"/>
      <c r="G2" s="1070"/>
      <c r="H2" s="1056" t="str">
        <f>$D$3</f>
        <v>technisch lezen</v>
      </c>
      <c r="I2" s="1056"/>
      <c r="J2" s="1056"/>
      <c r="K2" s="1056"/>
      <c r="L2" s="1056"/>
      <c r="N2" s="1067"/>
      <c r="O2" s="1068"/>
      <c r="P2" s="1069" t="s">
        <v>110</v>
      </c>
      <c r="Q2" s="1069"/>
      <c r="R2" s="1069"/>
      <c r="S2" s="1070"/>
      <c r="T2" s="1056" t="str">
        <f>$D$3</f>
        <v>technisch lezen</v>
      </c>
      <c r="U2" s="1056"/>
      <c r="V2" s="1056"/>
      <c r="W2" s="1056"/>
      <c r="X2" s="1056"/>
    </row>
    <row r="3" spans="2:24" ht="15" customHeight="1" x14ac:dyDescent="0.2">
      <c r="B3" s="649"/>
      <c r="C3" s="650"/>
      <c r="D3" s="1064" t="s">
        <v>45</v>
      </c>
      <c r="E3" s="1064" t="s">
        <v>47</v>
      </c>
      <c r="F3" s="1064" t="s">
        <v>111</v>
      </c>
      <c r="G3" s="1057" t="s">
        <v>112</v>
      </c>
      <c r="N3" s="649"/>
      <c r="O3" s="650"/>
      <c r="P3" s="1064" t="s">
        <v>45</v>
      </c>
      <c r="Q3" s="1064" t="s">
        <v>47</v>
      </c>
      <c r="R3" s="1064" t="s">
        <v>111</v>
      </c>
      <c r="S3" s="1057" t="s">
        <v>112</v>
      </c>
    </row>
    <row r="4" spans="2:24" ht="15" customHeight="1" x14ac:dyDescent="0.2">
      <c r="B4" s="649" t="s">
        <v>113</v>
      </c>
      <c r="C4" s="651" t="s">
        <v>114</v>
      </c>
      <c r="D4" s="1065"/>
      <c r="E4" s="1065"/>
      <c r="F4" s="1065"/>
      <c r="G4" s="1058"/>
      <c r="N4" s="649" t="s">
        <v>113</v>
      </c>
      <c r="O4" s="651" t="s">
        <v>114</v>
      </c>
      <c r="P4" s="1065"/>
      <c r="Q4" s="1065"/>
      <c r="R4" s="1065"/>
      <c r="S4" s="1058"/>
    </row>
    <row r="5" spans="2:24" ht="15" customHeight="1" x14ac:dyDescent="0.2">
      <c r="B5" s="649" t="s">
        <v>115</v>
      </c>
      <c r="C5" s="652" t="s">
        <v>116</v>
      </c>
      <c r="D5" s="1065"/>
      <c r="E5" s="1065"/>
      <c r="F5" s="1065"/>
      <c r="G5" s="1058"/>
      <c r="N5" s="649" t="s">
        <v>115</v>
      </c>
      <c r="O5" s="652" t="s">
        <v>116</v>
      </c>
      <c r="P5" s="1065"/>
      <c r="Q5" s="1065"/>
      <c r="R5" s="1065"/>
      <c r="S5" s="1058"/>
    </row>
    <row r="6" spans="2:24" ht="15" customHeight="1" x14ac:dyDescent="0.2">
      <c r="B6" s="649" t="s">
        <v>117</v>
      </c>
      <c r="C6" s="653" t="s">
        <v>118</v>
      </c>
      <c r="D6" s="1065"/>
      <c r="E6" s="1065"/>
      <c r="F6" s="1065"/>
      <c r="G6" s="1058"/>
      <c r="N6" s="649" t="s">
        <v>117</v>
      </c>
      <c r="O6" s="653" t="s">
        <v>118</v>
      </c>
      <c r="P6" s="1065"/>
      <c r="Q6" s="1065"/>
      <c r="R6" s="1065"/>
      <c r="S6" s="1058"/>
    </row>
    <row r="7" spans="2:24" ht="15" customHeight="1" x14ac:dyDescent="0.2">
      <c r="B7" s="649" t="s">
        <v>119</v>
      </c>
      <c r="C7" s="654" t="s">
        <v>120</v>
      </c>
      <c r="D7" s="1065"/>
      <c r="E7" s="1065"/>
      <c r="F7" s="1065"/>
      <c r="G7" s="1058"/>
      <c r="N7" s="649" t="s">
        <v>119</v>
      </c>
      <c r="O7" s="654" t="s">
        <v>120</v>
      </c>
      <c r="P7" s="1065"/>
      <c r="Q7" s="1065"/>
      <c r="R7" s="1065"/>
      <c r="S7" s="1058"/>
    </row>
    <row r="8" spans="2:24" ht="15" customHeight="1" x14ac:dyDescent="0.2">
      <c r="B8" s="649"/>
      <c r="C8" s="650"/>
      <c r="D8" s="1066"/>
      <c r="E8" s="1066"/>
      <c r="F8" s="1066"/>
      <c r="G8" s="1059"/>
      <c r="N8" s="649"/>
      <c r="O8" s="650"/>
      <c r="P8" s="1066"/>
      <c r="Q8" s="1066"/>
      <c r="R8" s="1066"/>
      <c r="S8" s="1059"/>
    </row>
    <row r="9" spans="2:24" ht="15" customHeight="1" x14ac:dyDescent="0.2">
      <c r="B9" s="1060" t="s">
        <v>44</v>
      </c>
      <c r="C9" s="1061"/>
      <c r="D9" s="1062"/>
      <c r="E9" s="1062"/>
      <c r="F9" s="1062"/>
      <c r="G9" s="1063"/>
      <c r="N9" s="1060" t="s">
        <v>44</v>
      </c>
      <c r="O9" s="1061"/>
      <c r="P9" s="1062"/>
      <c r="Q9" s="1062"/>
      <c r="R9" s="1062"/>
      <c r="S9" s="1063"/>
    </row>
    <row r="10" spans="2:24" ht="15" customHeight="1" x14ac:dyDescent="0.2">
      <c r="B10" s="655"/>
      <c r="C10" s="656"/>
      <c r="D10" s="657"/>
      <c r="E10" s="657"/>
      <c r="F10" s="657"/>
      <c r="G10" s="658"/>
      <c r="N10" s="655"/>
      <c r="O10" s="656"/>
      <c r="P10" s="657"/>
      <c r="Q10" s="657"/>
      <c r="R10" s="657"/>
      <c r="S10" s="658"/>
    </row>
    <row r="11" spans="2:24" ht="15" customHeight="1" x14ac:dyDescent="0.2">
      <c r="B11" s="659">
        <v>1</v>
      </c>
      <c r="C11" s="660" t="str">
        <f>BEGINBLAD!C4</f>
        <v>leelring 1</v>
      </c>
      <c r="D11" s="661">
        <v>1</v>
      </c>
      <c r="E11" s="661">
        <v>2</v>
      </c>
      <c r="F11" s="661">
        <v>2</v>
      </c>
      <c r="G11" s="662">
        <v>2</v>
      </c>
      <c r="N11" s="659">
        <v>1</v>
      </c>
      <c r="O11" s="660" t="str">
        <f>BEGINBLAD!C4</f>
        <v>leelring 1</v>
      </c>
      <c r="P11" s="661">
        <v>2</v>
      </c>
      <c r="Q11" s="661">
        <v>2</v>
      </c>
      <c r="R11" s="661">
        <v>2</v>
      </c>
      <c r="S11" s="662">
        <v>2</v>
      </c>
    </row>
    <row r="12" spans="2:24" ht="15" customHeight="1" x14ac:dyDescent="0.2">
      <c r="B12" s="659">
        <v>2</v>
      </c>
      <c r="C12" s="660" t="str">
        <f>BEGINBLAD!C5</f>
        <v>leerling 2</v>
      </c>
      <c r="D12" s="661">
        <v>1</v>
      </c>
      <c r="E12" s="661">
        <v>2</v>
      </c>
      <c r="F12" s="661">
        <v>2</v>
      </c>
      <c r="G12" s="662">
        <v>1</v>
      </c>
      <c r="N12" s="659">
        <v>2</v>
      </c>
      <c r="O12" s="660" t="str">
        <f>BEGINBLAD!C5</f>
        <v>leerling 2</v>
      </c>
      <c r="P12" s="661">
        <v>2</v>
      </c>
      <c r="Q12" s="661">
        <v>2</v>
      </c>
      <c r="R12" s="661">
        <v>2</v>
      </c>
      <c r="S12" s="662">
        <v>1</v>
      </c>
    </row>
    <row r="13" spans="2:24" ht="15" customHeight="1" x14ac:dyDescent="0.2">
      <c r="B13" s="659">
        <v>3</v>
      </c>
      <c r="C13" s="660" t="str">
        <f>BEGINBLAD!C6</f>
        <v>leerling 3</v>
      </c>
      <c r="D13" s="661">
        <v>2</v>
      </c>
      <c r="E13" s="661">
        <v>2</v>
      </c>
      <c r="F13" s="661">
        <v>2</v>
      </c>
      <c r="G13" s="662">
        <v>2</v>
      </c>
      <c r="H13" s="1056" t="str">
        <f>$E$3</f>
        <v>begrijpend lezen</v>
      </c>
      <c r="I13" s="1056"/>
      <c r="J13" s="1056"/>
      <c r="K13" s="1056"/>
      <c r="L13" s="1056"/>
      <c r="N13" s="659">
        <v>3</v>
      </c>
      <c r="O13" s="660" t="str">
        <f>BEGINBLAD!C6</f>
        <v>leerling 3</v>
      </c>
      <c r="P13" s="661">
        <v>2</v>
      </c>
      <c r="Q13" s="661">
        <v>2</v>
      </c>
      <c r="R13" s="661">
        <v>2</v>
      </c>
      <c r="S13" s="662">
        <v>2</v>
      </c>
      <c r="T13" s="1056" t="str">
        <f>$E$3</f>
        <v>begrijpend lezen</v>
      </c>
      <c r="U13" s="1056"/>
      <c r="V13" s="1056"/>
      <c r="W13" s="1056"/>
      <c r="X13" s="1056"/>
    </row>
    <row r="14" spans="2:24" ht="15" customHeight="1" x14ac:dyDescent="0.2">
      <c r="B14" s="659">
        <v>4</v>
      </c>
      <c r="C14" s="660" t="str">
        <f>BEGINBLAD!C7</f>
        <v>leerling 4</v>
      </c>
      <c r="D14" s="661">
        <v>1</v>
      </c>
      <c r="E14" s="661">
        <v>3</v>
      </c>
      <c r="F14" s="661">
        <v>1</v>
      </c>
      <c r="G14" s="662">
        <v>2</v>
      </c>
      <c r="N14" s="659">
        <v>4</v>
      </c>
      <c r="O14" s="660" t="str">
        <f>BEGINBLAD!C7</f>
        <v>leerling 4</v>
      </c>
      <c r="P14" s="661">
        <v>2</v>
      </c>
      <c r="Q14" s="661">
        <v>3</v>
      </c>
      <c r="R14" s="661">
        <v>1</v>
      </c>
      <c r="S14" s="662">
        <v>2</v>
      </c>
    </row>
    <row r="15" spans="2:24" ht="15" customHeight="1" x14ac:dyDescent="0.2">
      <c r="B15" s="659">
        <v>5</v>
      </c>
      <c r="C15" s="660" t="str">
        <f>BEGINBLAD!C8</f>
        <v>leerling 5</v>
      </c>
      <c r="D15" s="661">
        <v>2</v>
      </c>
      <c r="E15" s="661">
        <v>2</v>
      </c>
      <c r="F15" s="661">
        <v>2</v>
      </c>
      <c r="G15" s="662">
        <v>2</v>
      </c>
      <c r="N15" s="659">
        <v>5</v>
      </c>
      <c r="O15" s="660" t="str">
        <f>BEGINBLAD!C8</f>
        <v>leerling 5</v>
      </c>
      <c r="P15" s="661">
        <v>2</v>
      </c>
      <c r="Q15" s="661">
        <v>2</v>
      </c>
      <c r="R15" s="661">
        <v>2</v>
      </c>
      <c r="S15" s="662">
        <v>2</v>
      </c>
    </row>
    <row r="16" spans="2:24" ht="15" customHeight="1" x14ac:dyDescent="0.2">
      <c r="B16" s="659">
        <v>6</v>
      </c>
      <c r="C16" s="660" t="str">
        <f>BEGINBLAD!C9</f>
        <v>leerling 6</v>
      </c>
      <c r="D16" s="661">
        <v>2</v>
      </c>
      <c r="E16" s="661">
        <v>2</v>
      </c>
      <c r="F16" s="661">
        <v>4</v>
      </c>
      <c r="G16" s="662">
        <v>2</v>
      </c>
      <c r="N16" s="659">
        <v>6</v>
      </c>
      <c r="O16" s="660" t="str">
        <f>BEGINBLAD!C9</f>
        <v>leerling 6</v>
      </c>
      <c r="P16" s="661">
        <v>2</v>
      </c>
      <c r="Q16" s="661">
        <v>2</v>
      </c>
      <c r="R16" s="661">
        <v>4</v>
      </c>
      <c r="S16" s="662">
        <v>2</v>
      </c>
    </row>
    <row r="17" spans="2:24" ht="15" customHeight="1" x14ac:dyDescent="0.2">
      <c r="B17" s="659">
        <v>7</v>
      </c>
      <c r="C17" s="660" t="str">
        <f>BEGINBLAD!C10</f>
        <v>leerling 7</v>
      </c>
      <c r="D17" s="661">
        <v>2</v>
      </c>
      <c r="E17" s="661">
        <v>2</v>
      </c>
      <c r="F17" s="661">
        <v>2</v>
      </c>
      <c r="G17" s="662">
        <v>2</v>
      </c>
      <c r="N17" s="659">
        <v>7</v>
      </c>
      <c r="O17" s="660" t="str">
        <f>BEGINBLAD!C10</f>
        <v>leerling 7</v>
      </c>
      <c r="P17" s="661">
        <v>2</v>
      </c>
      <c r="Q17" s="661">
        <v>2</v>
      </c>
      <c r="R17" s="661">
        <v>2</v>
      </c>
      <c r="S17" s="662">
        <v>2</v>
      </c>
    </row>
    <row r="18" spans="2:24" ht="15" customHeight="1" x14ac:dyDescent="0.2">
      <c r="B18" s="659">
        <v>8</v>
      </c>
      <c r="C18" s="660" t="str">
        <f>BEGINBLAD!C11</f>
        <v>leerling 8</v>
      </c>
      <c r="D18" s="661">
        <v>1</v>
      </c>
      <c r="E18" s="661">
        <v>4</v>
      </c>
      <c r="F18" s="661">
        <v>4</v>
      </c>
      <c r="G18" s="662">
        <v>2</v>
      </c>
      <c r="N18" s="659">
        <v>8</v>
      </c>
      <c r="O18" s="660" t="str">
        <f>BEGINBLAD!C11</f>
        <v>leerling 8</v>
      </c>
      <c r="P18" s="661">
        <v>1</v>
      </c>
      <c r="Q18" s="661">
        <v>4</v>
      </c>
      <c r="R18" s="661">
        <v>4</v>
      </c>
      <c r="S18" s="662">
        <v>2</v>
      </c>
    </row>
    <row r="19" spans="2:24" ht="15" customHeight="1" x14ac:dyDescent="0.2">
      <c r="B19" s="659">
        <v>9</v>
      </c>
      <c r="C19" s="660" t="str">
        <f>BEGINBLAD!C12</f>
        <v>leerling 9</v>
      </c>
      <c r="D19" s="661">
        <v>4</v>
      </c>
      <c r="E19" s="661">
        <v>2</v>
      </c>
      <c r="F19" s="661">
        <v>2</v>
      </c>
      <c r="G19" s="662">
        <v>2</v>
      </c>
      <c r="N19" s="659">
        <v>9</v>
      </c>
      <c r="O19" s="660" t="str">
        <f>BEGINBLAD!C12</f>
        <v>leerling 9</v>
      </c>
      <c r="P19" s="661">
        <v>2</v>
      </c>
      <c r="Q19" s="661">
        <v>2</v>
      </c>
      <c r="R19" s="661">
        <v>2</v>
      </c>
      <c r="S19" s="662">
        <v>2</v>
      </c>
    </row>
    <row r="20" spans="2:24" ht="15" customHeight="1" x14ac:dyDescent="0.2">
      <c r="B20" s="659">
        <v>10</v>
      </c>
      <c r="C20" s="660" t="str">
        <f>BEGINBLAD!C13</f>
        <v>leerling 10</v>
      </c>
      <c r="D20" s="661">
        <v>1</v>
      </c>
      <c r="E20" s="661">
        <v>4</v>
      </c>
      <c r="F20" s="661">
        <v>2</v>
      </c>
      <c r="G20" s="662">
        <v>2</v>
      </c>
      <c r="N20" s="659">
        <v>10</v>
      </c>
      <c r="O20" s="660" t="str">
        <f>BEGINBLAD!C13</f>
        <v>leerling 10</v>
      </c>
      <c r="P20" s="661">
        <v>1</v>
      </c>
      <c r="Q20" s="661">
        <v>4</v>
      </c>
      <c r="R20" s="661">
        <v>2</v>
      </c>
      <c r="S20" s="662">
        <v>2</v>
      </c>
    </row>
    <row r="21" spans="2:24" ht="15" customHeight="1" x14ac:dyDescent="0.2">
      <c r="B21" s="659">
        <v>11</v>
      </c>
      <c r="C21" s="660" t="str">
        <f>BEGINBLAD!C14</f>
        <v>leerling 11</v>
      </c>
      <c r="D21" s="661">
        <v>2</v>
      </c>
      <c r="E21" s="661">
        <v>3</v>
      </c>
      <c r="F21" s="661">
        <v>2</v>
      </c>
      <c r="G21" s="662">
        <v>1</v>
      </c>
      <c r="N21" s="659">
        <v>11</v>
      </c>
      <c r="O21" s="660" t="str">
        <f>BEGINBLAD!C14</f>
        <v>leerling 11</v>
      </c>
      <c r="P21" s="661">
        <v>2</v>
      </c>
      <c r="Q21" s="661">
        <v>3</v>
      </c>
      <c r="R21" s="661">
        <v>2</v>
      </c>
      <c r="S21" s="662">
        <v>1</v>
      </c>
    </row>
    <row r="22" spans="2:24" ht="15" customHeight="1" x14ac:dyDescent="0.2">
      <c r="B22" s="659">
        <v>12</v>
      </c>
      <c r="C22" s="660" t="str">
        <f>BEGINBLAD!C15</f>
        <v>leerling 12</v>
      </c>
      <c r="D22" s="661">
        <v>2</v>
      </c>
      <c r="E22" s="661">
        <v>4</v>
      </c>
      <c r="F22" s="661">
        <v>2</v>
      </c>
      <c r="G22" s="662">
        <v>1</v>
      </c>
      <c r="N22" s="659">
        <v>12</v>
      </c>
      <c r="O22" s="660" t="str">
        <f>BEGINBLAD!C15</f>
        <v>leerling 12</v>
      </c>
      <c r="P22" s="661">
        <v>2</v>
      </c>
      <c r="Q22" s="661">
        <v>4</v>
      </c>
      <c r="R22" s="661">
        <v>2</v>
      </c>
      <c r="S22" s="662">
        <v>1</v>
      </c>
    </row>
    <row r="23" spans="2:24" ht="15" customHeight="1" x14ac:dyDescent="0.2">
      <c r="B23" s="659">
        <v>13</v>
      </c>
      <c r="C23" s="660" t="str">
        <f>BEGINBLAD!C16</f>
        <v>leerling 13</v>
      </c>
      <c r="D23" s="661">
        <v>1</v>
      </c>
      <c r="E23" s="661">
        <v>4</v>
      </c>
      <c r="F23" s="661">
        <v>2</v>
      </c>
      <c r="G23" s="662">
        <v>2</v>
      </c>
      <c r="N23" s="659">
        <v>13</v>
      </c>
      <c r="O23" s="660" t="str">
        <f>BEGINBLAD!C16</f>
        <v>leerling 13</v>
      </c>
      <c r="P23" s="661">
        <v>1</v>
      </c>
      <c r="Q23" s="661">
        <v>4</v>
      </c>
      <c r="R23" s="661">
        <v>2</v>
      </c>
      <c r="S23" s="662">
        <v>2</v>
      </c>
    </row>
    <row r="24" spans="2:24" ht="15" customHeight="1" x14ac:dyDescent="0.2">
      <c r="B24" s="659">
        <v>14</v>
      </c>
      <c r="C24" s="660" t="str">
        <f>BEGINBLAD!C17</f>
        <v>leerling 14</v>
      </c>
      <c r="D24" s="661">
        <v>1</v>
      </c>
      <c r="E24" s="661">
        <v>2</v>
      </c>
      <c r="F24" s="661">
        <v>2</v>
      </c>
      <c r="G24" s="662">
        <v>2</v>
      </c>
      <c r="H24" s="1056" t="str">
        <f>$F$3</f>
        <v>spellen</v>
      </c>
      <c r="I24" s="1056"/>
      <c r="J24" s="1056"/>
      <c r="K24" s="1056"/>
      <c r="L24" s="1056"/>
      <c r="N24" s="659">
        <v>14</v>
      </c>
      <c r="O24" s="660" t="str">
        <f>BEGINBLAD!C17</f>
        <v>leerling 14</v>
      </c>
      <c r="P24" s="661">
        <v>1</v>
      </c>
      <c r="Q24" s="661">
        <v>2</v>
      </c>
      <c r="R24" s="661">
        <v>2</v>
      </c>
      <c r="S24" s="662">
        <v>2</v>
      </c>
      <c r="T24" s="1056" t="str">
        <f>$F$3</f>
        <v>spellen</v>
      </c>
      <c r="U24" s="1056"/>
      <c r="V24" s="1056"/>
      <c r="W24" s="1056"/>
      <c r="X24" s="1056"/>
    </row>
    <row r="25" spans="2:24" ht="15" customHeight="1" x14ac:dyDescent="0.2">
      <c r="B25" s="659">
        <v>15</v>
      </c>
      <c r="C25" s="660" t="str">
        <f>BEGINBLAD!C18</f>
        <v>leerling 15</v>
      </c>
      <c r="D25" s="661">
        <v>1</v>
      </c>
      <c r="E25" s="661">
        <v>2</v>
      </c>
      <c r="F25" s="661">
        <v>2</v>
      </c>
      <c r="G25" s="662">
        <v>2</v>
      </c>
      <c r="N25" s="659">
        <v>15</v>
      </c>
      <c r="O25" s="660" t="str">
        <f>BEGINBLAD!C18</f>
        <v>leerling 15</v>
      </c>
      <c r="P25" s="661">
        <v>1</v>
      </c>
      <c r="Q25" s="661">
        <v>2</v>
      </c>
      <c r="R25" s="661">
        <v>2</v>
      </c>
      <c r="S25" s="662">
        <v>2</v>
      </c>
    </row>
    <row r="26" spans="2:24" ht="15" customHeight="1" x14ac:dyDescent="0.2">
      <c r="B26" s="659">
        <v>16</v>
      </c>
      <c r="C26" s="660" t="str">
        <f>BEGINBLAD!C19</f>
        <v>leerling 16</v>
      </c>
      <c r="D26" s="661">
        <v>1</v>
      </c>
      <c r="E26" s="661">
        <v>4</v>
      </c>
      <c r="F26" s="661">
        <v>2</v>
      </c>
      <c r="G26" s="662">
        <v>2</v>
      </c>
      <c r="N26" s="659">
        <v>16</v>
      </c>
      <c r="O26" s="660" t="str">
        <f>BEGINBLAD!C19</f>
        <v>leerling 16</v>
      </c>
      <c r="P26" s="661">
        <v>1</v>
      </c>
      <c r="Q26" s="661">
        <v>4</v>
      </c>
      <c r="R26" s="661">
        <v>2</v>
      </c>
      <c r="S26" s="662">
        <v>2</v>
      </c>
    </row>
    <row r="27" spans="2:24" ht="15" customHeight="1" x14ac:dyDescent="0.2">
      <c r="B27" s="659">
        <v>17</v>
      </c>
      <c r="C27" s="660" t="str">
        <f>BEGINBLAD!C20</f>
        <v>leerling 17</v>
      </c>
      <c r="D27" s="661">
        <v>2</v>
      </c>
      <c r="E27" s="661">
        <v>4</v>
      </c>
      <c r="F27" s="661">
        <v>4</v>
      </c>
      <c r="G27" s="662">
        <v>1</v>
      </c>
      <c r="N27" s="659">
        <v>17</v>
      </c>
      <c r="O27" s="660" t="str">
        <f>BEGINBLAD!C20</f>
        <v>leerling 17</v>
      </c>
      <c r="P27" s="661">
        <v>2</v>
      </c>
      <c r="Q27" s="661">
        <v>4</v>
      </c>
      <c r="R27" s="661">
        <v>4</v>
      </c>
      <c r="S27" s="662">
        <v>1</v>
      </c>
    </row>
    <row r="28" spans="2:24" ht="15" customHeight="1" x14ac:dyDescent="0.2">
      <c r="B28" s="659">
        <v>18</v>
      </c>
      <c r="C28" s="660" t="str">
        <f>BEGINBLAD!C21</f>
        <v>leerling 18</v>
      </c>
      <c r="D28" s="661"/>
      <c r="E28" s="661"/>
      <c r="F28" s="661"/>
      <c r="G28" s="662"/>
      <c r="N28" s="659">
        <v>18</v>
      </c>
      <c r="O28" s="660" t="str">
        <f>BEGINBLAD!C21</f>
        <v>leerling 18</v>
      </c>
      <c r="P28" s="661"/>
      <c r="Q28" s="661"/>
      <c r="R28" s="661"/>
      <c r="S28" s="662"/>
    </row>
    <row r="29" spans="2:24" ht="15" customHeight="1" x14ac:dyDescent="0.2">
      <c r="B29" s="659">
        <v>19</v>
      </c>
      <c r="C29" s="660" t="str">
        <f>BEGINBLAD!C22</f>
        <v>leerling 19</v>
      </c>
      <c r="D29" s="661"/>
      <c r="E29" s="661"/>
      <c r="F29" s="661"/>
      <c r="G29" s="662"/>
      <c r="N29" s="659">
        <v>19</v>
      </c>
      <c r="O29" s="660" t="str">
        <f>BEGINBLAD!C22</f>
        <v>leerling 19</v>
      </c>
      <c r="P29" s="661"/>
      <c r="Q29" s="661"/>
      <c r="R29" s="661"/>
      <c r="S29" s="662"/>
    </row>
    <row r="30" spans="2:24" ht="15" customHeight="1" x14ac:dyDescent="0.2">
      <c r="B30" s="659">
        <v>20</v>
      </c>
      <c r="C30" s="660" t="str">
        <f>BEGINBLAD!C23</f>
        <v>leerling 20</v>
      </c>
      <c r="D30" s="661"/>
      <c r="E30" s="661"/>
      <c r="F30" s="661"/>
      <c r="G30" s="662"/>
      <c r="N30" s="659">
        <v>20</v>
      </c>
      <c r="O30" s="660" t="str">
        <f>BEGINBLAD!C23</f>
        <v>leerling 20</v>
      </c>
      <c r="P30" s="661"/>
      <c r="Q30" s="661"/>
      <c r="R30" s="661"/>
      <c r="S30" s="662"/>
    </row>
    <row r="31" spans="2:24" ht="15" customHeight="1" x14ac:dyDescent="0.2">
      <c r="B31" s="659">
        <v>21</v>
      </c>
      <c r="C31" s="660" t="str">
        <f>BEGINBLAD!C24</f>
        <v>leerling 21</v>
      </c>
      <c r="D31" s="661"/>
      <c r="E31" s="661"/>
      <c r="F31" s="661"/>
      <c r="G31" s="662"/>
      <c r="N31" s="659">
        <v>21</v>
      </c>
      <c r="O31" s="660" t="str">
        <f>BEGINBLAD!C24</f>
        <v>leerling 21</v>
      </c>
      <c r="P31" s="661"/>
      <c r="Q31" s="661"/>
      <c r="R31" s="661"/>
      <c r="S31" s="662"/>
    </row>
    <row r="32" spans="2:24" ht="15" customHeight="1" x14ac:dyDescent="0.2">
      <c r="B32" s="659">
        <v>22</v>
      </c>
      <c r="C32" s="660" t="str">
        <f>BEGINBLAD!C25</f>
        <v>leerling 22</v>
      </c>
      <c r="D32" s="661"/>
      <c r="E32" s="661"/>
      <c r="F32" s="661"/>
      <c r="G32" s="662"/>
      <c r="N32" s="659">
        <v>22</v>
      </c>
      <c r="O32" s="660" t="str">
        <f>BEGINBLAD!C25</f>
        <v>leerling 22</v>
      </c>
      <c r="P32" s="661"/>
      <c r="Q32" s="661"/>
      <c r="R32" s="661"/>
      <c r="S32" s="662"/>
    </row>
    <row r="33" spans="2:24" ht="15" customHeight="1" x14ac:dyDescent="0.2">
      <c r="B33" s="659">
        <v>23</v>
      </c>
      <c r="C33" s="660" t="str">
        <f>BEGINBLAD!C26</f>
        <v>leerling 23</v>
      </c>
      <c r="D33" s="661"/>
      <c r="E33" s="661"/>
      <c r="F33" s="661"/>
      <c r="G33" s="662"/>
      <c r="N33" s="659">
        <v>23</v>
      </c>
      <c r="O33" s="660" t="str">
        <f>BEGINBLAD!C26</f>
        <v>leerling 23</v>
      </c>
      <c r="P33" s="661"/>
      <c r="Q33" s="661"/>
      <c r="R33" s="661"/>
      <c r="S33" s="662"/>
    </row>
    <row r="34" spans="2:24" ht="15" customHeight="1" x14ac:dyDescent="0.2">
      <c r="B34" s="659">
        <v>24</v>
      </c>
      <c r="C34" s="660" t="str">
        <f>BEGINBLAD!C27</f>
        <v>leerling 24</v>
      </c>
      <c r="D34" s="661"/>
      <c r="E34" s="661"/>
      <c r="F34" s="661"/>
      <c r="G34" s="662"/>
      <c r="N34" s="659">
        <v>24</v>
      </c>
      <c r="O34" s="660" t="str">
        <f>BEGINBLAD!C27</f>
        <v>leerling 24</v>
      </c>
      <c r="P34" s="661"/>
      <c r="Q34" s="661"/>
      <c r="R34" s="661"/>
      <c r="S34" s="662"/>
    </row>
    <row r="35" spans="2:24" ht="15" customHeight="1" x14ac:dyDescent="0.2">
      <c r="B35" s="659">
        <v>25</v>
      </c>
      <c r="C35" s="660" t="str">
        <f>BEGINBLAD!C28</f>
        <v>leerling 25</v>
      </c>
      <c r="D35" s="661"/>
      <c r="E35" s="661"/>
      <c r="F35" s="661"/>
      <c r="G35" s="662"/>
      <c r="H35" s="1056" t="str">
        <f>$G$3</f>
        <v>rekenen</v>
      </c>
      <c r="I35" s="1056"/>
      <c r="J35" s="1056"/>
      <c r="K35" s="1056"/>
      <c r="L35" s="1056"/>
      <c r="N35" s="659">
        <v>25</v>
      </c>
      <c r="O35" s="660" t="str">
        <f>BEGINBLAD!C28</f>
        <v>leerling 25</v>
      </c>
      <c r="P35" s="661"/>
      <c r="Q35" s="661"/>
      <c r="R35" s="661"/>
      <c r="S35" s="662"/>
      <c r="T35" s="1056" t="str">
        <f>$G$3</f>
        <v>rekenen</v>
      </c>
      <c r="U35" s="1056"/>
      <c r="V35" s="1056"/>
      <c r="W35" s="1056"/>
      <c r="X35" s="1056"/>
    </row>
    <row r="36" spans="2:24" ht="15" customHeight="1" x14ac:dyDescent="0.2">
      <c r="B36" s="659">
        <v>26</v>
      </c>
      <c r="C36" s="660" t="str">
        <f>BEGINBLAD!C29</f>
        <v>leerling 26</v>
      </c>
      <c r="D36" s="661"/>
      <c r="E36" s="661"/>
      <c r="F36" s="661"/>
      <c r="G36" s="662"/>
      <c r="N36" s="659">
        <v>26</v>
      </c>
      <c r="O36" s="660" t="str">
        <f>BEGINBLAD!C29</f>
        <v>leerling 26</v>
      </c>
      <c r="P36" s="661"/>
      <c r="Q36" s="661"/>
      <c r="R36" s="661"/>
      <c r="S36" s="662"/>
    </row>
    <row r="37" spans="2:24" ht="15" customHeight="1" x14ac:dyDescent="0.2">
      <c r="B37" s="659">
        <v>27</v>
      </c>
      <c r="C37" s="660">
        <f>BEGINBLAD!C30</f>
        <v>0</v>
      </c>
      <c r="D37" s="661"/>
      <c r="E37" s="661"/>
      <c r="F37" s="661"/>
      <c r="G37" s="662"/>
      <c r="N37" s="659">
        <v>27</v>
      </c>
      <c r="O37" s="660">
        <f>BEGINBLAD!C30</f>
        <v>0</v>
      </c>
      <c r="P37" s="661"/>
      <c r="Q37" s="661"/>
      <c r="R37" s="661"/>
      <c r="S37" s="662"/>
    </row>
    <row r="38" spans="2:24" ht="15" customHeight="1" x14ac:dyDescent="0.2">
      <c r="B38" s="659">
        <v>28</v>
      </c>
      <c r="C38" s="660">
        <f>BEGINBLAD!C31</f>
        <v>0</v>
      </c>
      <c r="D38" s="661"/>
      <c r="E38" s="661"/>
      <c r="F38" s="661"/>
      <c r="G38" s="662"/>
      <c r="N38" s="659">
        <v>28</v>
      </c>
      <c r="O38" s="660">
        <f>BEGINBLAD!C31</f>
        <v>0</v>
      </c>
      <c r="P38" s="661"/>
      <c r="Q38" s="661"/>
      <c r="R38" s="661"/>
      <c r="S38" s="662"/>
    </row>
    <row r="39" spans="2:24" ht="15" customHeight="1" x14ac:dyDescent="0.2">
      <c r="B39" s="659">
        <v>29</v>
      </c>
      <c r="C39" s="660">
        <f>BEGINBLAD!C32</f>
        <v>0</v>
      </c>
      <c r="D39" s="661"/>
      <c r="E39" s="661"/>
      <c r="F39" s="661"/>
      <c r="G39" s="662"/>
      <c r="N39" s="659">
        <v>29</v>
      </c>
      <c r="O39" s="660">
        <f>BEGINBLAD!C32</f>
        <v>0</v>
      </c>
      <c r="P39" s="661"/>
      <c r="Q39" s="661"/>
      <c r="R39" s="661"/>
      <c r="S39" s="662"/>
    </row>
    <row r="40" spans="2:24" ht="15" customHeight="1" x14ac:dyDescent="0.2">
      <c r="B40" s="659">
        <v>30</v>
      </c>
      <c r="C40" s="660">
        <f>BEGINBLAD!C33</f>
        <v>0</v>
      </c>
      <c r="D40" s="661"/>
      <c r="E40" s="661"/>
      <c r="F40" s="661"/>
      <c r="G40" s="662"/>
      <c r="N40" s="659">
        <v>30</v>
      </c>
      <c r="O40" s="660">
        <f>BEGINBLAD!C33</f>
        <v>0</v>
      </c>
      <c r="P40" s="661"/>
      <c r="Q40" s="661"/>
      <c r="R40" s="661"/>
      <c r="S40" s="662"/>
    </row>
    <row r="41" spans="2:24" ht="15" customHeight="1" x14ac:dyDescent="0.2">
      <c r="B41" s="659">
        <v>31</v>
      </c>
      <c r="C41" s="660">
        <f>BEGINBLAD!C34</f>
        <v>0</v>
      </c>
      <c r="D41" s="661"/>
      <c r="E41" s="661"/>
      <c r="F41" s="661"/>
      <c r="G41" s="662"/>
      <c r="N41" s="659">
        <v>31</v>
      </c>
      <c r="O41" s="660">
        <f>BEGINBLAD!C34</f>
        <v>0</v>
      </c>
      <c r="P41" s="661"/>
      <c r="Q41" s="661"/>
      <c r="R41" s="661"/>
      <c r="S41" s="662"/>
    </row>
    <row r="42" spans="2:24" ht="15" customHeight="1" x14ac:dyDescent="0.2">
      <c r="B42" s="659">
        <v>32</v>
      </c>
      <c r="C42" s="660">
        <f>BEGINBLAD!C35</f>
        <v>0</v>
      </c>
      <c r="D42" s="661"/>
      <c r="E42" s="661"/>
      <c r="F42" s="661"/>
      <c r="G42" s="662"/>
      <c r="N42" s="659">
        <v>32</v>
      </c>
      <c r="O42" s="660">
        <f>BEGINBLAD!C35</f>
        <v>0</v>
      </c>
      <c r="P42" s="661"/>
      <c r="Q42" s="661"/>
      <c r="R42" s="661"/>
      <c r="S42" s="662"/>
    </row>
    <row r="43" spans="2:24" ht="15" customHeight="1" x14ac:dyDescent="0.2">
      <c r="B43" s="659">
        <v>33</v>
      </c>
      <c r="C43" s="660">
        <f>BEGINBLAD!C36</f>
        <v>0</v>
      </c>
      <c r="D43" s="661"/>
      <c r="E43" s="661"/>
      <c r="F43" s="661"/>
      <c r="G43" s="662"/>
      <c r="N43" s="659">
        <v>33</v>
      </c>
      <c r="O43" s="660">
        <f>BEGINBLAD!C36</f>
        <v>0</v>
      </c>
      <c r="P43" s="661"/>
      <c r="Q43" s="661"/>
      <c r="R43" s="661"/>
      <c r="S43" s="662"/>
    </row>
    <row r="44" spans="2:24" ht="15" customHeight="1" x14ac:dyDescent="0.2">
      <c r="B44" s="659">
        <v>34</v>
      </c>
      <c r="C44" s="660">
        <f>BEGINBLAD!C37</f>
        <v>0</v>
      </c>
      <c r="D44" s="661"/>
      <c r="E44" s="661"/>
      <c r="F44" s="661"/>
      <c r="G44" s="662"/>
      <c r="N44" s="659">
        <v>34</v>
      </c>
      <c r="O44" s="660">
        <f>BEGINBLAD!C37</f>
        <v>0</v>
      </c>
      <c r="P44" s="661"/>
      <c r="Q44" s="661"/>
      <c r="R44" s="661"/>
      <c r="S44" s="662"/>
    </row>
    <row r="45" spans="2:24" ht="15" customHeight="1" x14ac:dyDescent="0.2">
      <c r="B45" s="659">
        <v>35</v>
      </c>
      <c r="C45" s="660">
        <f>BEGINBLAD!C38</f>
        <v>0</v>
      </c>
      <c r="D45" s="661"/>
      <c r="E45" s="661"/>
      <c r="F45" s="661"/>
      <c r="G45" s="662"/>
      <c r="N45" s="659">
        <v>35</v>
      </c>
      <c r="O45" s="660">
        <f>BEGINBLAD!C38</f>
        <v>0</v>
      </c>
      <c r="P45" s="661"/>
      <c r="Q45" s="661"/>
      <c r="R45" s="661"/>
      <c r="S45" s="662"/>
    </row>
    <row r="46" spans="2:24" ht="15" customHeight="1" thickBot="1" x14ac:dyDescent="0.25">
      <c r="B46" s="663">
        <v>36</v>
      </c>
      <c r="C46" s="664">
        <f>BEGINBLAD!C39</f>
        <v>0</v>
      </c>
      <c r="D46" s="665"/>
      <c r="E46" s="665"/>
      <c r="F46" s="665"/>
      <c r="G46" s="666"/>
      <c r="N46" s="663">
        <v>36</v>
      </c>
      <c r="O46" s="664">
        <f>BEGINBLAD!C39</f>
        <v>0</v>
      </c>
      <c r="P46" s="665"/>
      <c r="Q46" s="665"/>
      <c r="R46" s="665"/>
      <c r="S46" s="666"/>
    </row>
    <row r="47" spans="2:24" ht="15" customHeight="1" thickTop="1" thickBot="1" x14ac:dyDescent="0.25">
      <c r="C47" s="455">
        <f>SUM(D47:G47)</f>
        <v>68</v>
      </c>
      <c r="D47" s="238">
        <f>COUNTA(D11:D46)</f>
        <v>17</v>
      </c>
      <c r="E47" s="238">
        <f t="shared" ref="E47:G47" si="0">COUNTA(E11:E46)</f>
        <v>17</v>
      </c>
      <c r="F47" s="238">
        <f t="shared" si="0"/>
        <v>17</v>
      </c>
      <c r="G47" s="238">
        <f t="shared" si="0"/>
        <v>17</v>
      </c>
      <c r="H47" s="396" t="s">
        <v>121</v>
      </c>
      <c r="I47" s="1056" t="s">
        <v>122</v>
      </c>
      <c r="J47" s="1056"/>
      <c r="K47" s="396" t="s">
        <v>123</v>
      </c>
      <c r="O47" s="455">
        <f>SUM(P47:S47)</f>
        <v>68</v>
      </c>
      <c r="P47" s="238">
        <f>COUNTA(P11:P46)</f>
        <v>17</v>
      </c>
      <c r="Q47" s="238">
        <f t="shared" ref="Q47:S47" si="1">COUNTA(Q11:Q46)</f>
        <v>17</v>
      </c>
      <c r="R47" s="238">
        <f t="shared" si="1"/>
        <v>17</v>
      </c>
      <c r="S47" s="238">
        <f t="shared" si="1"/>
        <v>17</v>
      </c>
      <c r="T47" s="396" t="s">
        <v>121</v>
      </c>
      <c r="U47" s="1056" t="s">
        <v>122</v>
      </c>
      <c r="V47" s="1056"/>
      <c r="W47" s="396" t="s">
        <v>123</v>
      </c>
    </row>
    <row r="48" spans="2:24" ht="15" customHeight="1" thickTop="1" x14ac:dyDescent="0.2">
      <c r="B48" s="667" t="s">
        <v>113</v>
      </c>
      <c r="C48" s="668" t="s">
        <v>114</v>
      </c>
      <c r="D48" s="669">
        <f>COUNTIF($D$11:$D$46,1)</f>
        <v>9</v>
      </c>
      <c r="E48" s="670">
        <f>COUNTIF($E$11:$E$46,1)</f>
        <v>0</v>
      </c>
      <c r="F48" s="670">
        <f>COUNTIF($F$11:$F$46,1)</f>
        <v>1</v>
      </c>
      <c r="G48" s="670">
        <f>COUNTIF($G$11:$G$46,1)</f>
        <v>4</v>
      </c>
      <c r="H48" s="671">
        <f>IF(SUM(D48:G48)=0,"",IF(SUM(D48:G48)&gt;0,SUM(D48:G48)/$C$47))</f>
        <v>0.20588235294117646</v>
      </c>
      <c r="I48" s="1071" t="s">
        <v>124</v>
      </c>
      <c r="J48" s="1071"/>
      <c r="K48" s="1072" t="s">
        <v>125</v>
      </c>
      <c r="N48" s="667" t="s">
        <v>113</v>
      </c>
      <c r="O48" s="668" t="s">
        <v>114</v>
      </c>
      <c r="P48" s="669">
        <f>COUNTIF($P$11:$P$46,1)</f>
        <v>6</v>
      </c>
      <c r="Q48" s="670">
        <f>COUNTIF($Q$11:$Q$46,1)</f>
        <v>0</v>
      </c>
      <c r="R48" s="670">
        <f>COUNTIF($R$11:$R$46,1)</f>
        <v>1</v>
      </c>
      <c r="S48" s="670">
        <f>COUNTIF($S$11:$S$46,1)</f>
        <v>4</v>
      </c>
      <c r="T48" s="671">
        <f>IF(SUM(P48:S48)=0,"",IF(SUM(P48:S48)&gt;0,SUM(P48:S48)/$C$47))</f>
        <v>0.16176470588235295</v>
      </c>
      <c r="U48" s="1071" t="s">
        <v>124</v>
      </c>
      <c r="V48" s="1071"/>
      <c r="W48" s="1072" t="s">
        <v>125</v>
      </c>
    </row>
    <row r="49" spans="2:23" ht="15" customHeight="1" x14ac:dyDescent="0.2">
      <c r="B49" s="672" t="s">
        <v>115</v>
      </c>
      <c r="C49" s="673" t="s">
        <v>116</v>
      </c>
      <c r="D49" s="674">
        <f>COUNTIF($D$11:$D$46,2)</f>
        <v>7</v>
      </c>
      <c r="E49" s="396">
        <f>COUNTIF($E$11:$E$46,2)</f>
        <v>9</v>
      </c>
      <c r="F49" s="396">
        <f>COUNTIF($F$11:$F$46,2)</f>
        <v>13</v>
      </c>
      <c r="G49" s="675">
        <f>COUNTIF($G$11:$G$46,2)</f>
        <v>13</v>
      </c>
      <c r="H49" s="676">
        <f t="shared" ref="H49:H51" si="2">IF(SUM(D49:G49)=0,"",IF(SUM(D49:G49)&gt;0,SUM(D49:G49)/$C$47))</f>
        <v>0.61764705882352944</v>
      </c>
      <c r="I49" s="1075" t="s">
        <v>126</v>
      </c>
      <c r="J49" s="1076"/>
      <c r="K49" s="1073"/>
      <c r="N49" s="672" t="s">
        <v>115</v>
      </c>
      <c r="O49" s="673" t="s">
        <v>116</v>
      </c>
      <c r="P49" s="674">
        <f>COUNTIF($P$11:$P$46,2)</f>
        <v>11</v>
      </c>
      <c r="Q49" s="396">
        <f>COUNTIF($Q$11:$Q$46,2)</f>
        <v>9</v>
      </c>
      <c r="R49" s="396">
        <f>COUNTIF($R$11:$R$46,2)</f>
        <v>13</v>
      </c>
      <c r="S49" s="675">
        <f>COUNTIF($S$11:$S$46,2)</f>
        <v>13</v>
      </c>
      <c r="T49" s="676">
        <f t="shared" ref="T49:T51" si="3">IF(SUM(P49:S49)=0,"",IF(SUM(P49:S49)&gt;0,SUM(P49:S49)/$C$47))</f>
        <v>0.67647058823529416</v>
      </c>
      <c r="U49" s="1075" t="s">
        <v>126</v>
      </c>
      <c r="V49" s="1076"/>
      <c r="W49" s="1073"/>
    </row>
    <row r="50" spans="2:23" ht="15" customHeight="1" x14ac:dyDescent="0.2">
      <c r="B50" s="672" t="s">
        <v>117</v>
      </c>
      <c r="C50" s="677" t="s">
        <v>118</v>
      </c>
      <c r="D50" s="674">
        <f>COUNTIF($D$11:$D$46,3)</f>
        <v>0</v>
      </c>
      <c r="E50" s="396">
        <f>COUNTIF($E$11:$E$46,3)</f>
        <v>2</v>
      </c>
      <c r="F50" s="396">
        <f>COUNTIF($F$11:$F$46,3)</f>
        <v>0</v>
      </c>
      <c r="G50" s="396">
        <f>COUNTIF($G$11:$G$46,3)</f>
        <v>0</v>
      </c>
      <c r="H50" s="678">
        <f t="shared" si="2"/>
        <v>2.9411764705882353E-2</v>
      </c>
      <c r="I50" s="1076" t="s">
        <v>127</v>
      </c>
      <c r="J50" s="1076"/>
      <c r="K50" s="1073"/>
      <c r="N50" s="672" t="s">
        <v>117</v>
      </c>
      <c r="O50" s="677" t="s">
        <v>118</v>
      </c>
      <c r="P50" s="674">
        <f>COUNTIF($P$11:$P$46,3)</f>
        <v>0</v>
      </c>
      <c r="Q50" s="396">
        <f>COUNTIF($Q$11:$Q$46,3)</f>
        <v>2</v>
      </c>
      <c r="R50" s="396">
        <f>COUNTIF($R$11:$R$46,3)</f>
        <v>0</v>
      </c>
      <c r="S50" s="396">
        <f>COUNTIF($S$11:$S$46,3)</f>
        <v>0</v>
      </c>
      <c r="T50" s="678">
        <f t="shared" si="3"/>
        <v>2.9411764705882353E-2</v>
      </c>
      <c r="U50" s="1076" t="s">
        <v>127</v>
      </c>
      <c r="V50" s="1076"/>
      <c r="W50" s="1073"/>
    </row>
    <row r="51" spans="2:23" ht="15" customHeight="1" thickBot="1" x14ac:dyDescent="0.25">
      <c r="B51" s="679" t="s">
        <v>119</v>
      </c>
      <c r="C51" s="680" t="s">
        <v>120</v>
      </c>
      <c r="D51" s="681">
        <f>COUNTIF($D$11:$D$46,4)</f>
        <v>1</v>
      </c>
      <c r="E51" s="682">
        <f>COUNTIF($E$11:$E$46,4)</f>
        <v>6</v>
      </c>
      <c r="F51" s="682">
        <f>COUNTIF($F$11:$F$46,4)</f>
        <v>3</v>
      </c>
      <c r="G51" s="683">
        <f>COUNTIF($G$11:$G$46,4)</f>
        <v>0</v>
      </c>
      <c r="H51" s="684">
        <f t="shared" si="2"/>
        <v>0.14705882352941177</v>
      </c>
      <c r="I51" s="1077" t="s">
        <v>128</v>
      </c>
      <c r="J51" s="1078"/>
      <c r="K51" s="1074"/>
      <c r="N51" s="679" t="s">
        <v>119</v>
      </c>
      <c r="O51" s="680" t="s">
        <v>120</v>
      </c>
      <c r="P51" s="681">
        <f>COUNTIF($P$11:$P$46,4)</f>
        <v>0</v>
      </c>
      <c r="Q51" s="682">
        <f>COUNTIF($Q$11:$Q$46,4)</f>
        <v>6</v>
      </c>
      <c r="R51" s="682">
        <f>COUNTIF($R$11:$R$46,4)</f>
        <v>3</v>
      </c>
      <c r="S51" s="683">
        <f>COUNTIF($S$11:$S$46,4)</f>
        <v>0</v>
      </c>
      <c r="T51" s="684">
        <f t="shared" si="3"/>
        <v>0.13235294117647059</v>
      </c>
      <c r="U51" s="1077" t="s">
        <v>128</v>
      </c>
      <c r="V51" s="1078"/>
      <c r="W51" s="1074"/>
    </row>
    <row r="52" spans="2:23" ht="13.5" thickTop="1" x14ac:dyDescent="0.2"/>
  </sheetData>
  <sheetProtection algorithmName="SHA-512" hashValue="UovWDOhgzBSz4yYzH42/P4R3G03z4LC+7sj4Ob4XbqfUHFjQMAtjZzRCpZA+ib0NdsbZKLMu/UUYa/jvFqMxSw==" saltValue="EudJYNMDQrSroF6jQ2Ok8A==" spinCount="100000" sheet="1" objects="1" scenarios="1"/>
  <mergeCells count="38">
    <mergeCell ref="I47:J47"/>
    <mergeCell ref="B2:C2"/>
    <mergeCell ref="D2:G2"/>
    <mergeCell ref="H2:L2"/>
    <mergeCell ref="D3:D8"/>
    <mergeCell ref="E3:E8"/>
    <mergeCell ref="F3:F8"/>
    <mergeCell ref="G3:G8"/>
    <mergeCell ref="B9:C9"/>
    <mergeCell ref="D9:G9"/>
    <mergeCell ref="H13:L13"/>
    <mergeCell ref="H24:L24"/>
    <mergeCell ref="H35:L35"/>
    <mergeCell ref="I48:J48"/>
    <mergeCell ref="K48:K51"/>
    <mergeCell ref="I49:J49"/>
    <mergeCell ref="I50:J50"/>
    <mergeCell ref="I51:J51"/>
    <mergeCell ref="T13:X13"/>
    <mergeCell ref="T24:X24"/>
    <mergeCell ref="T35:X35"/>
    <mergeCell ref="U47:V47"/>
    <mergeCell ref="U48:V48"/>
    <mergeCell ref="W48:W51"/>
    <mergeCell ref="U49:V49"/>
    <mergeCell ref="U50:V50"/>
    <mergeCell ref="U51:V51"/>
    <mergeCell ref="C1:G1"/>
    <mergeCell ref="N1:S1"/>
    <mergeCell ref="T2:X2"/>
    <mergeCell ref="S3:S8"/>
    <mergeCell ref="N9:O9"/>
    <mergeCell ref="P9:S9"/>
    <mergeCell ref="P3:P8"/>
    <mergeCell ref="Q3:Q8"/>
    <mergeCell ref="R3:R8"/>
    <mergeCell ref="N2:O2"/>
    <mergeCell ref="P2:S2"/>
  </mergeCells>
  <conditionalFormatting sqref="C40:C46 C11:C13 C15:C25 C27:C37">
    <cfRule type="expression" priority="15" stopIfTrue="1">
      <formula>$L11=""</formula>
    </cfRule>
    <cfRule type="expression" dxfId="1668" priority="16" stopIfTrue="1">
      <formula>$L11&gt;9</formula>
    </cfRule>
    <cfRule type="expression" dxfId="1667" priority="17" stopIfTrue="1">
      <formula>$L11&lt;0</formula>
    </cfRule>
  </conditionalFormatting>
  <conditionalFormatting sqref="D11:G46">
    <cfRule type="cellIs" dxfId="1666" priority="11" operator="equal">
      <formula>4</formula>
    </cfRule>
    <cfRule type="cellIs" dxfId="1665" priority="12" operator="equal">
      <formula>3</formula>
    </cfRule>
    <cfRule type="cellIs" dxfId="1664" priority="13" operator="equal">
      <formula>2</formula>
    </cfRule>
    <cfRule type="cellIs" dxfId="1663" priority="14" operator="equal">
      <formula>1</formula>
    </cfRule>
  </conditionalFormatting>
  <conditionalFormatting sqref="C14 C26 C38:C39">
    <cfRule type="expression" priority="18" stopIfTrue="1">
      <formula>#REF!=""</formula>
    </cfRule>
    <cfRule type="expression" dxfId="1662" priority="19" stopIfTrue="1">
      <formula>#REF!&gt;9</formula>
    </cfRule>
    <cfRule type="expression" dxfId="1661" priority="20" stopIfTrue="1">
      <formula>#REF!&lt;0</formula>
    </cfRule>
  </conditionalFormatting>
  <conditionalFormatting sqref="O40:O46 O11:O13 O15:O25 O27:O37">
    <cfRule type="expression" priority="5" stopIfTrue="1">
      <formula>$L11=""</formula>
    </cfRule>
    <cfRule type="expression" dxfId="1660" priority="6" stopIfTrue="1">
      <formula>$L11&gt;9</formula>
    </cfRule>
    <cfRule type="expression" dxfId="1659" priority="7" stopIfTrue="1">
      <formula>$L11&lt;0</formula>
    </cfRule>
  </conditionalFormatting>
  <conditionalFormatting sqref="P11:S46">
    <cfRule type="cellIs" dxfId="1658" priority="1" operator="equal">
      <formula>4</formula>
    </cfRule>
    <cfRule type="cellIs" dxfId="1657" priority="2" operator="equal">
      <formula>3</formula>
    </cfRule>
    <cfRule type="cellIs" dxfId="1656" priority="3" operator="equal">
      <formula>2</formula>
    </cfRule>
    <cfRule type="cellIs" dxfId="1655" priority="4" operator="equal">
      <formula>1</formula>
    </cfRule>
  </conditionalFormatting>
  <conditionalFormatting sqref="O14 O26 O38:O39">
    <cfRule type="expression" priority="8" stopIfTrue="1">
      <formula>#REF!=""</formula>
    </cfRule>
    <cfRule type="expression" dxfId="1654" priority="9" stopIfTrue="1">
      <formula>#REF!&gt;9</formula>
    </cfRule>
    <cfRule type="expression" dxfId="1653" priority="10" stopIfTrue="1">
      <formula>#REF!&lt;0</formula>
    </cfRule>
  </conditionalFormatting>
  <dataValidations count="1">
    <dataValidation type="list" allowBlank="1" showInputMessage="1" showErrorMessage="1" promptTitle="Voer de cijfers 1-2-3-4 in." prompt="_x000a_1 = makkie _x000a_2 = voldoende gemotiveerd_x000a_3 = stress_x000a_4 = weinig gemotiveerd" sqref="D11:G46 P11:S46" xr:uid="{DFFA0A98-84BA-40E0-970D-0A5C49A4165A}">
      <formula1>"1,2,3,4,"</formula1>
    </dataValidation>
  </dataValidations>
  <pageMargins left="0.70866141732283472" right="0.70866141732283472" top="0.74803149606299213" bottom="0.74803149606299213" header="0.31496062992125984" footer="0.31496062992125984"/>
  <pageSetup paperSize="9" orientation="portrait" horizontalDpi="4294967293" r:id="rId1"/>
  <headerFooter>
    <oddHeader>&amp;CLijV-meter (meet betrokkenheid)</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E6B27-6D7F-4AA9-9BF9-2DDC681A3714}">
  <sheetPr>
    <tabColor rgb="FFFF0000"/>
  </sheetPr>
  <dimension ref="A1:D36"/>
  <sheetViews>
    <sheetView showGridLines="0" showRowColHeaders="0" zoomScaleNormal="100" workbookViewId="0">
      <selection activeCell="B2" sqref="B2:C2"/>
    </sheetView>
  </sheetViews>
  <sheetFormatPr defaultColWidth="9.140625" defaultRowHeight="18.75" x14ac:dyDescent="0.3"/>
  <cols>
    <col min="1" max="1" width="9.140625" style="37"/>
    <col min="2" max="3" width="5.85546875" style="37" customWidth="1"/>
    <col min="4" max="4" width="124.140625" style="37" customWidth="1"/>
    <col min="5" max="16384" width="9.140625" style="37"/>
  </cols>
  <sheetData>
    <row r="1" spans="1:4" ht="19.5" customHeight="1" x14ac:dyDescent="0.3"/>
    <row r="2" spans="1:4" s="38" customFormat="1" ht="19.5" customHeight="1" x14ac:dyDescent="0.2">
      <c r="A2" s="65"/>
      <c r="B2" s="1082">
        <f>BEGINBLAD!$I$2</f>
        <v>0</v>
      </c>
      <c r="C2" s="1083"/>
      <c r="D2" s="38" t="s">
        <v>523</v>
      </c>
    </row>
    <row r="3" spans="1:4" ht="19.5" customHeight="1" thickBot="1" x14ac:dyDescent="0.35">
      <c r="D3" s="39"/>
    </row>
    <row r="4" spans="1:4" ht="19.5" customHeight="1" x14ac:dyDescent="0.3">
      <c r="C4" s="1079" t="s">
        <v>129</v>
      </c>
      <c r="D4" s="61"/>
    </row>
    <row r="5" spans="1:4" ht="19.5" customHeight="1" x14ac:dyDescent="0.3">
      <c r="C5" s="1080"/>
      <c r="D5" s="62"/>
    </row>
    <row r="6" spans="1:4" ht="19.5" customHeight="1" x14ac:dyDescent="0.3">
      <c r="C6" s="1080"/>
      <c r="D6" s="62"/>
    </row>
    <row r="7" spans="1:4" ht="19.5" customHeight="1" x14ac:dyDescent="0.3">
      <c r="C7" s="1080"/>
      <c r="D7" s="62"/>
    </row>
    <row r="8" spans="1:4" ht="19.5" customHeight="1" x14ac:dyDescent="0.3">
      <c r="C8" s="1080"/>
      <c r="D8" s="62"/>
    </row>
    <row r="9" spans="1:4" ht="19.5" customHeight="1" x14ac:dyDescent="0.3">
      <c r="C9" s="1080"/>
      <c r="D9" s="62"/>
    </row>
    <row r="10" spans="1:4" ht="19.5" customHeight="1" x14ac:dyDescent="0.3">
      <c r="C10" s="1080"/>
      <c r="D10" s="62"/>
    </row>
    <row r="11" spans="1:4" ht="19.5" customHeight="1" x14ac:dyDescent="0.3">
      <c r="C11" s="1080"/>
      <c r="D11" s="62"/>
    </row>
    <row r="12" spans="1:4" ht="19.5" customHeight="1" x14ac:dyDescent="0.3">
      <c r="C12" s="1080"/>
      <c r="D12" s="62"/>
    </row>
    <row r="13" spans="1:4" ht="19.5" customHeight="1" x14ac:dyDescent="0.3">
      <c r="C13" s="1080"/>
      <c r="D13" s="62"/>
    </row>
    <row r="14" spans="1:4" ht="19.5" customHeight="1" thickBot="1" x14ac:dyDescent="0.35">
      <c r="C14" s="1081"/>
      <c r="D14" s="63"/>
    </row>
    <row r="15" spans="1:4" ht="19.5" customHeight="1" thickBot="1" x14ac:dyDescent="0.35">
      <c r="C15" s="60"/>
      <c r="D15" s="64"/>
    </row>
    <row r="16" spans="1:4" ht="19.5" customHeight="1" x14ac:dyDescent="0.3">
      <c r="C16" s="1079" t="s">
        <v>129</v>
      </c>
      <c r="D16" s="61"/>
    </row>
    <row r="17" spans="3:4" ht="19.5" customHeight="1" x14ac:dyDescent="0.3">
      <c r="C17" s="1080"/>
      <c r="D17" s="62"/>
    </row>
    <row r="18" spans="3:4" ht="19.5" customHeight="1" x14ac:dyDescent="0.3">
      <c r="C18" s="1080"/>
      <c r="D18" s="62"/>
    </row>
    <row r="19" spans="3:4" ht="19.5" customHeight="1" x14ac:dyDescent="0.3">
      <c r="C19" s="1080"/>
      <c r="D19" s="62"/>
    </row>
    <row r="20" spans="3:4" ht="19.5" customHeight="1" x14ac:dyDescent="0.3">
      <c r="C20" s="1080"/>
      <c r="D20" s="62"/>
    </row>
    <row r="21" spans="3:4" ht="19.5" customHeight="1" x14ac:dyDescent="0.3">
      <c r="C21" s="1080"/>
      <c r="D21" s="62"/>
    </row>
    <row r="22" spans="3:4" ht="19.5" customHeight="1" x14ac:dyDescent="0.3">
      <c r="C22" s="1080"/>
      <c r="D22" s="62"/>
    </row>
    <row r="23" spans="3:4" ht="19.5" customHeight="1" x14ac:dyDescent="0.3">
      <c r="C23" s="1080"/>
      <c r="D23" s="62"/>
    </row>
    <row r="24" spans="3:4" ht="19.5" customHeight="1" x14ac:dyDescent="0.3">
      <c r="C24" s="1080"/>
      <c r="D24" s="62"/>
    </row>
    <row r="25" spans="3:4" ht="19.5" customHeight="1" x14ac:dyDescent="0.3">
      <c r="C25" s="1080"/>
      <c r="D25" s="62"/>
    </row>
    <row r="26" spans="3:4" ht="19.5" customHeight="1" thickBot="1" x14ac:dyDescent="0.35">
      <c r="C26" s="1081"/>
      <c r="D26" s="63"/>
    </row>
    <row r="27" spans="3:4" ht="19.5" customHeight="1" x14ac:dyDescent="0.3">
      <c r="C27" s="43"/>
      <c r="D27" s="43"/>
    </row>
    <row r="28" spans="3:4" ht="19.5" customHeight="1" x14ac:dyDescent="0.3">
      <c r="C28" s="65"/>
      <c r="D28" s="65"/>
    </row>
    <row r="29" spans="3:4" ht="19.5" customHeight="1" x14ac:dyDescent="0.3">
      <c r="C29" s="59"/>
      <c r="D29" s="59"/>
    </row>
    <row r="30" spans="3:4" ht="19.5" customHeight="1" x14ac:dyDescent="0.3">
      <c r="C30" s="59"/>
      <c r="D30" s="59"/>
    </row>
    <row r="31" spans="3:4" ht="19.5" customHeight="1" x14ac:dyDescent="0.3">
      <c r="C31" s="59"/>
      <c r="D31" s="59"/>
    </row>
    <row r="32" spans="3:4" ht="19.5" customHeight="1" x14ac:dyDescent="0.3">
      <c r="C32" s="59"/>
      <c r="D32" s="59"/>
    </row>
    <row r="33" spans="3:4" ht="19.5" customHeight="1" x14ac:dyDescent="0.3">
      <c r="C33" s="59"/>
      <c r="D33" s="59"/>
    </row>
    <row r="34" spans="3:4" ht="19.5" customHeight="1" x14ac:dyDescent="0.3">
      <c r="C34" s="59"/>
      <c r="D34" s="59"/>
    </row>
    <row r="35" spans="3:4" ht="19.5" customHeight="1" x14ac:dyDescent="0.3">
      <c r="C35" s="59"/>
      <c r="D35" s="59"/>
    </row>
    <row r="36" spans="3:4" ht="19.5" customHeight="1" x14ac:dyDescent="0.3">
      <c r="C36" s="59"/>
      <c r="D36" s="59"/>
    </row>
  </sheetData>
  <sheetProtection sheet="1" objects="1" scenarios="1"/>
  <mergeCells count="3">
    <mergeCell ref="C4:C14"/>
    <mergeCell ref="C16:C26"/>
    <mergeCell ref="B2:C2"/>
  </mergeCells>
  <pageMargins left="0.7" right="0.7" top="0.75" bottom="0.75" header="0.3" footer="0.3"/>
  <pageSetup paperSize="9" scale="9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4"/>
  <dimension ref="A1"/>
  <sheetViews>
    <sheetView showGridLines="0" showRowColHeaders="0" zoomScale="125" zoomScaleNormal="125" workbookViewId="0">
      <selection activeCell="V14" sqref="V14"/>
    </sheetView>
  </sheetViews>
  <sheetFormatPr defaultRowHeight="12.75" x14ac:dyDescent="0.2"/>
  <sheetData/>
  <sheetProtection sheet="1" objects="1" scenarios="1"/>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D36"/>
  <sheetViews>
    <sheetView showGridLines="0" showRowColHeaders="0" zoomScaleNormal="100" workbookViewId="0"/>
  </sheetViews>
  <sheetFormatPr defaultColWidth="9.140625" defaultRowHeight="18.75" x14ac:dyDescent="0.3"/>
  <cols>
    <col min="1" max="1" width="9.140625" style="37"/>
    <col min="2" max="3" width="5.85546875" style="37" customWidth="1"/>
    <col min="4" max="4" width="124.140625" style="37" customWidth="1"/>
    <col min="5" max="16384" width="9.140625" style="37"/>
  </cols>
  <sheetData>
    <row r="1" spans="1:4" ht="19.5" customHeight="1" x14ac:dyDescent="0.3"/>
    <row r="2" spans="1:4" s="38" customFormat="1" ht="19.5" customHeight="1" x14ac:dyDescent="0.2">
      <c r="A2" s="65"/>
      <c r="B2" s="1082">
        <f>BEGINBLAD!$I$2</f>
        <v>0</v>
      </c>
      <c r="C2" s="1083"/>
      <c r="D2" s="38" t="s">
        <v>524</v>
      </c>
    </row>
    <row r="3" spans="1:4" ht="19.5" customHeight="1" thickBot="1" x14ac:dyDescent="0.35">
      <c r="D3" s="39"/>
    </row>
    <row r="4" spans="1:4" ht="19.5" customHeight="1" x14ac:dyDescent="0.3">
      <c r="C4" s="1079" t="s">
        <v>130</v>
      </c>
      <c r="D4" s="61"/>
    </row>
    <row r="5" spans="1:4" ht="19.5" customHeight="1" x14ac:dyDescent="0.3">
      <c r="C5" s="1080"/>
      <c r="D5" s="62"/>
    </row>
    <row r="6" spans="1:4" ht="19.5" customHeight="1" x14ac:dyDescent="0.3">
      <c r="C6" s="1080"/>
      <c r="D6" s="62"/>
    </row>
    <row r="7" spans="1:4" ht="19.5" customHeight="1" x14ac:dyDescent="0.3">
      <c r="C7" s="1080"/>
      <c r="D7" s="62"/>
    </row>
    <row r="8" spans="1:4" ht="19.5" customHeight="1" x14ac:dyDescent="0.3">
      <c r="C8" s="1080"/>
      <c r="D8" s="62"/>
    </row>
    <row r="9" spans="1:4" ht="19.5" customHeight="1" x14ac:dyDescent="0.3">
      <c r="C9" s="1080"/>
      <c r="D9" s="62"/>
    </row>
    <row r="10" spans="1:4" ht="19.5" customHeight="1" x14ac:dyDescent="0.3">
      <c r="C10" s="1080"/>
      <c r="D10" s="62"/>
    </row>
    <row r="11" spans="1:4" ht="19.5" customHeight="1" x14ac:dyDescent="0.3">
      <c r="C11" s="1080"/>
      <c r="D11" s="62"/>
    </row>
    <row r="12" spans="1:4" ht="19.5" customHeight="1" x14ac:dyDescent="0.3">
      <c r="C12" s="1080"/>
      <c r="D12" s="62"/>
    </row>
    <row r="13" spans="1:4" ht="19.5" customHeight="1" x14ac:dyDescent="0.3">
      <c r="C13" s="1080"/>
      <c r="D13" s="62"/>
    </row>
    <row r="14" spans="1:4" ht="19.5" customHeight="1" thickBot="1" x14ac:dyDescent="0.35">
      <c r="C14" s="1081"/>
      <c r="D14" s="63"/>
    </row>
    <row r="15" spans="1:4" ht="19.5" customHeight="1" thickBot="1" x14ac:dyDescent="0.35">
      <c r="C15" s="60"/>
      <c r="D15" s="64"/>
    </row>
    <row r="16" spans="1:4" ht="19.5" customHeight="1" x14ac:dyDescent="0.3">
      <c r="C16" s="1079" t="s">
        <v>130</v>
      </c>
      <c r="D16" s="61"/>
    </row>
    <row r="17" spans="3:4" ht="19.5" customHeight="1" x14ac:dyDescent="0.3">
      <c r="C17" s="1080"/>
      <c r="D17" s="62"/>
    </row>
    <row r="18" spans="3:4" ht="19.5" customHeight="1" x14ac:dyDescent="0.3">
      <c r="C18" s="1080"/>
      <c r="D18" s="62"/>
    </row>
    <row r="19" spans="3:4" ht="19.5" customHeight="1" x14ac:dyDescent="0.3">
      <c r="C19" s="1080"/>
      <c r="D19" s="62"/>
    </row>
    <row r="20" spans="3:4" ht="19.5" customHeight="1" x14ac:dyDescent="0.3">
      <c r="C20" s="1080"/>
      <c r="D20" s="62"/>
    </row>
    <row r="21" spans="3:4" ht="19.5" customHeight="1" x14ac:dyDescent="0.3">
      <c r="C21" s="1080"/>
      <c r="D21" s="62"/>
    </row>
    <row r="22" spans="3:4" ht="19.5" customHeight="1" x14ac:dyDescent="0.3">
      <c r="C22" s="1080"/>
      <c r="D22" s="62"/>
    </row>
    <row r="23" spans="3:4" ht="19.5" customHeight="1" x14ac:dyDescent="0.3">
      <c r="C23" s="1080"/>
      <c r="D23" s="62"/>
    </row>
    <row r="24" spans="3:4" ht="19.5" customHeight="1" x14ac:dyDescent="0.3">
      <c r="C24" s="1080"/>
      <c r="D24" s="62"/>
    </row>
    <row r="25" spans="3:4" ht="19.5" customHeight="1" x14ac:dyDescent="0.3">
      <c r="C25" s="1080"/>
      <c r="D25" s="62"/>
    </row>
    <row r="26" spans="3:4" ht="19.5" customHeight="1" thickBot="1" x14ac:dyDescent="0.35">
      <c r="C26" s="1081"/>
      <c r="D26" s="63"/>
    </row>
    <row r="27" spans="3:4" ht="19.5" customHeight="1" x14ac:dyDescent="0.3">
      <c r="C27" s="43"/>
      <c r="D27" s="43"/>
    </row>
    <row r="28" spans="3:4" ht="19.5" customHeight="1" x14ac:dyDescent="0.3">
      <c r="C28" s="65"/>
      <c r="D28" s="65"/>
    </row>
    <row r="29" spans="3:4" ht="19.5" customHeight="1" x14ac:dyDescent="0.3">
      <c r="C29" s="59"/>
      <c r="D29" s="59"/>
    </row>
    <row r="30" spans="3:4" ht="19.5" customHeight="1" x14ac:dyDescent="0.3">
      <c r="C30" s="59"/>
      <c r="D30" s="59"/>
    </row>
    <row r="31" spans="3:4" ht="19.5" customHeight="1" x14ac:dyDescent="0.3">
      <c r="C31" s="59"/>
      <c r="D31" s="59"/>
    </row>
    <row r="32" spans="3:4" ht="19.5" customHeight="1" x14ac:dyDescent="0.3">
      <c r="C32" s="59"/>
      <c r="D32" s="59"/>
    </row>
    <row r="33" spans="3:4" ht="19.5" customHeight="1" x14ac:dyDescent="0.3">
      <c r="C33" s="59"/>
      <c r="D33" s="59"/>
    </row>
    <row r="34" spans="3:4" ht="19.5" customHeight="1" x14ac:dyDescent="0.3">
      <c r="C34" s="59"/>
      <c r="D34" s="59"/>
    </row>
    <row r="35" spans="3:4" ht="19.5" customHeight="1" x14ac:dyDescent="0.3">
      <c r="C35" s="59"/>
      <c r="D35" s="59"/>
    </row>
    <row r="36" spans="3:4" ht="19.5" customHeight="1" x14ac:dyDescent="0.3">
      <c r="C36" s="59"/>
      <c r="D36" s="59"/>
    </row>
  </sheetData>
  <sheetProtection sheet="1" objects="1" scenarios="1"/>
  <mergeCells count="3">
    <mergeCell ref="C4:C14"/>
    <mergeCell ref="C16:C26"/>
    <mergeCell ref="B2:C2"/>
  </mergeCells>
  <pageMargins left="0.7" right="0.7" top="0.75" bottom="0.75" header="0.3" footer="0.3"/>
  <pageSetup paperSize="9" scale="98" orientation="landscape" r:id="rId1"/>
  <colBreaks count="1" manualBreakCount="1">
    <brk id="1" min="1" max="2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FFFF"/>
  </sheetPr>
  <dimension ref="B2:I23"/>
  <sheetViews>
    <sheetView showGridLines="0" showRowColHeaders="0" zoomScale="80" zoomScaleNormal="80" zoomScaleSheetLayoutView="50" workbookViewId="0"/>
  </sheetViews>
  <sheetFormatPr defaultColWidth="9.140625" defaultRowHeight="12.75" x14ac:dyDescent="0.2"/>
  <cols>
    <col min="1" max="1" width="5.85546875" style="187" customWidth="1"/>
    <col min="2" max="2" width="4.85546875" style="187" customWidth="1"/>
    <col min="3" max="3" width="60.85546875" style="187" customWidth="1"/>
    <col min="4" max="4" width="5.85546875" style="187" customWidth="1"/>
    <col min="5" max="5" width="4.85546875" style="187" customWidth="1"/>
    <col min="6" max="6" width="60.85546875" style="187" customWidth="1"/>
    <col min="7" max="7" width="5.85546875" style="187" customWidth="1"/>
    <col min="8" max="8" width="4.85546875" style="187" customWidth="1"/>
    <col min="9" max="9" width="60.85546875" style="187" customWidth="1"/>
    <col min="10" max="16384" width="9.140625" style="187"/>
  </cols>
  <sheetData>
    <row r="2" spans="2:9" ht="21" x14ac:dyDescent="0.4">
      <c r="B2" s="1099" t="s">
        <v>131</v>
      </c>
      <c r="C2" s="1099"/>
      <c r="D2" s="1099"/>
      <c r="E2" s="1099"/>
      <c r="F2" s="1099"/>
      <c r="G2" s="1099"/>
      <c r="H2" s="1099"/>
      <c r="I2" s="1099"/>
    </row>
    <row r="3" spans="2:9" ht="13.5" thickBot="1" x14ac:dyDescent="0.25"/>
    <row r="4" spans="2:9" s="175" customFormat="1" ht="15.75" thickBot="1" x14ac:dyDescent="0.35">
      <c r="B4" s="1092" t="s">
        <v>132</v>
      </c>
      <c r="C4" s="1093"/>
      <c r="D4" s="190"/>
      <c r="E4" s="1092" t="s">
        <v>133</v>
      </c>
      <c r="F4" s="1093"/>
      <c r="G4" s="190"/>
      <c r="H4" s="1092" t="s">
        <v>134</v>
      </c>
      <c r="I4" s="1093"/>
    </row>
    <row r="5" spans="2:9" ht="13.5" thickBot="1" x14ac:dyDescent="0.25"/>
    <row r="6" spans="2:9" ht="19.5" customHeight="1" x14ac:dyDescent="0.2">
      <c r="B6" s="1094" t="s">
        <v>135</v>
      </c>
      <c r="C6" s="1095" t="s">
        <v>136</v>
      </c>
      <c r="E6" s="1094" t="s">
        <v>135</v>
      </c>
      <c r="F6" s="1095"/>
      <c r="H6" s="1094" t="s">
        <v>135</v>
      </c>
      <c r="I6" s="1097"/>
    </row>
    <row r="7" spans="2:9" ht="19.5" customHeight="1" x14ac:dyDescent="0.2">
      <c r="B7" s="1084"/>
      <c r="C7" s="1096"/>
      <c r="E7" s="1084"/>
      <c r="F7" s="1100"/>
      <c r="H7" s="1084"/>
      <c r="I7" s="1098"/>
    </row>
    <row r="8" spans="2:9" ht="19.5" customHeight="1" x14ac:dyDescent="0.2">
      <c r="B8" s="1084" t="s">
        <v>137</v>
      </c>
      <c r="C8" s="1089" t="s">
        <v>492</v>
      </c>
      <c r="E8" s="1084" t="s">
        <v>137</v>
      </c>
      <c r="F8" s="1086"/>
      <c r="H8" s="1084" t="s">
        <v>137</v>
      </c>
      <c r="I8" s="1089"/>
    </row>
    <row r="9" spans="2:9" ht="19.5" customHeight="1" x14ac:dyDescent="0.2">
      <c r="B9" s="1084"/>
      <c r="C9" s="1090"/>
      <c r="E9" s="1084"/>
      <c r="F9" s="1101"/>
      <c r="H9" s="1084"/>
      <c r="I9" s="1090"/>
    </row>
    <row r="10" spans="2:9" ht="19.5" customHeight="1" x14ac:dyDescent="0.2">
      <c r="B10" s="1084"/>
      <c r="C10" s="1090"/>
      <c r="E10" s="1084"/>
      <c r="F10" s="1101"/>
      <c r="H10" s="1084"/>
      <c r="I10" s="1090"/>
    </row>
    <row r="11" spans="2:9" ht="19.5" customHeight="1" x14ac:dyDescent="0.2">
      <c r="B11" s="1084"/>
      <c r="C11" s="1090"/>
      <c r="E11" s="1084"/>
      <c r="F11" s="1101"/>
      <c r="H11" s="1084"/>
      <c r="I11" s="1090"/>
    </row>
    <row r="12" spans="2:9" ht="19.5" customHeight="1" thickBot="1" x14ac:dyDescent="0.25">
      <c r="B12" s="1085"/>
      <c r="C12" s="1091"/>
      <c r="E12" s="1085"/>
      <c r="F12" s="1102"/>
      <c r="H12" s="1085"/>
      <c r="I12" s="1091"/>
    </row>
    <row r="14" spans="2:9" ht="13.5" thickBot="1" x14ac:dyDescent="0.25"/>
    <row r="15" spans="2:9" s="175" customFormat="1" ht="15.75" thickBot="1" x14ac:dyDescent="0.35">
      <c r="B15" s="1092" t="s">
        <v>138</v>
      </c>
      <c r="C15" s="1093"/>
      <c r="D15" s="190"/>
      <c r="E15" s="1092" t="s">
        <v>139</v>
      </c>
      <c r="F15" s="1093"/>
      <c r="G15" s="190"/>
      <c r="H15" s="191"/>
      <c r="I15" s="191"/>
    </row>
    <row r="16" spans="2:9" ht="13.5" thickBot="1" x14ac:dyDescent="0.25">
      <c r="H16" s="192"/>
      <c r="I16" s="192"/>
    </row>
    <row r="17" spans="2:9" ht="19.5" customHeight="1" x14ac:dyDescent="0.2">
      <c r="B17" s="1094" t="s">
        <v>135</v>
      </c>
      <c r="C17" s="1095"/>
      <c r="E17" s="1094" t="s">
        <v>135</v>
      </c>
      <c r="F17" s="1097" t="s">
        <v>140</v>
      </c>
      <c r="H17" s="193"/>
      <c r="I17" s="178"/>
    </row>
    <row r="18" spans="2:9" ht="19.5" customHeight="1" x14ac:dyDescent="0.2">
      <c r="B18" s="1084"/>
      <c r="C18" s="1096"/>
      <c r="E18" s="1084"/>
      <c r="F18" s="1098"/>
      <c r="H18" s="193"/>
      <c r="I18" s="194"/>
    </row>
    <row r="19" spans="2:9" ht="19.5" customHeight="1" x14ac:dyDescent="0.2">
      <c r="B19" s="1084" t="s">
        <v>137</v>
      </c>
      <c r="C19" s="1086"/>
      <c r="E19" s="1084" t="s">
        <v>137</v>
      </c>
      <c r="F19" s="1089" t="s">
        <v>493</v>
      </c>
      <c r="H19" s="193"/>
      <c r="I19" s="195"/>
    </row>
    <row r="20" spans="2:9" ht="19.5" customHeight="1" x14ac:dyDescent="0.2">
      <c r="B20" s="1084"/>
      <c r="C20" s="1087"/>
      <c r="E20" s="1084"/>
      <c r="F20" s="1090"/>
      <c r="H20" s="193"/>
      <c r="I20" s="195"/>
    </row>
    <row r="21" spans="2:9" ht="19.5" customHeight="1" x14ac:dyDescent="0.2">
      <c r="B21" s="1084"/>
      <c r="C21" s="1087"/>
      <c r="E21" s="1084"/>
      <c r="F21" s="1090"/>
      <c r="H21" s="193"/>
      <c r="I21" s="195"/>
    </row>
    <row r="22" spans="2:9" ht="19.5" customHeight="1" x14ac:dyDescent="0.2">
      <c r="B22" s="1084"/>
      <c r="C22" s="1087"/>
      <c r="E22" s="1084"/>
      <c r="F22" s="1090"/>
      <c r="H22" s="193"/>
      <c r="I22" s="195"/>
    </row>
    <row r="23" spans="2:9" ht="19.5" customHeight="1" thickBot="1" x14ac:dyDescent="0.25">
      <c r="B23" s="1085"/>
      <c r="C23" s="1088"/>
      <c r="E23" s="1085"/>
      <c r="F23" s="1091"/>
      <c r="H23" s="193"/>
      <c r="I23" s="195"/>
    </row>
  </sheetData>
  <sheetProtection sheet="1" objects="1" scenarios="1"/>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I17:I19 C8 F6:F8 C17:C23 I6:I8 C6 F17:F23" xr:uid="{00000000-0002-0000-1900-000000000000}"/>
  </dataValidations>
  <hyperlinks>
    <hyperlink ref="B4" location="'TECHNISCH LEZEN'!A1" display="TECHNISCH LEZEN - klik hier" xr:uid="{00000000-0004-0000-1900-000000000000}"/>
    <hyperlink ref="E4" location="'TECHNISCH LEZEN'!A1" display="TECHNISCH LEZEN - klik hier" xr:uid="{00000000-0004-0000-1900-000001000000}"/>
    <hyperlink ref="H4" location="'TECHNISCH LEZEN'!A1" display="TECHNISCH LEZEN - klik hier" xr:uid="{00000000-0004-0000-1900-000002000000}"/>
    <hyperlink ref="B15" location="'TECHNISCH LEZEN'!A1" display="TECHNISCH LEZEN - klik hier" xr:uid="{00000000-0004-0000-1900-000003000000}"/>
    <hyperlink ref="E15" location="'TECHNISCH LEZEN'!A1" display="TECHNISCH LEZEN - klik hier" xr:uid="{00000000-0004-0000-1900-000004000000}"/>
    <hyperlink ref="E4:F4" location="'BEGRIJPEND LEZEN - 1e periode'!A1" display="BEGRIJPEND LEZEN - klik hier" xr:uid="{00000000-0004-0000-1900-000005000000}"/>
    <hyperlink ref="H4:I4" location="'HOOFDREKENEN - 1e periode'!A1" display="HOOFDREKENEN - klik hier" xr:uid="{00000000-0004-0000-1900-000006000000}"/>
    <hyperlink ref="B15:C15" location="'SPELLEN - 1e periode'!A1" display="SPELLEN - klik hier" xr:uid="{00000000-0004-0000-1900-000007000000}"/>
    <hyperlink ref="E15:F15" location="'REKENEN - 1e periode'!A1" display="REKENEN &amp; WISKUNDE - klik hier" xr:uid="{00000000-0004-0000-1900-000008000000}"/>
    <hyperlink ref="B4:C4" location="'TECHNISCH LEZEN - 1e periode'!A1" display="TECHNISCH LEZEN - klik hier" xr:uid="{00000000-0004-0000-1900-000009000000}"/>
  </hyperlinks>
  <pageMargins left="0.7" right="0.7" top="0.75" bottom="0.75" header="0.3" footer="0.3"/>
  <pageSetup paperSize="9" scale="94" orientation="landscape" horizontalDpi="4294967293" verticalDpi="300" r:id="rId1"/>
  <colBreaks count="1" manualBreakCount="1">
    <brk id="6" min="2" max="22"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CFFFF"/>
  </sheetPr>
  <dimension ref="B2:I27"/>
  <sheetViews>
    <sheetView showGridLines="0" showRowColHeaders="0" topLeftCell="C1" zoomScale="80" zoomScaleNormal="80" zoomScaleSheetLayoutView="50" workbookViewId="0">
      <selection activeCell="J24" sqref="J24"/>
    </sheetView>
  </sheetViews>
  <sheetFormatPr defaultColWidth="9.140625" defaultRowHeight="12.75" x14ac:dyDescent="0.2"/>
  <cols>
    <col min="1" max="1" width="5.85546875" style="187" customWidth="1"/>
    <col min="2" max="2" width="4.85546875" style="187" customWidth="1"/>
    <col min="3" max="3" width="60.85546875" style="187" customWidth="1"/>
    <col min="4" max="4" width="5.85546875" style="187" customWidth="1"/>
    <col min="5" max="5" width="4.85546875" style="187" customWidth="1"/>
    <col min="6" max="6" width="60.85546875" style="187" customWidth="1"/>
    <col min="7" max="7" width="5.85546875" style="187" customWidth="1"/>
    <col min="8" max="8" width="4.85546875" style="187" customWidth="1"/>
    <col min="9" max="9" width="60.85546875" style="187" customWidth="1"/>
    <col min="10" max="16384" width="9.140625" style="187"/>
  </cols>
  <sheetData>
    <row r="2" spans="2:9" ht="21" x14ac:dyDescent="0.4">
      <c r="B2" s="1099" t="s">
        <v>141</v>
      </c>
      <c r="C2" s="1099"/>
      <c r="D2" s="1099"/>
      <c r="E2" s="1099"/>
      <c r="F2" s="1099"/>
      <c r="G2" s="1099"/>
      <c r="H2" s="1099"/>
      <c r="I2" s="1099"/>
    </row>
    <row r="3" spans="2:9" ht="13.5" thickBot="1" x14ac:dyDescent="0.25"/>
    <row r="4" spans="2:9" s="175" customFormat="1" ht="15.75" thickBot="1" x14ac:dyDescent="0.35">
      <c r="B4" s="1092" t="s">
        <v>142</v>
      </c>
      <c r="C4" s="1093"/>
      <c r="D4" s="190"/>
      <c r="E4" s="1092" t="s">
        <v>143</v>
      </c>
      <c r="F4" s="1093"/>
      <c r="G4" s="190"/>
      <c r="H4" s="1092" t="s">
        <v>134</v>
      </c>
      <c r="I4" s="1093"/>
    </row>
    <row r="5" spans="2:9" ht="13.5" thickBot="1" x14ac:dyDescent="0.25"/>
    <row r="6" spans="2:9" ht="19.5" customHeight="1" x14ac:dyDescent="0.2">
      <c r="B6" s="1094" t="s">
        <v>135</v>
      </c>
      <c r="C6" s="1106"/>
      <c r="E6" s="1094" t="s">
        <v>135</v>
      </c>
      <c r="F6" s="1106"/>
      <c r="H6" s="1094" t="s">
        <v>135</v>
      </c>
      <c r="I6" s="1109"/>
    </row>
    <row r="7" spans="2:9" ht="19.5" customHeight="1" x14ac:dyDescent="0.2">
      <c r="B7" s="1084"/>
      <c r="C7" s="1107"/>
      <c r="E7" s="1084"/>
      <c r="F7" s="1108"/>
      <c r="H7" s="1084"/>
      <c r="I7" s="1110"/>
    </row>
    <row r="8" spans="2:9" ht="19.5" customHeight="1" x14ac:dyDescent="0.2">
      <c r="B8" s="1084" t="s">
        <v>137</v>
      </c>
      <c r="C8" s="1103"/>
      <c r="E8" s="1084" t="s">
        <v>137</v>
      </c>
      <c r="F8" s="1103"/>
      <c r="H8" s="1084" t="s">
        <v>137</v>
      </c>
      <c r="I8" s="1103"/>
    </row>
    <row r="9" spans="2:9" ht="19.5" customHeight="1" x14ac:dyDescent="0.2">
      <c r="B9" s="1084"/>
      <c r="C9" s="1104"/>
      <c r="E9" s="1084"/>
      <c r="F9" s="1111"/>
      <c r="H9" s="1084"/>
      <c r="I9" s="1104"/>
    </row>
    <row r="10" spans="2:9" ht="19.5" customHeight="1" x14ac:dyDescent="0.2">
      <c r="B10" s="1084"/>
      <c r="C10" s="1104"/>
      <c r="E10" s="1084"/>
      <c r="F10" s="1111"/>
      <c r="H10" s="1084"/>
      <c r="I10" s="1104"/>
    </row>
    <row r="11" spans="2:9" ht="19.5" customHeight="1" x14ac:dyDescent="0.2">
      <c r="B11" s="1084"/>
      <c r="C11" s="1104"/>
      <c r="E11" s="1084"/>
      <c r="F11" s="1111"/>
      <c r="H11" s="1084"/>
      <c r="I11" s="1104"/>
    </row>
    <row r="12" spans="2:9" ht="19.5" customHeight="1" thickBot="1" x14ac:dyDescent="0.25">
      <c r="B12" s="1085"/>
      <c r="C12" s="1105"/>
      <c r="E12" s="1085"/>
      <c r="F12" s="1112"/>
      <c r="H12" s="1085"/>
      <c r="I12" s="1105"/>
    </row>
    <row r="14" spans="2:9" ht="13.5" thickBot="1" x14ac:dyDescent="0.25"/>
    <row r="15" spans="2:9" s="175" customFormat="1" ht="15.75" thickBot="1" x14ac:dyDescent="0.35">
      <c r="B15" s="1092" t="s">
        <v>138</v>
      </c>
      <c r="C15" s="1093"/>
      <c r="D15" s="190"/>
      <c r="E15" s="1092" t="s">
        <v>139</v>
      </c>
      <c r="F15" s="1093"/>
      <c r="G15" s="190"/>
      <c r="H15" s="191"/>
      <c r="I15" s="191"/>
    </row>
    <row r="16" spans="2:9" ht="13.5" thickBot="1" x14ac:dyDescent="0.25">
      <c r="H16" s="192"/>
      <c r="I16" s="192"/>
    </row>
    <row r="17" spans="2:9" ht="19.5" customHeight="1" x14ac:dyDescent="0.2">
      <c r="B17" s="1094" t="s">
        <v>135</v>
      </c>
      <c r="C17" s="1109"/>
      <c r="E17" s="1094" t="s">
        <v>135</v>
      </c>
      <c r="F17" s="1109"/>
      <c r="H17" s="193"/>
      <c r="I17" s="178"/>
    </row>
    <row r="18" spans="2:9" ht="19.5" customHeight="1" x14ac:dyDescent="0.2">
      <c r="B18" s="1084"/>
      <c r="C18" s="1110"/>
      <c r="E18" s="1084"/>
      <c r="F18" s="1110"/>
      <c r="H18" s="193"/>
      <c r="I18" s="194"/>
    </row>
    <row r="19" spans="2:9" ht="19.5" customHeight="1" x14ac:dyDescent="0.2">
      <c r="B19" s="1084" t="s">
        <v>137</v>
      </c>
      <c r="C19" s="1103"/>
      <c r="E19" s="1084" t="s">
        <v>137</v>
      </c>
      <c r="F19" s="1103"/>
      <c r="H19" s="193"/>
      <c r="I19" s="195"/>
    </row>
    <row r="20" spans="2:9" ht="19.5" customHeight="1" x14ac:dyDescent="0.2">
      <c r="B20" s="1084"/>
      <c r="C20" s="1104"/>
      <c r="E20" s="1084"/>
      <c r="F20" s="1104"/>
      <c r="H20" s="193"/>
      <c r="I20" s="195"/>
    </row>
    <row r="21" spans="2:9" ht="19.5" customHeight="1" x14ac:dyDescent="0.2">
      <c r="B21" s="1084"/>
      <c r="C21" s="1104"/>
      <c r="E21" s="1084"/>
      <c r="F21" s="1104"/>
      <c r="H21" s="193"/>
      <c r="I21" s="195"/>
    </row>
    <row r="22" spans="2:9" ht="19.5" customHeight="1" x14ac:dyDescent="0.2">
      <c r="B22" s="1084"/>
      <c r="C22" s="1104"/>
      <c r="E22" s="1084"/>
      <c r="F22" s="1104"/>
      <c r="H22" s="193"/>
      <c r="I22" s="195"/>
    </row>
    <row r="23" spans="2:9" ht="19.5" customHeight="1" thickBot="1" x14ac:dyDescent="0.25">
      <c r="B23" s="1085"/>
      <c r="C23" s="1105"/>
      <c r="E23" s="1085"/>
      <c r="F23" s="1105"/>
      <c r="H23" s="193"/>
      <c r="I23" s="195"/>
    </row>
    <row r="25" spans="2:9" x14ac:dyDescent="0.2">
      <c r="H25" s="339" t="s">
        <v>144</v>
      </c>
      <c r="I25" s="340"/>
    </row>
    <row r="26" spans="2:9" x14ac:dyDescent="0.2">
      <c r="H26" s="341" t="s">
        <v>521</v>
      </c>
      <c r="I26" s="342"/>
    </row>
    <row r="27" spans="2:9" x14ac:dyDescent="0.2">
      <c r="H27" s="343" t="s">
        <v>522</v>
      </c>
      <c r="I27" s="344"/>
    </row>
  </sheetData>
  <mergeCells count="26">
    <mergeCell ref="B19:B23"/>
    <mergeCell ref="C19:C23"/>
    <mergeCell ref="E19:E23"/>
    <mergeCell ref="F19:F23"/>
    <mergeCell ref="B15:C15"/>
    <mergeCell ref="E15:F15"/>
    <mergeCell ref="B17:B18"/>
    <mergeCell ref="C17:C18"/>
    <mergeCell ref="E17:E18"/>
    <mergeCell ref="F17:F18"/>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s>
  <dataValidations count="1">
    <dataValidation allowBlank="1" showInputMessage="1" showErrorMessage="1" promptTitle="Nieuwe regel:" prompt="druk op Alt-Enter" sqref="I17:I19 C8 F6:F8 C17:C23 I6:I8 C6 F17:F23" xr:uid="{00000000-0002-0000-1A00-000000000000}"/>
  </dataValidations>
  <hyperlinks>
    <hyperlink ref="B4" location="'TECHNISCH LEZEN'!A1" display="TECHNISCH LEZEN - klik hier" xr:uid="{00000000-0004-0000-1A00-000000000000}"/>
    <hyperlink ref="E4" location="'TECHNISCH LEZEN'!A1" display="TECHNISCH LEZEN - klik hier" xr:uid="{00000000-0004-0000-1A00-000001000000}"/>
    <hyperlink ref="H4" location="'TECHNISCH LEZEN'!A1" display="TECHNISCH LEZEN - klik hier" xr:uid="{00000000-0004-0000-1A00-000002000000}"/>
    <hyperlink ref="B15" location="'TECHNISCH LEZEN'!A1" display="TECHNISCH LEZEN - klik hier" xr:uid="{00000000-0004-0000-1A00-000003000000}"/>
    <hyperlink ref="E15" location="'TECHNISCH LEZEN'!A1" display="TECHNISCH LEZEN - klik hier" xr:uid="{00000000-0004-0000-1A00-000004000000}"/>
    <hyperlink ref="E4:F4" location="'BEGRIJPEND LEZEN - 2e periode'!A1" display="BEGRIJPEND LEZEN - klik hier" xr:uid="{00000000-0004-0000-1A00-000005000000}"/>
    <hyperlink ref="H4:I4" location="'HOOFDREKENEN - 2e periode'!A1" display="HOOFDREKENEN - klik hier" xr:uid="{00000000-0004-0000-1A00-000006000000}"/>
    <hyperlink ref="B15:C15" location="'SPELLEN - 2e periode'!A1" display="SPELLEN - klik hier" xr:uid="{00000000-0004-0000-1A00-000007000000}"/>
    <hyperlink ref="E15:F15" location="'REKENEN - 2e periode'!A1" display="REKENEN &amp; WISKUNDE - klik hier" xr:uid="{00000000-0004-0000-1A00-000008000000}"/>
    <hyperlink ref="B4:C4" location="'TECHNISCH LEZEN - 2e periode'!A1" display="TECHNISCH LEZEN - klik hier" xr:uid="{00000000-0004-0000-1A00-000009000000}"/>
  </hyperlinks>
  <pageMargins left="0.7" right="0.7" top="0.75" bottom="0.75" header="0.3" footer="0.3"/>
  <pageSetup paperSize="9" scale="94" orientation="landscape" horizontalDpi="4294967293" verticalDpi="300" r:id="rId1"/>
  <colBreaks count="1" manualBreakCount="1">
    <brk id="6" min="2" max="22"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CCCFF"/>
  </sheetPr>
  <dimension ref="B2:I23"/>
  <sheetViews>
    <sheetView showGridLines="0" showRowColHeaders="0" zoomScale="80" zoomScaleNormal="80" zoomScaleSheetLayoutView="50" workbookViewId="0"/>
  </sheetViews>
  <sheetFormatPr defaultColWidth="9.140625" defaultRowHeight="12.75" x14ac:dyDescent="0.2"/>
  <cols>
    <col min="1" max="1" width="5.85546875" style="187" customWidth="1"/>
    <col min="2" max="2" width="4.85546875" style="187" customWidth="1"/>
    <col min="3" max="3" width="60.85546875" style="187" customWidth="1"/>
    <col min="4" max="4" width="5.85546875" style="187" customWidth="1"/>
    <col min="5" max="5" width="4.85546875" style="187" customWidth="1"/>
    <col min="6" max="6" width="60.85546875" style="187" customWidth="1"/>
    <col min="7" max="7" width="5.85546875" style="187" customWidth="1"/>
    <col min="8" max="8" width="4.85546875" style="187" customWidth="1"/>
    <col min="9" max="9" width="60.85546875" style="187" customWidth="1"/>
    <col min="10" max="16384" width="9.140625" style="187"/>
  </cols>
  <sheetData>
    <row r="2" spans="2:9" ht="21" x14ac:dyDescent="0.4">
      <c r="B2" s="1099" t="s">
        <v>145</v>
      </c>
      <c r="C2" s="1099"/>
      <c r="D2" s="1099"/>
      <c r="E2" s="1099"/>
      <c r="F2" s="1099"/>
      <c r="G2" s="1099"/>
      <c r="H2" s="1099"/>
      <c r="I2" s="1099"/>
    </row>
    <row r="3" spans="2:9" ht="13.5" thickBot="1" x14ac:dyDescent="0.25"/>
    <row r="4" spans="2:9" s="175" customFormat="1" ht="15.75" thickBot="1" x14ac:dyDescent="0.35">
      <c r="B4" s="1092" t="s">
        <v>132</v>
      </c>
      <c r="C4" s="1093"/>
      <c r="D4" s="190"/>
      <c r="E4" s="1092" t="s">
        <v>133</v>
      </c>
      <c r="F4" s="1093"/>
      <c r="G4" s="190"/>
      <c r="H4" s="1092" t="s">
        <v>134</v>
      </c>
      <c r="I4" s="1093"/>
    </row>
    <row r="5" spans="2:9" ht="13.5" thickBot="1" x14ac:dyDescent="0.25"/>
    <row r="6" spans="2:9" ht="19.5" customHeight="1" x14ac:dyDescent="0.2">
      <c r="B6" s="1094" t="s">
        <v>135</v>
      </c>
      <c r="C6" s="1095" t="s">
        <v>146</v>
      </c>
      <c r="E6" s="1094" t="s">
        <v>135</v>
      </c>
      <c r="F6" s="1095" t="s">
        <v>147</v>
      </c>
      <c r="H6" s="1094" t="s">
        <v>135</v>
      </c>
      <c r="I6" s="1097" t="s">
        <v>148</v>
      </c>
    </row>
    <row r="7" spans="2:9" ht="19.5" customHeight="1" x14ac:dyDescent="0.2">
      <c r="B7" s="1084"/>
      <c r="C7" s="1100"/>
      <c r="E7" s="1084"/>
      <c r="F7" s="1096"/>
      <c r="H7" s="1084"/>
      <c r="I7" s="1098"/>
    </row>
    <row r="8" spans="2:9" ht="19.5" customHeight="1" x14ac:dyDescent="0.2">
      <c r="B8" s="1084" t="s">
        <v>137</v>
      </c>
      <c r="C8" s="1089" t="s">
        <v>494</v>
      </c>
      <c r="E8" s="1084" t="s">
        <v>137</v>
      </c>
      <c r="F8" s="1089" t="s">
        <v>149</v>
      </c>
      <c r="H8" s="1084" t="s">
        <v>137</v>
      </c>
      <c r="I8" s="1089" t="s">
        <v>150</v>
      </c>
    </row>
    <row r="9" spans="2:9" ht="19.5" customHeight="1" x14ac:dyDescent="0.2">
      <c r="B9" s="1084"/>
      <c r="C9" s="1113"/>
      <c r="E9" s="1084"/>
      <c r="F9" s="1090"/>
      <c r="H9" s="1084"/>
      <c r="I9" s="1090"/>
    </row>
    <row r="10" spans="2:9" ht="19.5" customHeight="1" x14ac:dyDescent="0.2">
      <c r="B10" s="1084"/>
      <c r="C10" s="1113"/>
      <c r="E10" s="1084"/>
      <c r="F10" s="1090"/>
      <c r="H10" s="1084"/>
      <c r="I10" s="1090"/>
    </row>
    <row r="11" spans="2:9" ht="19.5" customHeight="1" x14ac:dyDescent="0.2">
      <c r="B11" s="1084"/>
      <c r="C11" s="1113"/>
      <c r="E11" s="1084"/>
      <c r="F11" s="1090"/>
      <c r="H11" s="1084"/>
      <c r="I11" s="1090"/>
    </row>
    <row r="12" spans="2:9" ht="19.5" customHeight="1" thickBot="1" x14ac:dyDescent="0.25">
      <c r="B12" s="1085"/>
      <c r="C12" s="1114"/>
      <c r="E12" s="1085"/>
      <c r="F12" s="1091"/>
      <c r="H12" s="1085"/>
      <c r="I12" s="1091"/>
    </row>
    <row r="14" spans="2:9" ht="13.5" thickBot="1" x14ac:dyDescent="0.25"/>
    <row r="15" spans="2:9" s="175" customFormat="1" ht="15.75" thickBot="1" x14ac:dyDescent="0.35">
      <c r="B15" s="1092" t="s">
        <v>138</v>
      </c>
      <c r="C15" s="1093"/>
      <c r="D15" s="190"/>
      <c r="E15" s="1092" t="s">
        <v>139</v>
      </c>
      <c r="F15" s="1093"/>
      <c r="G15" s="190"/>
      <c r="H15" s="191"/>
      <c r="I15" s="191"/>
    </row>
    <row r="16" spans="2:9" ht="13.5" thickBot="1" x14ac:dyDescent="0.25">
      <c r="H16" s="192"/>
      <c r="I16" s="192"/>
    </row>
    <row r="17" spans="2:9" ht="19.5" customHeight="1" x14ac:dyDescent="0.2">
      <c r="B17" s="1094" t="s">
        <v>135</v>
      </c>
      <c r="C17" s="1097" t="s">
        <v>151</v>
      </c>
      <c r="E17" s="1094" t="s">
        <v>135</v>
      </c>
      <c r="F17" s="1097" t="s">
        <v>140</v>
      </c>
      <c r="H17" s="193"/>
      <c r="I17" s="178"/>
    </row>
    <row r="18" spans="2:9" ht="19.5" customHeight="1" x14ac:dyDescent="0.2">
      <c r="B18" s="1084"/>
      <c r="C18" s="1098"/>
      <c r="E18" s="1084"/>
      <c r="F18" s="1098"/>
      <c r="H18" s="193"/>
      <c r="I18" s="194"/>
    </row>
    <row r="19" spans="2:9" ht="19.5" customHeight="1" x14ac:dyDescent="0.2">
      <c r="B19" s="1084" t="s">
        <v>137</v>
      </c>
      <c r="C19" s="1089" t="s">
        <v>152</v>
      </c>
      <c r="E19" s="1084" t="s">
        <v>137</v>
      </c>
      <c r="F19" s="1089" t="s">
        <v>495</v>
      </c>
      <c r="H19" s="193"/>
      <c r="I19" s="195"/>
    </row>
    <row r="20" spans="2:9" ht="19.5" customHeight="1" x14ac:dyDescent="0.2">
      <c r="B20" s="1084"/>
      <c r="C20" s="1090"/>
      <c r="E20" s="1084"/>
      <c r="F20" s="1090"/>
      <c r="H20" s="193"/>
      <c r="I20" s="195"/>
    </row>
    <row r="21" spans="2:9" ht="19.5" customHeight="1" x14ac:dyDescent="0.2">
      <c r="B21" s="1084"/>
      <c r="C21" s="1090"/>
      <c r="E21" s="1084"/>
      <c r="F21" s="1090"/>
      <c r="H21" s="193"/>
      <c r="I21" s="195"/>
    </row>
    <row r="22" spans="2:9" ht="19.5" customHeight="1" x14ac:dyDescent="0.2">
      <c r="B22" s="1084"/>
      <c r="C22" s="1090"/>
      <c r="E22" s="1084"/>
      <c r="F22" s="1090"/>
      <c r="H22" s="193"/>
      <c r="I22" s="195"/>
    </row>
    <row r="23" spans="2:9" ht="19.5" customHeight="1" thickBot="1" x14ac:dyDescent="0.25">
      <c r="B23" s="1085"/>
      <c r="C23" s="1091"/>
      <c r="E23" s="1085"/>
      <c r="F23" s="1091"/>
      <c r="H23" s="193"/>
      <c r="I23" s="195"/>
    </row>
  </sheetData>
  <sheetProtection sheet="1" objects="1" scenarios="1"/>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C6:C8 C17:C19 F6:F8 F17:F19 I6:I8 I17:I19" xr:uid="{00000000-0002-0000-1B00-000000000000}"/>
  </dataValidations>
  <hyperlinks>
    <hyperlink ref="B4" location="'TECHNISCH LEZEN'!A1" display="TECHNISCH LEZEN - klik hier" xr:uid="{00000000-0004-0000-1B00-000000000000}"/>
    <hyperlink ref="E4" location="'TECHNISCH LEZEN'!A1" display="TECHNISCH LEZEN - klik hier" xr:uid="{00000000-0004-0000-1B00-000001000000}"/>
    <hyperlink ref="H4" location="'TECHNISCH LEZEN'!A1" display="TECHNISCH LEZEN - klik hier" xr:uid="{00000000-0004-0000-1B00-000002000000}"/>
    <hyperlink ref="B15" location="'TECHNISCH LEZEN'!A1" display="TECHNISCH LEZEN - klik hier" xr:uid="{00000000-0004-0000-1B00-000003000000}"/>
    <hyperlink ref="E15" location="'TECHNISCH LEZEN'!A1" display="TECHNISCH LEZEN - klik hier" xr:uid="{00000000-0004-0000-1B00-000004000000}"/>
    <hyperlink ref="E4:F4" location="'BEGRIJPEND LEZEN - 1e periode'!A1" display="BEGRIJPEND LEZEN - klik hier" xr:uid="{00000000-0004-0000-1B00-000005000000}"/>
    <hyperlink ref="H4:I4" location="'HOOFDREKENEN - 1e periode'!A1" display="HOOFDREKENEN - klik hier" xr:uid="{00000000-0004-0000-1B00-000006000000}"/>
    <hyperlink ref="B15:C15" location="'SPELLEN - 1e periode'!A1" display="SPELLEN - klik hier" xr:uid="{00000000-0004-0000-1B00-000007000000}"/>
    <hyperlink ref="E15:F15" location="'REKENEN - 1e periode'!A1" display="REKENEN &amp; WISKUNDE - klik hier" xr:uid="{00000000-0004-0000-1B00-000008000000}"/>
    <hyperlink ref="B4:C4" location="'TECHNISCH LEZEN - 1e periode'!A1" display="TECHNISCH LEZEN - klik hier" xr:uid="{00000000-0004-0000-1B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CCCFF"/>
  </sheetPr>
  <dimension ref="B2:I27"/>
  <sheetViews>
    <sheetView showGridLines="0" showRowColHeaders="0" zoomScale="80" zoomScaleNormal="80" zoomScaleSheetLayoutView="50" workbookViewId="0">
      <selection activeCell="C19" sqref="C19:C23"/>
    </sheetView>
  </sheetViews>
  <sheetFormatPr defaultColWidth="9.140625" defaultRowHeight="12.75" x14ac:dyDescent="0.2"/>
  <cols>
    <col min="1" max="1" width="5.85546875" style="187" customWidth="1"/>
    <col min="2" max="2" width="4.85546875" style="187" customWidth="1"/>
    <col min="3" max="3" width="60.85546875" style="187" customWidth="1"/>
    <col min="4" max="4" width="5.85546875" style="187" customWidth="1"/>
    <col min="5" max="5" width="4.85546875" style="187" customWidth="1"/>
    <col min="6" max="6" width="60.85546875" style="187" customWidth="1"/>
    <col min="7" max="7" width="5.85546875" style="187" customWidth="1"/>
    <col min="8" max="8" width="4.85546875" style="187" customWidth="1"/>
    <col min="9" max="9" width="60.85546875" style="187" customWidth="1"/>
    <col min="10" max="16384" width="9.140625" style="187"/>
  </cols>
  <sheetData>
    <row r="2" spans="2:9" ht="21" x14ac:dyDescent="0.4">
      <c r="B2" s="1099" t="s">
        <v>153</v>
      </c>
      <c r="C2" s="1099"/>
      <c r="D2" s="1099"/>
      <c r="E2" s="1099"/>
      <c r="F2" s="1099"/>
      <c r="G2" s="1099"/>
      <c r="H2" s="1099"/>
      <c r="I2" s="1099"/>
    </row>
    <row r="3" spans="2:9" ht="13.5" thickBot="1" x14ac:dyDescent="0.25"/>
    <row r="4" spans="2:9" s="175" customFormat="1" ht="15.75" thickBot="1" x14ac:dyDescent="0.35">
      <c r="B4" s="1092" t="s">
        <v>154</v>
      </c>
      <c r="C4" s="1093"/>
      <c r="D4" s="190"/>
      <c r="E4" s="1092" t="s">
        <v>155</v>
      </c>
      <c r="F4" s="1093"/>
      <c r="G4" s="190"/>
      <c r="H4" s="1092" t="s">
        <v>134</v>
      </c>
      <c r="I4" s="1093"/>
    </row>
    <row r="5" spans="2:9" ht="13.5" thickBot="1" x14ac:dyDescent="0.25"/>
    <row r="6" spans="2:9" ht="19.5" customHeight="1" x14ac:dyDescent="0.2">
      <c r="B6" s="1094" t="s">
        <v>135</v>
      </c>
      <c r="C6" s="1106"/>
      <c r="E6" s="1094" t="s">
        <v>135</v>
      </c>
      <c r="F6" s="1106"/>
      <c r="H6" s="1094" t="s">
        <v>135</v>
      </c>
      <c r="I6" s="1109"/>
    </row>
    <row r="7" spans="2:9" ht="19.5" customHeight="1" x14ac:dyDescent="0.2">
      <c r="B7" s="1084"/>
      <c r="C7" s="1108"/>
      <c r="E7" s="1084"/>
      <c r="F7" s="1107"/>
      <c r="H7" s="1084"/>
      <c r="I7" s="1110"/>
    </row>
    <row r="8" spans="2:9" ht="19.5" customHeight="1" x14ac:dyDescent="0.2">
      <c r="B8" s="1084" t="s">
        <v>137</v>
      </c>
      <c r="C8" s="1103"/>
      <c r="E8" s="1084" t="s">
        <v>137</v>
      </c>
      <c r="F8" s="1103"/>
      <c r="H8" s="1084" t="s">
        <v>137</v>
      </c>
      <c r="I8" s="1103"/>
    </row>
    <row r="9" spans="2:9" ht="19.5" customHeight="1" x14ac:dyDescent="0.2">
      <c r="B9" s="1084"/>
      <c r="C9" s="1111"/>
      <c r="E9" s="1084"/>
      <c r="F9" s="1104"/>
      <c r="H9" s="1084"/>
      <c r="I9" s="1104"/>
    </row>
    <row r="10" spans="2:9" ht="19.5" customHeight="1" x14ac:dyDescent="0.2">
      <c r="B10" s="1084"/>
      <c r="C10" s="1111"/>
      <c r="E10" s="1084"/>
      <c r="F10" s="1104"/>
      <c r="H10" s="1084"/>
      <c r="I10" s="1104"/>
    </row>
    <row r="11" spans="2:9" ht="19.5" customHeight="1" x14ac:dyDescent="0.2">
      <c r="B11" s="1084"/>
      <c r="C11" s="1111"/>
      <c r="E11" s="1084"/>
      <c r="F11" s="1104"/>
      <c r="H11" s="1084"/>
      <c r="I11" s="1104"/>
    </row>
    <row r="12" spans="2:9" ht="19.5" customHeight="1" thickBot="1" x14ac:dyDescent="0.25">
      <c r="B12" s="1085"/>
      <c r="C12" s="1112"/>
      <c r="E12" s="1085"/>
      <c r="F12" s="1105"/>
      <c r="H12" s="1085"/>
      <c r="I12" s="1105"/>
    </row>
    <row r="14" spans="2:9" ht="13.5" thickBot="1" x14ac:dyDescent="0.25"/>
    <row r="15" spans="2:9" s="175" customFormat="1" ht="15.75" thickBot="1" x14ac:dyDescent="0.35">
      <c r="B15" s="1092" t="s">
        <v>138</v>
      </c>
      <c r="C15" s="1093"/>
      <c r="D15" s="190"/>
      <c r="E15" s="1092" t="s">
        <v>139</v>
      </c>
      <c r="F15" s="1093"/>
      <c r="G15" s="190"/>
      <c r="H15" s="191"/>
      <c r="I15" s="191"/>
    </row>
    <row r="16" spans="2:9" ht="13.5" thickBot="1" x14ac:dyDescent="0.25">
      <c r="H16" s="192"/>
      <c r="I16" s="192"/>
    </row>
    <row r="17" spans="2:9" ht="19.5" customHeight="1" x14ac:dyDescent="0.2">
      <c r="B17" s="1094" t="s">
        <v>135</v>
      </c>
      <c r="C17" s="1109"/>
      <c r="E17" s="1094" t="s">
        <v>135</v>
      </c>
      <c r="F17" s="1109"/>
      <c r="H17" s="193"/>
      <c r="I17" s="178"/>
    </row>
    <row r="18" spans="2:9" ht="19.5" customHeight="1" x14ac:dyDescent="0.2">
      <c r="B18" s="1084"/>
      <c r="C18" s="1110"/>
      <c r="E18" s="1084"/>
      <c r="F18" s="1110"/>
      <c r="H18" s="193"/>
      <c r="I18" s="194"/>
    </row>
    <row r="19" spans="2:9" ht="19.5" customHeight="1" x14ac:dyDescent="0.2">
      <c r="B19" s="1084" t="s">
        <v>137</v>
      </c>
      <c r="C19" s="1103"/>
      <c r="E19" s="1084" t="s">
        <v>137</v>
      </c>
      <c r="F19" s="1103"/>
      <c r="H19" s="193"/>
      <c r="I19" s="195"/>
    </row>
    <row r="20" spans="2:9" ht="19.5" customHeight="1" x14ac:dyDescent="0.2">
      <c r="B20" s="1084"/>
      <c r="C20" s="1104"/>
      <c r="E20" s="1084"/>
      <c r="F20" s="1104"/>
      <c r="H20" s="193"/>
      <c r="I20" s="195"/>
    </row>
    <row r="21" spans="2:9" ht="19.5" customHeight="1" x14ac:dyDescent="0.2">
      <c r="B21" s="1084"/>
      <c r="C21" s="1104"/>
      <c r="E21" s="1084"/>
      <c r="F21" s="1104"/>
      <c r="H21" s="193"/>
      <c r="I21" s="195"/>
    </row>
    <row r="22" spans="2:9" ht="19.5" customHeight="1" x14ac:dyDescent="0.2">
      <c r="B22" s="1084"/>
      <c r="C22" s="1104"/>
      <c r="E22" s="1084"/>
      <c r="F22" s="1104"/>
      <c r="H22" s="193"/>
      <c r="I22" s="195"/>
    </row>
    <row r="23" spans="2:9" ht="19.5" customHeight="1" thickBot="1" x14ac:dyDescent="0.25">
      <c r="B23" s="1085"/>
      <c r="C23" s="1105"/>
      <c r="E23" s="1085"/>
      <c r="F23" s="1105"/>
      <c r="H23" s="193"/>
      <c r="I23" s="195"/>
    </row>
    <row r="25" spans="2:9" x14ac:dyDescent="0.2">
      <c r="H25" s="339" t="s">
        <v>144</v>
      </c>
      <c r="I25" s="340"/>
    </row>
    <row r="26" spans="2:9" x14ac:dyDescent="0.2">
      <c r="H26" s="341" t="s">
        <v>521</v>
      </c>
      <c r="I26" s="342"/>
    </row>
    <row r="27" spans="2:9" x14ac:dyDescent="0.2">
      <c r="H27" s="343" t="s">
        <v>522</v>
      </c>
      <c r="I27" s="344"/>
    </row>
  </sheetData>
  <sheetProtection sheet="1" objects="1" scenarios="1"/>
  <mergeCells count="26">
    <mergeCell ref="B19:B23"/>
    <mergeCell ref="C19:C23"/>
    <mergeCell ref="E19:E23"/>
    <mergeCell ref="F19:F23"/>
    <mergeCell ref="B15:C15"/>
    <mergeCell ref="E15:F15"/>
    <mergeCell ref="B17:B18"/>
    <mergeCell ref="C17:C18"/>
    <mergeCell ref="E17:E18"/>
    <mergeCell ref="F17:F18"/>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s>
  <dataValidations count="1">
    <dataValidation allowBlank="1" showInputMessage="1" showErrorMessage="1" promptTitle="Nieuwe regel:" prompt="druk op Alt-Enter" sqref="C6:C8 C17:C19 F6:F8 F17:F19 I6:I8 I17:I19" xr:uid="{00000000-0002-0000-1C00-000000000000}"/>
  </dataValidations>
  <hyperlinks>
    <hyperlink ref="B4" location="'TECHNISCH LEZEN'!A1" display="TECHNISCH LEZEN - klik hier" xr:uid="{00000000-0004-0000-1C00-000000000000}"/>
    <hyperlink ref="E4" location="'TECHNISCH LEZEN'!A1" display="TECHNISCH LEZEN - klik hier" xr:uid="{00000000-0004-0000-1C00-000001000000}"/>
    <hyperlink ref="H4" location="'TECHNISCH LEZEN'!A1" display="TECHNISCH LEZEN - klik hier" xr:uid="{00000000-0004-0000-1C00-000002000000}"/>
    <hyperlink ref="B15" location="'TECHNISCH LEZEN'!A1" display="TECHNISCH LEZEN - klik hier" xr:uid="{00000000-0004-0000-1C00-000003000000}"/>
    <hyperlink ref="E15" location="'TECHNISCH LEZEN'!A1" display="TECHNISCH LEZEN - klik hier" xr:uid="{00000000-0004-0000-1C00-000004000000}"/>
    <hyperlink ref="E4:F4" location="'BEGRIJPEND LEZEN - 2e periode'!A1" display="BEGRIJPEND LEZEN - klik hier" xr:uid="{00000000-0004-0000-1C00-000005000000}"/>
    <hyperlink ref="H4:I4" location="'HOOFDREKENEN - 2e periode'!A1" display="HOOFDREKENEN - klik hier" xr:uid="{00000000-0004-0000-1C00-000006000000}"/>
    <hyperlink ref="B15:C15" location="'SPELLEN - 2e periode'!A1" display="SPELLEN - klik hier" xr:uid="{00000000-0004-0000-1C00-000007000000}"/>
    <hyperlink ref="E15:F15" location="'REKENEN - 2e periode'!A1" display="REKENEN &amp; WISKUNDE - klik hier" xr:uid="{00000000-0004-0000-1C00-000008000000}"/>
    <hyperlink ref="B4:C4" location="'TECHNISCH LEZEN - 2e periode'!A1" display="TECHNISCH LEZEN - klik hier" xr:uid="{00000000-0004-0000-1C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CFFFF"/>
  </sheetPr>
  <dimension ref="B2:I23"/>
  <sheetViews>
    <sheetView showGridLines="0" showRowColHeaders="0" topLeftCell="A4" zoomScale="80" zoomScaleNormal="80" zoomScaleSheetLayoutView="50" workbookViewId="0">
      <selection activeCell="I26" sqref="I26"/>
    </sheetView>
  </sheetViews>
  <sheetFormatPr defaultColWidth="9.140625" defaultRowHeight="12.75" x14ac:dyDescent="0.2"/>
  <cols>
    <col min="1" max="1" width="5.85546875" style="187" customWidth="1"/>
    <col min="2" max="2" width="4.85546875" style="187" customWidth="1"/>
    <col min="3" max="3" width="60.85546875" style="187" customWidth="1"/>
    <col min="4" max="4" width="5.85546875" style="187" customWidth="1"/>
    <col min="5" max="5" width="4.85546875" style="187" customWidth="1"/>
    <col min="6" max="6" width="60.85546875" style="187" customWidth="1"/>
    <col min="7" max="7" width="5.85546875" style="187" customWidth="1"/>
    <col min="8" max="8" width="4.85546875" style="187" customWidth="1"/>
    <col min="9" max="9" width="60.85546875" style="187" customWidth="1"/>
    <col min="10" max="16384" width="9.140625" style="187"/>
  </cols>
  <sheetData>
    <row r="2" spans="2:9" ht="21" x14ac:dyDescent="0.4">
      <c r="B2" s="1099" t="s">
        <v>156</v>
      </c>
      <c r="C2" s="1099"/>
      <c r="D2" s="1099"/>
      <c r="E2" s="1099"/>
      <c r="F2" s="1099"/>
      <c r="G2" s="1099"/>
      <c r="H2" s="1099"/>
      <c r="I2" s="1099"/>
    </row>
    <row r="3" spans="2:9" ht="13.5" thickBot="1" x14ac:dyDescent="0.25"/>
    <row r="4" spans="2:9" s="175" customFormat="1" ht="15.75" thickBot="1" x14ac:dyDescent="0.35">
      <c r="B4" s="1092" t="s">
        <v>157</v>
      </c>
      <c r="C4" s="1093"/>
      <c r="D4" s="190"/>
      <c r="E4" s="1092" t="s">
        <v>158</v>
      </c>
      <c r="F4" s="1093"/>
      <c r="G4" s="190"/>
      <c r="H4" s="1092" t="s">
        <v>134</v>
      </c>
      <c r="I4" s="1093"/>
    </row>
    <row r="5" spans="2:9" ht="13.5" thickBot="1" x14ac:dyDescent="0.25"/>
    <row r="6" spans="2:9" ht="19.5" customHeight="1" x14ac:dyDescent="0.2">
      <c r="B6" s="1094" t="s">
        <v>135</v>
      </c>
      <c r="C6" s="1097" t="s">
        <v>159</v>
      </c>
      <c r="E6" s="1094" t="s">
        <v>135</v>
      </c>
      <c r="F6" s="1097" t="s">
        <v>159</v>
      </c>
      <c r="H6" s="1094" t="s">
        <v>135</v>
      </c>
      <c r="I6" s="1097"/>
    </row>
    <row r="7" spans="2:9" ht="19.5" customHeight="1" x14ac:dyDescent="0.2">
      <c r="B7" s="1084"/>
      <c r="C7" s="1098"/>
      <c r="E7" s="1084"/>
      <c r="F7" s="1098"/>
      <c r="H7" s="1084"/>
      <c r="I7" s="1098"/>
    </row>
    <row r="8" spans="2:9" ht="19.5" customHeight="1" x14ac:dyDescent="0.2">
      <c r="B8" s="1084" t="s">
        <v>137</v>
      </c>
      <c r="C8" s="1089" t="s">
        <v>496</v>
      </c>
      <c r="E8" s="1084" t="s">
        <v>137</v>
      </c>
      <c r="F8" s="1089" t="s">
        <v>497</v>
      </c>
      <c r="H8" s="1084" t="s">
        <v>137</v>
      </c>
      <c r="I8" s="1089"/>
    </row>
    <row r="9" spans="2:9" ht="19.5" customHeight="1" x14ac:dyDescent="0.2">
      <c r="B9" s="1084"/>
      <c r="C9" s="1090"/>
      <c r="E9" s="1084"/>
      <c r="F9" s="1090"/>
      <c r="H9" s="1084"/>
      <c r="I9" s="1090"/>
    </row>
    <row r="10" spans="2:9" ht="19.5" customHeight="1" x14ac:dyDescent="0.2">
      <c r="B10" s="1084"/>
      <c r="C10" s="1090"/>
      <c r="E10" s="1084"/>
      <c r="F10" s="1090"/>
      <c r="H10" s="1084"/>
      <c r="I10" s="1090"/>
    </row>
    <row r="11" spans="2:9" ht="19.5" customHeight="1" x14ac:dyDescent="0.2">
      <c r="B11" s="1084"/>
      <c r="C11" s="1090"/>
      <c r="E11" s="1084"/>
      <c r="F11" s="1090"/>
      <c r="H11" s="1084"/>
      <c r="I11" s="1090"/>
    </row>
    <row r="12" spans="2:9" ht="19.5" customHeight="1" thickBot="1" x14ac:dyDescent="0.25">
      <c r="B12" s="1085"/>
      <c r="C12" s="1091"/>
      <c r="E12" s="1085"/>
      <c r="F12" s="1091"/>
      <c r="H12" s="1085"/>
      <c r="I12" s="1091"/>
    </row>
    <row r="14" spans="2:9" ht="13.5" thickBot="1" x14ac:dyDescent="0.25"/>
    <row r="15" spans="2:9" s="175" customFormat="1" ht="15.75" thickBot="1" x14ac:dyDescent="0.35">
      <c r="B15" s="1092" t="s">
        <v>138</v>
      </c>
      <c r="C15" s="1093"/>
      <c r="D15" s="190"/>
      <c r="E15" s="1092" t="s">
        <v>139</v>
      </c>
      <c r="F15" s="1093"/>
      <c r="G15" s="190"/>
      <c r="H15" s="191"/>
      <c r="I15" s="191"/>
    </row>
    <row r="16" spans="2:9" ht="13.5" thickBot="1" x14ac:dyDescent="0.25">
      <c r="H16" s="192"/>
      <c r="I16" s="192"/>
    </row>
    <row r="17" spans="2:9" ht="19.5" customHeight="1" x14ac:dyDescent="0.2">
      <c r="B17" s="1094" t="s">
        <v>135</v>
      </c>
      <c r="C17" s="1097" t="s">
        <v>159</v>
      </c>
      <c r="E17" s="1094" t="s">
        <v>135</v>
      </c>
      <c r="F17" s="1097" t="s">
        <v>159</v>
      </c>
      <c r="H17" s="193"/>
      <c r="I17" s="178"/>
    </row>
    <row r="18" spans="2:9" ht="19.5" customHeight="1" x14ac:dyDescent="0.2">
      <c r="B18" s="1084"/>
      <c r="C18" s="1098"/>
      <c r="E18" s="1084"/>
      <c r="F18" s="1098"/>
      <c r="H18" s="193"/>
      <c r="I18" s="194"/>
    </row>
    <row r="19" spans="2:9" ht="19.5" customHeight="1" x14ac:dyDescent="0.2">
      <c r="B19" s="1084" t="s">
        <v>137</v>
      </c>
      <c r="C19" s="1089" t="s">
        <v>497</v>
      </c>
      <c r="E19" s="1084" t="s">
        <v>137</v>
      </c>
      <c r="F19" s="1089" t="s">
        <v>498</v>
      </c>
      <c r="H19" s="193"/>
      <c r="I19" s="195"/>
    </row>
    <row r="20" spans="2:9" ht="19.5" customHeight="1" x14ac:dyDescent="0.2">
      <c r="B20" s="1084"/>
      <c r="C20" s="1090"/>
      <c r="E20" s="1084"/>
      <c r="F20" s="1090"/>
      <c r="H20" s="193"/>
      <c r="I20" s="195"/>
    </row>
    <row r="21" spans="2:9" ht="19.5" customHeight="1" x14ac:dyDescent="0.2">
      <c r="B21" s="1084"/>
      <c r="C21" s="1090"/>
      <c r="E21" s="1084"/>
      <c r="F21" s="1090"/>
      <c r="H21" s="193"/>
      <c r="I21" s="195"/>
    </row>
    <row r="22" spans="2:9" ht="19.5" customHeight="1" x14ac:dyDescent="0.2">
      <c r="B22" s="1084"/>
      <c r="C22" s="1090"/>
      <c r="E22" s="1084"/>
      <c r="F22" s="1090"/>
      <c r="H22" s="193"/>
      <c r="I22" s="195"/>
    </row>
    <row r="23" spans="2:9" ht="19.5" customHeight="1" thickBot="1" x14ac:dyDescent="0.25">
      <c r="B23" s="1085"/>
      <c r="C23" s="1091"/>
      <c r="E23" s="1085"/>
      <c r="F23" s="1091"/>
      <c r="H23" s="193"/>
      <c r="I23" s="195"/>
    </row>
  </sheetData>
  <sheetProtection sheet="1" objects="1" scenarios="1"/>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C6:C8 I6:I12 C17:C23 I17:I19 F6:F12 F17:F23" xr:uid="{00000000-0002-0000-1D00-000000000000}"/>
  </dataValidations>
  <hyperlinks>
    <hyperlink ref="B4" location="'TECHNISCH LEZEN'!A1" display="TECHNISCH LEZEN - klik hier" xr:uid="{00000000-0004-0000-1D00-000000000000}"/>
    <hyperlink ref="E4" location="'TECHNISCH LEZEN'!A1" display="TECHNISCH LEZEN - klik hier" xr:uid="{00000000-0004-0000-1D00-000001000000}"/>
    <hyperlink ref="H4" location="'TECHNISCH LEZEN'!A1" display="TECHNISCH LEZEN - klik hier" xr:uid="{00000000-0004-0000-1D00-000002000000}"/>
    <hyperlink ref="B15" location="'TECHNISCH LEZEN'!A1" display="TECHNISCH LEZEN - klik hier" xr:uid="{00000000-0004-0000-1D00-000003000000}"/>
    <hyperlink ref="E15" location="'TECHNISCH LEZEN'!A1" display="TECHNISCH LEZEN - klik hier" xr:uid="{00000000-0004-0000-1D00-000004000000}"/>
    <hyperlink ref="E4:F4" location="'BEGRIJPEND LEZEN - 1e periode'!A1" display="1e periode - BEGRIJPEND LEZEN - klik hier" xr:uid="{00000000-0004-0000-1D00-000005000000}"/>
    <hyperlink ref="H4:I4" location="'HOOFDREKENEN - 1e periode'!A1" display="HOOFDREKENEN - klik hier" xr:uid="{00000000-0004-0000-1D00-000006000000}"/>
    <hyperlink ref="B15:C15" location="'SPELLEN - 1e periode'!A1" display="SPELLEN - klik hier" xr:uid="{00000000-0004-0000-1D00-000007000000}"/>
    <hyperlink ref="E15:F15" location="'REKENEN - 1e periode'!A1" display="REKENEN &amp; WISKUNDE - klik hier" xr:uid="{00000000-0004-0000-1D00-000008000000}"/>
    <hyperlink ref="B4:C4" location="'TECHNISCH LEZEN - 1e periode'!A1" display="TECHNISCH LEZEN - klik hier" xr:uid="{00000000-0004-0000-1D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CFFFF"/>
  </sheetPr>
  <dimension ref="B2:I27"/>
  <sheetViews>
    <sheetView showGridLines="0" showRowColHeaders="0" zoomScale="80" zoomScaleNormal="80" zoomScaleSheetLayoutView="50" workbookViewId="0">
      <selection activeCell="C8" sqref="C8:C12"/>
    </sheetView>
  </sheetViews>
  <sheetFormatPr defaultColWidth="9.140625" defaultRowHeight="12.75" x14ac:dyDescent="0.2"/>
  <cols>
    <col min="1" max="1" width="5.85546875" style="187" customWidth="1"/>
    <col min="2" max="2" width="4.85546875" style="187" customWidth="1"/>
    <col min="3" max="3" width="60.85546875" style="187" customWidth="1"/>
    <col min="4" max="4" width="5.85546875" style="187" customWidth="1"/>
    <col min="5" max="5" width="4.85546875" style="187" customWidth="1"/>
    <col min="6" max="6" width="60.85546875" style="187" customWidth="1"/>
    <col min="7" max="7" width="5.85546875" style="187" customWidth="1"/>
    <col min="8" max="8" width="4.85546875" style="187" customWidth="1"/>
    <col min="9" max="9" width="60.85546875" style="187" customWidth="1"/>
    <col min="10" max="16384" width="9.140625" style="187"/>
  </cols>
  <sheetData>
    <row r="2" spans="2:9" ht="21" x14ac:dyDescent="0.4">
      <c r="B2" s="1099" t="s">
        <v>160</v>
      </c>
      <c r="C2" s="1099"/>
      <c r="D2" s="1099"/>
      <c r="E2" s="1099"/>
      <c r="F2" s="1099"/>
      <c r="G2" s="1099"/>
      <c r="H2" s="1099"/>
      <c r="I2" s="1099"/>
    </row>
    <row r="3" spans="2:9" ht="13.5" thickBot="1" x14ac:dyDescent="0.25"/>
    <row r="4" spans="2:9" s="175" customFormat="1" ht="15.75" thickBot="1" x14ac:dyDescent="0.35">
      <c r="B4" s="1092" t="s">
        <v>154</v>
      </c>
      <c r="C4" s="1093"/>
      <c r="D4" s="190"/>
      <c r="E4" s="1092" t="s">
        <v>155</v>
      </c>
      <c r="F4" s="1093"/>
      <c r="G4" s="190"/>
      <c r="H4" s="1092" t="s">
        <v>134</v>
      </c>
      <c r="I4" s="1093"/>
    </row>
    <row r="5" spans="2:9" ht="13.5" thickBot="1" x14ac:dyDescent="0.25"/>
    <row r="6" spans="2:9" ht="19.5" customHeight="1" x14ac:dyDescent="0.2">
      <c r="B6" s="1094" t="s">
        <v>135</v>
      </c>
      <c r="C6" s="1109"/>
      <c r="E6" s="1094" t="s">
        <v>135</v>
      </c>
      <c r="F6" s="1106"/>
      <c r="H6" s="1094" t="s">
        <v>135</v>
      </c>
      <c r="I6" s="1115"/>
    </row>
    <row r="7" spans="2:9" ht="19.5" customHeight="1" x14ac:dyDescent="0.2">
      <c r="B7" s="1084"/>
      <c r="C7" s="1110"/>
      <c r="E7" s="1084"/>
      <c r="F7" s="1108"/>
      <c r="H7" s="1084"/>
      <c r="I7" s="1110"/>
    </row>
    <row r="8" spans="2:9" ht="19.5" customHeight="1" x14ac:dyDescent="0.2">
      <c r="B8" s="1084" t="s">
        <v>137</v>
      </c>
      <c r="C8" s="1116"/>
      <c r="E8" s="1084" t="s">
        <v>137</v>
      </c>
      <c r="F8" s="1103"/>
      <c r="H8" s="1084" t="s">
        <v>137</v>
      </c>
      <c r="I8" s="1103"/>
    </row>
    <row r="9" spans="2:9" ht="19.5" customHeight="1" x14ac:dyDescent="0.2">
      <c r="B9" s="1084"/>
      <c r="C9" s="1104"/>
      <c r="E9" s="1084"/>
      <c r="F9" s="1111"/>
      <c r="H9" s="1084"/>
      <c r="I9" s="1104"/>
    </row>
    <row r="10" spans="2:9" ht="19.5" customHeight="1" x14ac:dyDescent="0.2">
      <c r="B10" s="1084"/>
      <c r="C10" s="1104"/>
      <c r="E10" s="1084"/>
      <c r="F10" s="1111"/>
      <c r="H10" s="1084"/>
      <c r="I10" s="1104"/>
    </row>
    <row r="11" spans="2:9" ht="19.5" customHeight="1" x14ac:dyDescent="0.2">
      <c r="B11" s="1084"/>
      <c r="C11" s="1104"/>
      <c r="E11" s="1084"/>
      <c r="F11" s="1111"/>
      <c r="H11" s="1084"/>
      <c r="I11" s="1104"/>
    </row>
    <row r="12" spans="2:9" ht="19.5" customHeight="1" thickBot="1" x14ac:dyDescent="0.25">
      <c r="B12" s="1085"/>
      <c r="C12" s="1105"/>
      <c r="E12" s="1085"/>
      <c r="F12" s="1112"/>
      <c r="H12" s="1085"/>
      <c r="I12" s="1105"/>
    </row>
    <row r="14" spans="2:9" ht="13.5" thickBot="1" x14ac:dyDescent="0.25"/>
    <row r="15" spans="2:9" s="175" customFormat="1" ht="15.75" thickBot="1" x14ac:dyDescent="0.35">
      <c r="B15" s="1092" t="s">
        <v>138</v>
      </c>
      <c r="C15" s="1093"/>
      <c r="D15" s="190"/>
      <c r="E15" s="1092" t="s">
        <v>139</v>
      </c>
      <c r="F15" s="1093"/>
      <c r="G15" s="190"/>
      <c r="H15" s="191"/>
      <c r="I15" s="191"/>
    </row>
    <row r="16" spans="2:9" ht="13.5" thickBot="1" x14ac:dyDescent="0.25">
      <c r="H16" s="192"/>
      <c r="I16" s="192"/>
    </row>
    <row r="17" spans="2:9" ht="19.5" customHeight="1" x14ac:dyDescent="0.2">
      <c r="B17" s="1094" t="s">
        <v>135</v>
      </c>
      <c r="C17" s="1109"/>
      <c r="E17" s="1094" t="s">
        <v>135</v>
      </c>
      <c r="F17" s="1109"/>
      <c r="H17" s="193"/>
      <c r="I17" s="178"/>
    </row>
    <row r="18" spans="2:9" ht="19.5" customHeight="1" x14ac:dyDescent="0.2">
      <c r="B18" s="1084"/>
      <c r="C18" s="1110"/>
      <c r="E18" s="1084"/>
      <c r="F18" s="1110"/>
      <c r="H18" s="193"/>
      <c r="I18" s="194"/>
    </row>
    <row r="19" spans="2:9" ht="19.5" customHeight="1" x14ac:dyDescent="0.2">
      <c r="B19" s="1084" t="s">
        <v>137</v>
      </c>
      <c r="C19" s="1103"/>
      <c r="E19" s="1084" t="s">
        <v>137</v>
      </c>
      <c r="F19" s="1103"/>
      <c r="H19" s="193"/>
      <c r="I19" s="195"/>
    </row>
    <row r="20" spans="2:9" ht="19.5" customHeight="1" x14ac:dyDescent="0.2">
      <c r="B20" s="1084"/>
      <c r="C20" s="1104"/>
      <c r="E20" s="1084"/>
      <c r="F20" s="1104"/>
      <c r="H20" s="193"/>
      <c r="I20" s="195"/>
    </row>
    <row r="21" spans="2:9" ht="19.5" customHeight="1" x14ac:dyDescent="0.2">
      <c r="B21" s="1084"/>
      <c r="C21" s="1104"/>
      <c r="E21" s="1084"/>
      <c r="F21" s="1104"/>
      <c r="H21" s="193"/>
      <c r="I21" s="195"/>
    </row>
    <row r="22" spans="2:9" ht="19.5" customHeight="1" x14ac:dyDescent="0.2">
      <c r="B22" s="1084"/>
      <c r="C22" s="1104"/>
      <c r="E22" s="1084"/>
      <c r="F22" s="1104"/>
      <c r="H22" s="193"/>
      <c r="I22" s="195"/>
    </row>
    <row r="23" spans="2:9" ht="19.5" customHeight="1" thickBot="1" x14ac:dyDescent="0.25">
      <c r="B23" s="1085"/>
      <c r="C23" s="1105"/>
      <c r="E23" s="1085"/>
      <c r="F23" s="1105"/>
      <c r="H23" s="193"/>
      <c r="I23" s="195"/>
    </row>
    <row r="25" spans="2:9" x14ac:dyDescent="0.2">
      <c r="H25" s="339" t="s">
        <v>144</v>
      </c>
      <c r="I25" s="340"/>
    </row>
    <row r="26" spans="2:9" x14ac:dyDescent="0.2">
      <c r="H26" s="341" t="s">
        <v>521</v>
      </c>
      <c r="I26" s="342"/>
    </row>
    <row r="27" spans="2:9" x14ac:dyDescent="0.2">
      <c r="H27" s="343" t="s">
        <v>522</v>
      </c>
      <c r="I27" s="344"/>
    </row>
  </sheetData>
  <sheetProtection sheet="1" objects="1" scenarios="1"/>
  <mergeCells count="26">
    <mergeCell ref="B19:B23"/>
    <mergeCell ref="C19:C23"/>
    <mergeCell ref="E19:E23"/>
    <mergeCell ref="F19:F23"/>
    <mergeCell ref="B15:C15"/>
    <mergeCell ref="E15:F15"/>
    <mergeCell ref="B17:B18"/>
    <mergeCell ref="C17:C18"/>
    <mergeCell ref="E17:E18"/>
    <mergeCell ref="F17:F18"/>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s>
  <dataValidations count="1">
    <dataValidation allowBlank="1" showInputMessage="1" showErrorMessage="1" promptTitle="Nieuwe regel:" prompt="druk op Alt-Enter" sqref="C17:C19 F17:F23 C6:C12 I17:I19 I6:I8 F6:F8" xr:uid="{00000000-0002-0000-1E00-000000000000}"/>
  </dataValidations>
  <hyperlinks>
    <hyperlink ref="B4" location="'TECHNISCH LEZEN'!A1" display="TECHNISCH LEZEN - klik hier" xr:uid="{00000000-0004-0000-1E00-000000000000}"/>
    <hyperlink ref="E4" location="'TECHNISCH LEZEN'!A1" display="TECHNISCH LEZEN - klik hier" xr:uid="{00000000-0004-0000-1E00-000001000000}"/>
    <hyperlink ref="H4" location="'TECHNISCH LEZEN'!A1" display="TECHNISCH LEZEN - klik hier" xr:uid="{00000000-0004-0000-1E00-000002000000}"/>
    <hyperlink ref="B15" location="'TECHNISCH LEZEN'!A1" display="TECHNISCH LEZEN - klik hier" xr:uid="{00000000-0004-0000-1E00-000003000000}"/>
    <hyperlink ref="E15" location="'TECHNISCH LEZEN'!A1" display="TECHNISCH LEZEN - klik hier" xr:uid="{00000000-0004-0000-1E00-000004000000}"/>
    <hyperlink ref="E4:F4" location="'BEGRIJPEND LEZEN - 2e periode'!A1" display="2e periode - BEGRIJPEND LEZEN - klik hier" xr:uid="{00000000-0004-0000-1E00-000005000000}"/>
    <hyperlink ref="H4:I4" location="'HOOFDREKENEN - 2e periode'!A1" display="HOOFDREKENEN - klik hier" xr:uid="{00000000-0004-0000-1E00-000006000000}"/>
    <hyperlink ref="B15:C15" location="'SPELLEN - 2e periode'!A1" display="SPELLEN - klik hier" xr:uid="{00000000-0004-0000-1E00-000007000000}"/>
    <hyperlink ref="E15:F15" location="'REKENEN - 2e periode'!A1" display="REKENEN &amp; WISKUNDE - klik hier" xr:uid="{00000000-0004-0000-1E00-000008000000}"/>
    <hyperlink ref="B4:C4" location="'TECHNISCH LEZEN - 2e periode'!A1" display="2e periode - TECHNISCH LEZEN - klik hier" xr:uid="{00000000-0004-0000-1E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26">
    <tabColor rgb="FFCCCCFF"/>
    <pageSetUpPr fitToPage="1"/>
  </sheetPr>
  <dimension ref="B1:V40"/>
  <sheetViews>
    <sheetView showGridLines="0" showRowColHeaders="0" zoomScale="80" zoomScaleNormal="80" zoomScaleSheetLayoutView="100" workbookViewId="0"/>
  </sheetViews>
  <sheetFormatPr defaultRowHeight="12.75" x14ac:dyDescent="0.2"/>
  <cols>
    <col min="1" max="1" width="3.140625" customWidth="1"/>
    <col min="2" max="2" width="4" style="6" bestFit="1" customWidth="1"/>
    <col min="3" max="3" width="25.85546875" style="5" customWidth="1"/>
    <col min="4" max="4" width="5.85546875" style="44" customWidth="1"/>
    <col min="5" max="5" width="9.85546875" style="44" bestFit="1" customWidth="1"/>
    <col min="6" max="6" width="5.85546875" style="44" customWidth="1"/>
    <col min="7" max="7" width="6.85546875" style="44" customWidth="1"/>
    <col min="8" max="8" width="9.140625" customWidth="1"/>
    <col min="9" max="22" width="8.5703125" customWidth="1"/>
  </cols>
  <sheetData>
    <row r="1" spans="2:22" ht="21" x14ac:dyDescent="0.4">
      <c r="B1" s="697"/>
      <c r="C1" s="58"/>
      <c r="N1" s="1119" t="s">
        <v>161</v>
      </c>
      <c r="O1" s="1119"/>
      <c r="P1" s="1119"/>
      <c r="Q1" s="1119"/>
      <c r="S1" s="1119" t="s">
        <v>162</v>
      </c>
      <c r="T1" s="1119"/>
      <c r="U1" s="1119"/>
      <c r="V1" s="1119"/>
    </row>
    <row r="2" spans="2:22" ht="21" customHeight="1" x14ac:dyDescent="0.2">
      <c r="B2" s="710"/>
      <c r="C2" s="711" t="s">
        <v>44</v>
      </c>
      <c r="D2" s="245" t="s">
        <v>43</v>
      </c>
      <c r="E2" s="245" t="s">
        <v>163</v>
      </c>
      <c r="F2" s="245" t="s">
        <v>164</v>
      </c>
      <c r="G2" s="245" t="s">
        <v>165</v>
      </c>
      <c r="I2" s="1120"/>
      <c r="J2" s="1121"/>
      <c r="K2" s="1121"/>
      <c r="L2" s="1122"/>
      <c r="N2" s="335" t="s">
        <v>166</v>
      </c>
      <c r="O2" s="336" t="s">
        <v>167</v>
      </c>
      <c r="P2" s="1117">
        <v>2021</v>
      </c>
      <c r="Q2" s="1118"/>
      <c r="R2" s="44"/>
      <c r="S2" s="335" t="s">
        <v>168</v>
      </c>
      <c r="T2" s="336" t="s">
        <v>169</v>
      </c>
      <c r="U2" s="1117">
        <v>2021</v>
      </c>
      <c r="V2" s="1118"/>
    </row>
    <row r="3" spans="2:22" ht="32.25" hidden="1" customHeight="1" x14ac:dyDescent="0.6">
      <c r="B3" s="710"/>
      <c r="C3" s="712"/>
      <c r="D3" s="598"/>
      <c r="E3" s="311">
        <v>41362</v>
      </c>
      <c r="F3" s="40">
        <f t="shared" ref="F3:F39" ca="1" si="0">IF($E3="","",IF($E3&gt;0,DATEDIF($E3,TODAY(),"y")))</f>
        <v>9</v>
      </c>
      <c r="G3" s="40">
        <f t="shared" ref="G3:G39" ca="1" si="1">IF($E3="","",IF($E3&gt;0,DATEDIF($E3,TODAY(),"ym")))</f>
        <v>8</v>
      </c>
      <c r="H3" s="163"/>
      <c r="I3" s="163"/>
      <c r="J3" s="163"/>
      <c r="K3" s="163"/>
      <c r="L3" s="163"/>
      <c r="N3" s="1"/>
    </row>
    <row r="4" spans="2:22" x14ac:dyDescent="0.2">
      <c r="B4" s="407">
        <v>1</v>
      </c>
      <c r="C4" s="337" t="s">
        <v>528</v>
      </c>
      <c r="D4" s="845"/>
      <c r="E4" s="645">
        <v>40472</v>
      </c>
      <c r="F4" s="40">
        <f t="shared" ca="1" si="0"/>
        <v>12</v>
      </c>
      <c r="G4" s="40">
        <f t="shared" ca="1" si="1"/>
        <v>1</v>
      </c>
    </row>
    <row r="5" spans="2:22" x14ac:dyDescent="0.2">
      <c r="B5" s="407">
        <v>2</v>
      </c>
      <c r="C5" s="337" t="s">
        <v>529</v>
      </c>
      <c r="D5" s="845"/>
      <c r="E5" s="645">
        <v>40393</v>
      </c>
      <c r="F5" s="40">
        <f t="shared" ca="1" si="0"/>
        <v>12</v>
      </c>
      <c r="G5" s="40">
        <f t="shared" ca="1" si="1"/>
        <v>4</v>
      </c>
    </row>
    <row r="6" spans="2:22" ht="12.75" customHeight="1" x14ac:dyDescent="0.4">
      <c r="B6" s="407">
        <v>3</v>
      </c>
      <c r="C6" s="337" t="s">
        <v>530</v>
      </c>
      <c r="D6" s="845"/>
      <c r="E6" s="645">
        <v>40134</v>
      </c>
      <c r="F6" s="40">
        <f t="shared" ca="1" si="0"/>
        <v>13</v>
      </c>
      <c r="G6" s="40">
        <f t="shared" ca="1" si="1"/>
        <v>0</v>
      </c>
      <c r="H6" s="242"/>
      <c r="I6" s="45"/>
    </row>
    <row r="7" spans="2:22" ht="12.75" customHeight="1" x14ac:dyDescent="0.2">
      <c r="B7" s="407">
        <v>4</v>
      </c>
      <c r="C7" s="337" t="s">
        <v>531</v>
      </c>
      <c r="D7" s="845"/>
      <c r="E7" s="645">
        <v>39858</v>
      </c>
      <c r="F7" s="40">
        <f t="shared" ca="1" si="0"/>
        <v>13</v>
      </c>
      <c r="G7" s="40">
        <f t="shared" ca="1" si="1"/>
        <v>9</v>
      </c>
      <c r="H7" s="164"/>
      <c r="I7" s="164"/>
      <c r="J7" s="164"/>
      <c r="K7" s="164"/>
      <c r="L7" s="164"/>
    </row>
    <row r="8" spans="2:22" ht="12.75" customHeight="1" x14ac:dyDescent="0.2">
      <c r="B8" s="407">
        <v>5</v>
      </c>
      <c r="C8" s="337" t="s">
        <v>532</v>
      </c>
      <c r="D8" s="845"/>
      <c r="E8" s="645">
        <v>40408</v>
      </c>
      <c r="F8" s="40">
        <f t="shared" ca="1" si="0"/>
        <v>12</v>
      </c>
      <c r="G8" s="40">
        <f t="shared" ca="1" si="1"/>
        <v>3</v>
      </c>
      <c r="H8" s="164"/>
      <c r="I8" s="164"/>
      <c r="J8" s="164"/>
      <c r="K8" s="164"/>
      <c r="L8" s="164"/>
    </row>
    <row r="9" spans="2:22" ht="12.75" customHeight="1" x14ac:dyDescent="0.2">
      <c r="B9" s="407">
        <v>6</v>
      </c>
      <c r="C9" s="337" t="s">
        <v>533</v>
      </c>
      <c r="D9" s="845"/>
      <c r="E9" s="645">
        <v>40261</v>
      </c>
      <c r="F9" s="40">
        <f t="shared" ca="1" si="0"/>
        <v>12</v>
      </c>
      <c r="G9" s="40">
        <f t="shared" ca="1" si="1"/>
        <v>8</v>
      </c>
      <c r="H9" s="164"/>
      <c r="I9" s="164"/>
      <c r="J9" s="164"/>
      <c r="K9" s="164"/>
      <c r="L9" s="164"/>
    </row>
    <row r="10" spans="2:22" ht="12.75" customHeight="1" x14ac:dyDescent="0.2">
      <c r="B10" s="407">
        <v>7</v>
      </c>
      <c r="C10" s="337" t="s">
        <v>534</v>
      </c>
      <c r="D10" s="845"/>
      <c r="E10" s="846">
        <v>40334</v>
      </c>
      <c r="F10" s="40">
        <f t="shared" ca="1" si="0"/>
        <v>12</v>
      </c>
      <c r="G10" s="40">
        <f t="shared" ca="1" si="1"/>
        <v>6</v>
      </c>
      <c r="H10" s="164"/>
      <c r="I10" s="164"/>
      <c r="J10" s="164"/>
      <c r="K10" s="164"/>
      <c r="L10" s="164"/>
    </row>
    <row r="11" spans="2:22" x14ac:dyDescent="0.2">
      <c r="B11" s="407">
        <v>8</v>
      </c>
      <c r="C11" s="337" t="s">
        <v>535</v>
      </c>
      <c r="D11" s="845"/>
      <c r="E11" s="645">
        <v>40379</v>
      </c>
      <c r="F11" s="40">
        <f t="shared" ca="1" si="0"/>
        <v>12</v>
      </c>
      <c r="G11" s="40">
        <f t="shared" ca="1" si="1"/>
        <v>4</v>
      </c>
    </row>
    <row r="12" spans="2:22" x14ac:dyDescent="0.2">
      <c r="B12" s="407">
        <v>9</v>
      </c>
      <c r="C12" s="337" t="s">
        <v>536</v>
      </c>
      <c r="D12" s="845"/>
      <c r="E12" s="645">
        <v>40469</v>
      </c>
      <c r="F12" s="40">
        <f t="shared" ca="1" si="0"/>
        <v>12</v>
      </c>
      <c r="G12" s="40">
        <f t="shared" ca="1" si="1"/>
        <v>1</v>
      </c>
    </row>
    <row r="13" spans="2:22" x14ac:dyDescent="0.2">
      <c r="B13" s="407">
        <v>10</v>
      </c>
      <c r="C13" s="337" t="s">
        <v>537</v>
      </c>
      <c r="D13" s="845"/>
      <c r="E13" s="645">
        <v>40171</v>
      </c>
      <c r="F13" s="40">
        <f t="shared" ca="1" si="0"/>
        <v>12</v>
      </c>
      <c r="G13" s="40">
        <f t="shared" ca="1" si="1"/>
        <v>11</v>
      </c>
    </row>
    <row r="14" spans="2:22" x14ac:dyDescent="0.2">
      <c r="B14" s="407">
        <v>11</v>
      </c>
      <c r="C14" s="337" t="s">
        <v>538</v>
      </c>
      <c r="D14" s="845"/>
      <c r="E14" s="645">
        <v>40274</v>
      </c>
      <c r="F14" s="40">
        <f t="shared" ca="1" si="0"/>
        <v>12</v>
      </c>
      <c r="G14" s="40">
        <f t="shared" ca="1" si="1"/>
        <v>8</v>
      </c>
    </row>
    <row r="15" spans="2:22" x14ac:dyDescent="0.2">
      <c r="B15" s="407">
        <v>12</v>
      </c>
      <c r="C15" s="337" t="s">
        <v>539</v>
      </c>
      <c r="D15" s="845"/>
      <c r="E15" s="645">
        <v>40203</v>
      </c>
      <c r="F15" s="40">
        <f t="shared" ca="1" si="0"/>
        <v>12</v>
      </c>
      <c r="G15" s="40">
        <f t="shared" ca="1" si="1"/>
        <v>10</v>
      </c>
    </row>
    <row r="16" spans="2:22" x14ac:dyDescent="0.2">
      <c r="B16" s="407">
        <v>13</v>
      </c>
      <c r="C16" s="337" t="s">
        <v>540</v>
      </c>
      <c r="D16" s="845"/>
      <c r="E16" s="645">
        <v>40609</v>
      </c>
      <c r="F16" s="40">
        <f t="shared" ca="1" si="0"/>
        <v>11</v>
      </c>
      <c r="G16" s="40">
        <f t="shared" ca="1" si="1"/>
        <v>8</v>
      </c>
    </row>
    <row r="17" spans="2:7" x14ac:dyDescent="0.2">
      <c r="B17" s="407">
        <v>14</v>
      </c>
      <c r="C17" s="337" t="s">
        <v>541</v>
      </c>
      <c r="D17" s="845"/>
      <c r="E17" s="645">
        <v>40474</v>
      </c>
      <c r="F17" s="40">
        <f t="shared" ca="1" si="0"/>
        <v>12</v>
      </c>
      <c r="G17" s="40">
        <f t="shared" ca="1" si="1"/>
        <v>1</v>
      </c>
    </row>
    <row r="18" spans="2:7" x14ac:dyDescent="0.2">
      <c r="B18" s="407">
        <v>15</v>
      </c>
      <c r="C18" s="337" t="s">
        <v>542</v>
      </c>
      <c r="D18" s="845"/>
      <c r="E18" s="645">
        <v>39864</v>
      </c>
      <c r="F18" s="40">
        <f t="shared" ca="1" si="0"/>
        <v>13</v>
      </c>
      <c r="G18" s="40">
        <f t="shared" ca="1" si="1"/>
        <v>9</v>
      </c>
    </row>
    <row r="19" spans="2:7" x14ac:dyDescent="0.2">
      <c r="B19" s="407">
        <v>16</v>
      </c>
      <c r="C19" s="337" t="s">
        <v>543</v>
      </c>
      <c r="D19" s="845"/>
      <c r="E19" s="645">
        <v>40128</v>
      </c>
      <c r="F19" s="40">
        <f t="shared" ca="1" si="0"/>
        <v>13</v>
      </c>
      <c r="G19" s="40">
        <f t="shared" ca="1" si="1"/>
        <v>0</v>
      </c>
    </row>
    <row r="20" spans="2:7" x14ac:dyDescent="0.2">
      <c r="B20" s="407">
        <v>17</v>
      </c>
      <c r="C20" s="337" t="s">
        <v>544</v>
      </c>
      <c r="D20" s="845"/>
      <c r="E20" s="645">
        <v>40510</v>
      </c>
      <c r="F20" s="40">
        <f t="shared" ca="1" si="0"/>
        <v>12</v>
      </c>
      <c r="G20" s="40">
        <f t="shared" ca="1" si="1"/>
        <v>0</v>
      </c>
    </row>
    <row r="21" spans="2:7" x14ac:dyDescent="0.2">
      <c r="B21" s="407">
        <v>18</v>
      </c>
      <c r="C21" s="337" t="s">
        <v>545</v>
      </c>
      <c r="D21" s="845"/>
      <c r="E21" s="645">
        <v>40153</v>
      </c>
      <c r="F21" s="40">
        <f t="shared" ca="1" si="0"/>
        <v>13</v>
      </c>
      <c r="G21" s="40">
        <f t="shared" ca="1" si="1"/>
        <v>0</v>
      </c>
    </row>
    <row r="22" spans="2:7" x14ac:dyDescent="0.2">
      <c r="B22" s="407">
        <v>19</v>
      </c>
      <c r="C22" s="337" t="s">
        <v>546</v>
      </c>
      <c r="D22" s="845"/>
      <c r="E22" s="645">
        <v>40153</v>
      </c>
      <c r="F22" s="40">
        <f t="shared" ca="1" si="0"/>
        <v>13</v>
      </c>
      <c r="G22" s="40">
        <f t="shared" ca="1" si="1"/>
        <v>0</v>
      </c>
    </row>
    <row r="23" spans="2:7" x14ac:dyDescent="0.2">
      <c r="B23" s="407">
        <v>20</v>
      </c>
      <c r="C23" s="337" t="s">
        <v>547</v>
      </c>
      <c r="D23" s="845"/>
      <c r="E23" s="645">
        <v>40254</v>
      </c>
      <c r="F23" s="40">
        <f t="shared" ca="1" si="0"/>
        <v>12</v>
      </c>
      <c r="G23" s="40">
        <f t="shared" ca="1" si="1"/>
        <v>8</v>
      </c>
    </row>
    <row r="24" spans="2:7" x14ac:dyDescent="0.2">
      <c r="B24" s="407">
        <v>21</v>
      </c>
      <c r="C24" s="337" t="s">
        <v>548</v>
      </c>
      <c r="D24" s="845"/>
      <c r="E24" s="645">
        <v>40248</v>
      </c>
      <c r="F24" s="40">
        <f t="shared" ca="1" si="0"/>
        <v>12</v>
      </c>
      <c r="G24" s="40">
        <f t="shared" ca="1" si="1"/>
        <v>8</v>
      </c>
    </row>
    <row r="25" spans="2:7" x14ac:dyDescent="0.2">
      <c r="B25" s="407">
        <v>22</v>
      </c>
      <c r="C25" s="337" t="s">
        <v>549</v>
      </c>
      <c r="D25" s="845"/>
      <c r="E25" s="645">
        <v>40425</v>
      </c>
      <c r="F25" s="40">
        <f t="shared" ca="1" si="0"/>
        <v>12</v>
      </c>
      <c r="G25" s="40">
        <f t="shared" ca="1" si="1"/>
        <v>3</v>
      </c>
    </row>
    <row r="26" spans="2:7" x14ac:dyDescent="0.2">
      <c r="B26" s="407">
        <v>23</v>
      </c>
      <c r="C26" s="337" t="s">
        <v>550</v>
      </c>
      <c r="D26" s="845"/>
      <c r="E26" s="645">
        <v>40254</v>
      </c>
      <c r="F26" s="40">
        <f t="shared" ca="1" si="0"/>
        <v>12</v>
      </c>
      <c r="G26" s="40">
        <f t="shared" ca="1" si="1"/>
        <v>8</v>
      </c>
    </row>
    <row r="27" spans="2:7" x14ac:dyDescent="0.2">
      <c r="B27" s="407">
        <v>24</v>
      </c>
      <c r="C27" s="337" t="s">
        <v>551</v>
      </c>
      <c r="D27" s="845"/>
      <c r="E27" s="645">
        <v>40425</v>
      </c>
      <c r="F27" s="40">
        <f t="shared" ca="1" si="0"/>
        <v>12</v>
      </c>
      <c r="G27" s="40">
        <f t="shared" ca="1" si="1"/>
        <v>3</v>
      </c>
    </row>
    <row r="28" spans="2:7" x14ac:dyDescent="0.2">
      <c r="B28" s="407">
        <v>25</v>
      </c>
      <c r="C28" s="337" t="s">
        <v>552</v>
      </c>
      <c r="D28" s="845"/>
      <c r="E28" s="645">
        <v>40219</v>
      </c>
      <c r="F28" s="40">
        <f t="shared" ca="1" si="0"/>
        <v>12</v>
      </c>
      <c r="G28" s="40">
        <f t="shared" ca="1" si="1"/>
        <v>9</v>
      </c>
    </row>
    <row r="29" spans="2:7" x14ac:dyDescent="0.2">
      <c r="B29" s="407">
        <v>26</v>
      </c>
      <c r="C29" s="337" t="s">
        <v>553</v>
      </c>
      <c r="D29" s="845"/>
      <c r="E29" s="645">
        <v>40390</v>
      </c>
      <c r="F29" s="40">
        <f t="shared" ca="1" si="0"/>
        <v>12</v>
      </c>
      <c r="G29" s="40">
        <f t="shared" ca="1" si="1"/>
        <v>4</v>
      </c>
    </row>
    <row r="30" spans="2:7" x14ac:dyDescent="0.2">
      <c r="B30" s="407">
        <v>27</v>
      </c>
      <c r="C30" s="337"/>
      <c r="D30" s="338"/>
      <c r="E30" s="597"/>
      <c r="F30" s="40" t="str">
        <f t="shared" ca="1" si="0"/>
        <v/>
      </c>
      <c r="G30" s="40" t="str">
        <f t="shared" ca="1" si="1"/>
        <v/>
      </c>
    </row>
    <row r="31" spans="2:7" x14ac:dyDescent="0.2">
      <c r="B31" s="407">
        <v>28</v>
      </c>
      <c r="C31" s="337"/>
      <c r="D31" s="338"/>
      <c r="E31" s="597"/>
      <c r="F31" s="40" t="str">
        <f t="shared" ca="1" si="0"/>
        <v/>
      </c>
      <c r="G31" s="40" t="str">
        <f t="shared" ca="1" si="1"/>
        <v/>
      </c>
    </row>
    <row r="32" spans="2:7" x14ac:dyDescent="0.2">
      <c r="B32" s="407">
        <v>29</v>
      </c>
      <c r="C32" s="337"/>
      <c r="D32" s="338"/>
      <c r="E32" s="597"/>
      <c r="F32" s="40" t="str">
        <f t="shared" ca="1" si="0"/>
        <v/>
      </c>
      <c r="G32" s="40" t="str">
        <f t="shared" ca="1" si="1"/>
        <v/>
      </c>
    </row>
    <row r="33" spans="2:7" x14ac:dyDescent="0.2">
      <c r="B33" s="407">
        <v>30</v>
      </c>
      <c r="C33" s="337"/>
      <c r="D33" s="338"/>
      <c r="E33" s="597"/>
      <c r="F33" s="40" t="str">
        <f t="shared" ca="1" si="0"/>
        <v/>
      </c>
      <c r="G33" s="40" t="str">
        <f t="shared" ca="1" si="1"/>
        <v/>
      </c>
    </row>
    <row r="34" spans="2:7" x14ac:dyDescent="0.2">
      <c r="B34" s="407">
        <v>31</v>
      </c>
      <c r="C34" s="337"/>
      <c r="D34" s="338"/>
      <c r="E34" s="597"/>
      <c r="F34" s="40" t="str">
        <f t="shared" ca="1" si="0"/>
        <v/>
      </c>
      <c r="G34" s="40" t="str">
        <f t="shared" ca="1" si="1"/>
        <v/>
      </c>
    </row>
    <row r="35" spans="2:7" x14ac:dyDescent="0.2">
      <c r="B35" s="407">
        <v>32</v>
      </c>
      <c r="C35" s="337"/>
      <c r="D35" s="338"/>
      <c r="E35" s="597"/>
      <c r="F35" s="40" t="str">
        <f t="shared" ca="1" si="0"/>
        <v/>
      </c>
      <c r="G35" s="40" t="str">
        <f t="shared" ca="1" si="1"/>
        <v/>
      </c>
    </row>
    <row r="36" spans="2:7" x14ac:dyDescent="0.2">
      <c r="B36" s="407">
        <v>33</v>
      </c>
      <c r="C36" s="337"/>
      <c r="D36" s="338"/>
      <c r="E36" s="597"/>
      <c r="F36" s="40" t="str">
        <f t="shared" ca="1" si="0"/>
        <v/>
      </c>
      <c r="G36" s="40" t="str">
        <f t="shared" ca="1" si="1"/>
        <v/>
      </c>
    </row>
    <row r="37" spans="2:7" x14ac:dyDescent="0.2">
      <c r="B37" s="407">
        <v>34</v>
      </c>
      <c r="C37" s="337"/>
      <c r="D37" s="338"/>
      <c r="E37" s="597"/>
      <c r="F37" s="40" t="str">
        <f t="shared" ca="1" si="0"/>
        <v/>
      </c>
      <c r="G37" s="40" t="str">
        <f t="shared" ca="1" si="1"/>
        <v/>
      </c>
    </row>
    <row r="38" spans="2:7" x14ac:dyDescent="0.2">
      <c r="B38" s="407">
        <v>35</v>
      </c>
      <c r="C38" s="337"/>
      <c r="D38" s="338"/>
      <c r="E38" s="597"/>
      <c r="F38" s="40" t="str">
        <f t="shared" ca="1" si="0"/>
        <v/>
      </c>
      <c r="G38" s="40" t="str">
        <f t="shared" ca="1" si="1"/>
        <v/>
      </c>
    </row>
    <row r="39" spans="2:7" x14ac:dyDescent="0.2">
      <c r="B39" s="699">
        <v>36</v>
      </c>
      <c r="C39" s="337"/>
      <c r="D39" s="338"/>
      <c r="E39" s="597"/>
      <c r="F39" s="40" t="str">
        <f t="shared" ca="1" si="0"/>
        <v/>
      </c>
      <c r="G39" s="40" t="str">
        <f t="shared" ca="1" si="1"/>
        <v/>
      </c>
    </row>
    <row r="40" spans="2:7" x14ac:dyDescent="0.2">
      <c r="B40" s="697"/>
      <c r="C40" s="58" t="s">
        <v>107</v>
      </c>
      <c r="D40" s="713">
        <f>COUNTA(C4:C39)</f>
        <v>26</v>
      </c>
      <c r="E40" s="713"/>
      <c r="F40" s="713"/>
      <c r="G40" s="713"/>
    </row>
  </sheetData>
  <mergeCells count="5">
    <mergeCell ref="P2:Q2"/>
    <mergeCell ref="U2:V2"/>
    <mergeCell ref="N1:Q1"/>
    <mergeCell ref="S1:V1"/>
    <mergeCell ref="I2:L2"/>
  </mergeCells>
  <phoneticPr fontId="9" type="noConversion"/>
  <conditionalFormatting sqref="C30:C33">
    <cfRule type="expression" priority="160" stopIfTrue="1">
      <formula>$L30=""</formula>
    </cfRule>
    <cfRule type="expression" dxfId="1652" priority="161" stopIfTrue="1">
      <formula>$L30&gt;9</formula>
    </cfRule>
    <cfRule type="expression" dxfId="1651" priority="162" stopIfTrue="1">
      <formula>$L30&lt;0</formula>
    </cfRule>
  </conditionalFormatting>
  <conditionalFormatting sqref="C4:C29">
    <cfRule type="expression" priority="1" stopIfTrue="1">
      <formula>$L4=""</formula>
    </cfRule>
    <cfRule type="expression" dxfId="1650" priority="2" stopIfTrue="1">
      <formula>$L4&gt;9</formula>
    </cfRule>
    <cfRule type="expression" dxfId="1649" priority="3" stopIfTrue="1">
      <formula>$L4&lt;0</formula>
    </cfRule>
  </conditionalFormatting>
  <conditionalFormatting sqref="C34">
    <cfRule type="expression" priority="3051" stopIfTrue="1">
      <formula>#REF!=""</formula>
    </cfRule>
    <cfRule type="expression" dxfId="1648" priority="3052" stopIfTrue="1">
      <formula>#REF!&gt;9</formula>
    </cfRule>
    <cfRule type="expression" dxfId="1647" priority="3053" stopIfTrue="1">
      <formula>#REF!&lt;0</formula>
    </cfRule>
  </conditionalFormatting>
  <conditionalFormatting sqref="C35:C38">
    <cfRule type="expression" priority="3057" stopIfTrue="1">
      <formula>#REF!=""</formula>
    </cfRule>
    <cfRule type="expression" dxfId="1646" priority="3058" stopIfTrue="1">
      <formula>#REF!&gt;9</formula>
    </cfRule>
    <cfRule type="expression" dxfId="1645" priority="3059" stopIfTrue="1">
      <formula>#REF!&lt;0</formula>
    </cfRule>
  </conditionalFormatting>
  <conditionalFormatting sqref="C39">
    <cfRule type="expression" priority="3060" stopIfTrue="1">
      <formula>#REF!=""</formula>
    </cfRule>
    <cfRule type="expression" dxfId="1644" priority="3061" stopIfTrue="1">
      <formula>#REF!&gt;9</formula>
    </cfRule>
    <cfRule type="expression" dxfId="1643" priority="3062" stopIfTrue="1">
      <formula>#REF!&lt;0</formula>
    </cfRule>
  </conditionalFormatting>
  <dataValidations count="5">
    <dataValidation type="list" allowBlank="1" showInputMessage="1" showErrorMessage="1" sqref="P2:Q2 U2:V2" xr:uid="{00000000-0002-0000-1F00-000000000000}">
      <formula1>"2018,2019,2020,2021,2022,2023,2024,2025,2026,2027,2028,2029,2030,"</formula1>
    </dataValidation>
    <dataValidation type="list" allowBlank="1" showInputMessage="1" showErrorMessage="1" sqref="O2 T2" xr:uid="{00000000-0002-0000-1F00-000001000000}">
      <formula1>"jan.,feb.,mrt.,apr.,mei.,jun.,jul.,aug.,sep.,okt.,nov.,dec.,"</formula1>
    </dataValidation>
    <dataValidation type="list" allowBlank="1" showInputMessage="1" showErrorMessage="1" sqref="H3:L3" xr:uid="{00000000-0002-0000-1F00-000002000000}">
      <formula1>"groep 4,groep 5,groep 6,groep 7,groep 8,"</formula1>
    </dataValidation>
    <dataValidation type="list" allowBlank="1" showInputMessage="1" showErrorMessage="1" sqref="N2 S2" xr:uid="{00000000-0002-0000-1F00-000003000000}">
      <formula1>"januari.,feb.,mrt.,apr.,mei.,jun.,jul.,aug.,sep.,okt.,nov.,dec.,"</formula1>
    </dataValidation>
    <dataValidation type="list" allowBlank="1" showInputMessage="1" showErrorMessage="1" sqref="I2:L2" xr:uid="{00000000-0002-0000-1F00-000004000000}">
      <formula1>"groep 3,groep 4,groep 5,groep 6,groep 7,groep 8,groep 3-4-5,groep 6-7-8,"</formula1>
    </dataValidation>
  </dataValidations>
  <pageMargins left="0.74803149606299213" right="0.74803149606299213" top="0.98425196850393704" bottom="0.98425196850393704" header="0.51181102362204722" footer="0.51181102362204722"/>
  <pageSetup paperSize="9" scale="64" orientation="landscape" r:id="rId1"/>
  <headerFooter alignWithMargins="0">
    <oddFooter>&amp;R© www.meesterharrie.nl</oddFooter>
  </headerFooter>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CCCCFF"/>
  </sheetPr>
  <dimension ref="B3:AA43"/>
  <sheetViews>
    <sheetView showGridLines="0" showRowColHeaders="0" zoomScale="80" zoomScaleNormal="80" zoomScaleSheetLayoutView="100" workbookViewId="0">
      <pane xSplit="3" topLeftCell="D1" activePane="topRight" state="frozen"/>
      <selection pane="topRight" activeCell="AG26" sqref="AG26"/>
    </sheetView>
  </sheetViews>
  <sheetFormatPr defaultRowHeight="12.75" x14ac:dyDescent="0.2"/>
  <cols>
    <col min="1" max="1" width="3.140625" customWidth="1"/>
    <col min="2" max="2" width="4" style="6" bestFit="1" customWidth="1"/>
    <col min="3" max="3" width="23.140625" style="5" customWidth="1"/>
    <col min="4" max="4" width="5.85546875" style="44" customWidth="1"/>
    <col min="5" max="5" width="21.85546875" style="44" customWidth="1"/>
    <col min="6" max="6" width="5.85546875" style="174" hidden="1" customWidth="1"/>
    <col min="7" max="7" width="3.85546875" customWidth="1"/>
    <col min="8" max="8" width="3.85546875" hidden="1" customWidth="1"/>
    <col min="9" max="9" width="21.85546875" style="44" customWidth="1"/>
    <col min="10" max="10" width="3.85546875" customWidth="1"/>
    <col min="11" max="11" width="3.85546875" hidden="1" customWidth="1"/>
    <col min="12" max="12" width="21.85546875" style="44" customWidth="1"/>
    <col min="13" max="13" width="5.85546875" style="44" customWidth="1"/>
    <col min="14" max="14" width="3.85546875" customWidth="1"/>
    <col min="15" max="15" width="3.85546875" hidden="1" customWidth="1"/>
    <col min="16" max="16" width="21.85546875" style="44" customWidth="1"/>
    <col min="17" max="17" width="5.85546875" style="44" customWidth="1"/>
    <col min="18" max="18" width="3.85546875" customWidth="1"/>
    <col min="19" max="19" width="3.85546875" hidden="1" customWidth="1"/>
    <col min="20" max="20" width="21.85546875" style="44" customWidth="1"/>
    <col min="21" max="21" width="5.85546875" style="44" customWidth="1"/>
    <col min="22" max="22" width="3.85546875" customWidth="1"/>
    <col min="23" max="23" width="3.85546875" hidden="1" customWidth="1"/>
    <col min="24" max="24" width="21.85546875" style="44" customWidth="1"/>
    <col min="25" max="25" width="5.85546875" style="44" customWidth="1"/>
    <col min="26" max="26" width="3.85546875" customWidth="1"/>
    <col min="27" max="27" width="3.85546875" hidden="1" customWidth="1"/>
  </cols>
  <sheetData>
    <row r="3" spans="2:27" x14ac:dyDescent="0.2">
      <c r="B3" s="697"/>
      <c r="C3" s="58"/>
      <c r="L3" s="1123"/>
      <c r="M3" s="1123"/>
      <c r="N3" s="1123"/>
      <c r="O3" s="1123"/>
      <c r="P3" s="1123"/>
      <c r="Q3" s="1123"/>
      <c r="R3" s="1123"/>
      <c r="S3" s="687"/>
      <c r="T3"/>
      <c r="U3"/>
      <c r="X3"/>
      <c r="Y3"/>
    </row>
    <row r="5" spans="2:27" x14ac:dyDescent="0.2">
      <c r="B5" s="697"/>
      <c r="C5" s="714"/>
      <c r="D5" s="576"/>
      <c r="E5" s="577" t="s">
        <v>170</v>
      </c>
      <c r="F5" s="578"/>
      <c r="G5" s="579"/>
      <c r="H5" s="568"/>
      <c r="I5" s="688" t="s">
        <v>170</v>
      </c>
      <c r="J5" s="579"/>
      <c r="K5" s="568"/>
      <c r="L5" s="1124" t="s">
        <v>170</v>
      </c>
      <c r="M5" s="1125"/>
      <c r="N5" s="579"/>
      <c r="O5" s="568"/>
      <c r="P5" s="1124" t="s">
        <v>170</v>
      </c>
      <c r="Q5" s="1125"/>
      <c r="R5" s="579"/>
      <c r="S5" s="568"/>
      <c r="T5" s="1124" t="s">
        <v>170</v>
      </c>
      <c r="U5" s="1125"/>
      <c r="V5" s="579"/>
      <c r="W5" s="568"/>
      <c r="X5" s="1124" t="s">
        <v>170</v>
      </c>
      <c r="Y5" s="1125"/>
      <c r="Z5" s="579"/>
    </row>
    <row r="6" spans="2:27" ht="32.25" customHeight="1" x14ac:dyDescent="0.2">
      <c r="B6" s="715"/>
      <c r="C6" s="716" t="s">
        <v>44</v>
      </c>
      <c r="D6" s="566" t="s">
        <v>43</v>
      </c>
      <c r="E6" s="580" t="s">
        <v>171</v>
      </c>
      <c r="F6" s="567"/>
      <c r="G6" s="581"/>
      <c r="H6" s="232"/>
      <c r="I6" s="589" t="s">
        <v>172</v>
      </c>
      <c r="J6" s="581"/>
      <c r="K6" s="232"/>
      <c r="L6" s="590" t="s">
        <v>173</v>
      </c>
      <c r="M6" s="592" t="s">
        <v>174</v>
      </c>
      <c r="N6" s="591"/>
      <c r="O6" s="232"/>
      <c r="P6" s="590" t="s">
        <v>175</v>
      </c>
      <c r="Q6" s="592" t="s">
        <v>174</v>
      </c>
      <c r="R6" s="591"/>
      <c r="S6" s="232"/>
      <c r="T6" s="590" t="s">
        <v>176</v>
      </c>
      <c r="U6" s="592" t="s">
        <v>174</v>
      </c>
      <c r="V6" s="591"/>
      <c r="W6" s="232"/>
      <c r="X6" s="590" t="s">
        <v>177</v>
      </c>
      <c r="Y6" s="592" t="s">
        <v>174</v>
      </c>
      <c r="Z6" s="591"/>
      <c r="AA6" s="232"/>
    </row>
    <row r="7" spans="2:27" x14ac:dyDescent="0.2">
      <c r="B7" s="569">
        <v>1</v>
      </c>
      <c r="C7" s="570" t="str">
        <f>BEGINBLAD!C4</f>
        <v>leelring 1</v>
      </c>
      <c r="D7" s="571"/>
      <c r="E7" s="582" t="s">
        <v>63</v>
      </c>
      <c r="F7" s="572">
        <f>IF(E7="","",IF(E7="zeer goed",4.75,IF(E7="goed",4,IF(E7="boven gemiddeld",3.25,IF(E7="gemiddeld",2.5,IF(E7="beneden gemiddeld",1.75,IF(E7="zwak",1,IF(E7="zeer zwak",0.25))))))))</f>
        <v>2.5</v>
      </c>
      <c r="G7" s="583" t="str">
        <f t="shared" ref="G7:G40" si="0">IF(E7="","",IF(E7="zeer zwak","E-",IF(E7="zwak","E",IF(E7="beneden gemiddeld","D",IF(E7="gemiddeld","C",IF(E7="boven gemiddeld","B",IF(E7="goed","A",IF(E7="zeer goed","A+"))))))))</f>
        <v>C</v>
      </c>
      <c r="H7" s="571">
        <f>IF(G7="","",IF(G7="A+",5,IF(G7="A",5,IF(G7="B",4,IF(G7="C",3,IF(G7="D",2,IF(G7="E",1,IF(G7="E-",1))))))))</f>
        <v>3</v>
      </c>
      <c r="I7" s="1348" t="str">
        <f>'SIGNALERING HB'!F$5</f>
        <v>goed</v>
      </c>
      <c r="J7" s="583" t="str">
        <f>IF(I7="","",IF(I7="zeer zwak","E-",IF(I7="zwak","E",IF(I7="beneden gemiddeld","D",IF(I7="gemiddeld","C",IF(I7="boven gemiddeld","B",IF(I7="goed","A",IF(I7="zeer goed","A+"))))))))</f>
        <v>A</v>
      </c>
      <c r="K7" s="571">
        <f>IF(J7="","",IF(J7="A+",5,IF(J7="A",5,IF(J7="B",4,IF(J7="C",3,IF(J7="D",2,IF(J7="E",1,IF(J7="E-",1))))))))</f>
        <v>5</v>
      </c>
      <c r="L7" s="582" t="s">
        <v>63</v>
      </c>
      <c r="M7" s="593">
        <v>94</v>
      </c>
      <c r="N7" s="583" t="str">
        <f>IF(L7="","",IF(L7="zeer zwak","E-",IF(L7="zwak","E",IF(L7="beneden gemiddeld","D",IF(L7="gemiddeld","C",IF(L7="boven gemiddeld","B",IF(L7="goed","A",IF(L7="zeer goed","A+"))))))))</f>
        <v>C</v>
      </c>
      <c r="O7" s="571">
        <f>IF(N7="","",IF(N7="A+",5,IF(N7="A",5,IF(N7="B",4,IF(N7="C",3,IF(N7="D",2,IF(N7="E",1,IF(N7="E-",1))))))))</f>
        <v>3</v>
      </c>
      <c r="P7" s="582" t="s">
        <v>63</v>
      </c>
      <c r="Q7" s="593">
        <v>96</v>
      </c>
      <c r="R7" s="583" t="str">
        <f>IF(P7="","",IF(P7="zeer zwak","E-",IF(P7="zwak","E",IF(P7="beneden gemiddeld","D",IF(P7="gemiddeld","C",IF(P7="boven gemiddeld","B",IF(P7="goed","A",IF(P7="zeer goed","A+"))))))))</f>
        <v>C</v>
      </c>
      <c r="S7" s="571">
        <f>IF(R7="","",IF(R7="A+",5,IF(R7="A",5,IF(R7="B",4,IF(R7="C",3,IF(R7="D",2,IF(R7="E",1,IF(R7="E-",1))))))))</f>
        <v>3</v>
      </c>
      <c r="T7" s="582"/>
      <c r="U7" s="593"/>
      <c r="V7" s="583" t="str">
        <f>IF(T7="","",IF(T7="zeer zwak","E-",IF(T7="zwak","E",IF(T7="beneden gemiddeld","D",IF(T7="gemiddeld","C",IF(T7="boven gemiddeld","B",IF(T7="goed","A",IF(T7="zeer goed","A+"))))))))</f>
        <v/>
      </c>
      <c r="W7" s="571" t="str">
        <f>IF(V7="","",IF(V7="A+",5,IF(V7="A",5,IF(V7="B",4,IF(V7="C",3,IF(V7="D",2,IF(V7="E",1,IF(V7="E-",1))))))))</f>
        <v/>
      </c>
      <c r="X7" s="582"/>
      <c r="Y7" s="593"/>
      <c r="Z7" s="583" t="str">
        <f>IF(X7="","",IF(X7="zeer zwak","E-",IF(X7="zwak","E",IF(X7="beneden gemiddeld","D",IF(X7="gemiddeld","C",IF(X7="boven gemiddeld","B",IF(X7="goed","A",IF(X7="zeer goed","A+"))))))))</f>
        <v/>
      </c>
      <c r="AA7" s="402" t="str">
        <f>IF(Z7="","",IF(Z7="A+",5,IF(Z7="A",5,IF(Z7="B",4,IF(Z7="C",3,IF(Z7="D",2,IF(Z7="E",1,IF(Z7="E-",1))))))))</f>
        <v/>
      </c>
    </row>
    <row r="8" spans="2:27" ht="12.75" customHeight="1" x14ac:dyDescent="0.2">
      <c r="B8" s="569">
        <v>2</v>
      </c>
      <c r="C8" s="573" t="str">
        <f>BEGINBLAD!C5</f>
        <v>leerling 2</v>
      </c>
      <c r="D8" s="574"/>
      <c r="E8" s="584" t="s">
        <v>178</v>
      </c>
      <c r="F8" s="572">
        <f t="shared" ref="F8:F42" si="1">IF(E8="","",IF(E8="zeer goed",4.75,IF(E8="goed",4,IF(E8="boven gemiddeld",3.25,IF(E8="gemiddeld",2.5,IF(E8="beneden gemiddeld",1.75,IF(E8="zwak",1,IF(E8="zeer zwak",0.25))))))))</f>
        <v>4</v>
      </c>
      <c r="G8" s="585" t="str">
        <f t="shared" si="0"/>
        <v>A</v>
      </c>
      <c r="H8" s="571">
        <f t="shared" ref="H8:H42" si="2">IF(G8="","",IF(G8="A+",5,IF(G8="A",5,IF(G8="B",4,IF(G8="C",3,IF(G8="D",2,IF(G8="E",1,IF(G8="E-",1))))))))</f>
        <v>5</v>
      </c>
      <c r="I8" s="1349" t="str">
        <f>'SIGNALERING HB'!G$5</f>
        <v>boven gemiddeld</v>
      </c>
      <c r="J8" s="585" t="str">
        <f t="shared" ref="J8:J42" si="3">IF(I8="","",IF(I8="zeer zwak","E-",IF(I8="zwak","E",IF(I8="beneden gemiddeld","D",IF(I8="gemiddeld","C",IF(I8="boven gemiddeld","B",IF(I8="goed","A",IF(I8="zeer goed","A+"))))))))</f>
        <v>B</v>
      </c>
      <c r="K8" s="571">
        <f t="shared" ref="K8:K42" si="4">IF(J8="","",IF(J8="A+",5,IF(J8="A",5,IF(J8="B",4,IF(J8="C",3,IF(J8="D",2,IF(J8="E",1,IF(J8="E-",1))))))))</f>
        <v>4</v>
      </c>
      <c r="L8" s="584" t="s">
        <v>179</v>
      </c>
      <c r="M8" s="594">
        <v>126</v>
      </c>
      <c r="N8" s="585" t="str">
        <f t="shared" ref="N8" si="5">IF(L8="","",IF(L8="zeer zwak","E-",IF(L8="zwak","E",IF(L8="beneden gemiddeld","D",IF(L8="gemiddeld","C",IF(L8="boven gemiddeld","B",IF(L8="goed","A",IF(L8="zeer goed","A+"))))))))</f>
        <v>A+</v>
      </c>
      <c r="O8" s="571">
        <f t="shared" ref="O8:O42" si="6">IF(N8="","",IF(N8="A+",5,IF(N8="A",5,IF(N8="B",4,IF(N8="C",3,IF(N8="D",2,IF(N8="E",1,IF(N8="E-",1))))))))</f>
        <v>5</v>
      </c>
      <c r="P8" s="584" t="s">
        <v>180</v>
      </c>
      <c r="Q8" s="594">
        <v>108</v>
      </c>
      <c r="R8" s="585" t="str">
        <f t="shared" ref="R8" si="7">IF(P8="","",IF(P8="zeer zwak","E-",IF(P8="zwak","E",IF(P8="beneden gemiddeld","D",IF(P8="gemiddeld","C",IF(P8="boven gemiddeld","B",IF(P8="goed","A",IF(P8="zeer goed","A+"))))))))</f>
        <v>B</v>
      </c>
      <c r="S8" s="571">
        <f t="shared" ref="S8:S42" si="8">IF(R8="","",IF(R8="A+",5,IF(R8="A",5,IF(R8="B",4,IF(R8="C",3,IF(R8="D",2,IF(R8="E",1,IF(R8="E-",1))))))))</f>
        <v>4</v>
      </c>
      <c r="T8" s="584"/>
      <c r="U8" s="594"/>
      <c r="V8" s="585" t="str">
        <f t="shared" ref="V8" si="9">IF(T8="","",IF(T8="zeer zwak","E-",IF(T8="zwak","E",IF(T8="beneden gemiddeld","D",IF(T8="gemiddeld","C",IF(T8="boven gemiddeld","B",IF(T8="goed","A",IF(T8="zeer goed","A+"))))))))</f>
        <v/>
      </c>
      <c r="W8" s="571" t="str">
        <f t="shared" ref="W8:W42" si="10">IF(V8="","",IF(V8="A+",5,IF(V8="A",5,IF(V8="B",4,IF(V8="C",3,IF(V8="D",2,IF(V8="E",1,IF(V8="E-",1))))))))</f>
        <v/>
      </c>
      <c r="X8" s="584"/>
      <c r="Y8" s="594"/>
      <c r="Z8" s="585" t="str">
        <f t="shared" ref="Z8" si="11">IF(X8="","",IF(X8="zeer zwak","E-",IF(X8="zwak","E",IF(X8="beneden gemiddeld","D",IF(X8="gemiddeld","C",IF(X8="boven gemiddeld","B",IF(X8="goed","A",IF(X8="zeer goed","A+"))))))))</f>
        <v/>
      </c>
      <c r="AA8" s="402" t="str">
        <f t="shared" ref="AA8:AA42" si="12">IF(Z8="","",IF(Z8="A+",5,IF(Z8="A",5,IF(Z8="B",4,IF(Z8="C",3,IF(Z8="D",2,IF(Z8="E",1,IF(Z8="E-",1))))))))</f>
        <v/>
      </c>
    </row>
    <row r="9" spans="2:27" ht="12.75" customHeight="1" x14ac:dyDescent="0.2">
      <c r="B9" s="569">
        <v>3</v>
      </c>
      <c r="C9" s="570" t="str">
        <f>BEGINBLAD!C6</f>
        <v>leerling 3</v>
      </c>
      <c r="D9" s="571"/>
      <c r="E9" s="582" t="s">
        <v>180</v>
      </c>
      <c r="F9" s="572">
        <f t="shared" si="1"/>
        <v>3.25</v>
      </c>
      <c r="G9" s="583" t="str">
        <f t="shared" si="0"/>
        <v>B</v>
      </c>
      <c r="H9" s="571">
        <f t="shared" si="2"/>
        <v>4</v>
      </c>
      <c r="I9" s="1348" t="str">
        <f>'SIGNALERING HB'!H$5</f>
        <v>gemiddeld</v>
      </c>
      <c r="J9" s="583" t="str">
        <f t="shared" si="3"/>
        <v>C</v>
      </c>
      <c r="K9" s="571">
        <f t="shared" si="4"/>
        <v>3</v>
      </c>
      <c r="L9" s="582" t="s">
        <v>181</v>
      </c>
      <c r="M9" s="595">
        <v>83</v>
      </c>
      <c r="N9" s="583" t="str">
        <f t="shared" ref="N9" si="13">IF(L9="","",IF(L9="zeer zwak","E-",IF(L9="zwak","E",IF(L9="beneden gemiddeld","D",IF(L9="gemiddeld","C",IF(L9="boven gemiddeld","B",IF(L9="goed","A",IF(L9="zeer goed","A+"))))))))</f>
        <v>D</v>
      </c>
      <c r="O9" s="571">
        <f t="shared" si="6"/>
        <v>2</v>
      </c>
      <c r="P9" s="582" t="s">
        <v>181</v>
      </c>
      <c r="Q9" s="595">
        <v>95</v>
      </c>
      <c r="R9" s="583" t="str">
        <f t="shared" ref="R9" si="14">IF(P9="","",IF(P9="zeer zwak","E-",IF(P9="zwak","E",IF(P9="beneden gemiddeld","D",IF(P9="gemiddeld","C",IF(P9="boven gemiddeld","B",IF(P9="goed","A",IF(P9="zeer goed","A+"))))))))</f>
        <v>D</v>
      </c>
      <c r="S9" s="571">
        <f t="shared" si="8"/>
        <v>2</v>
      </c>
      <c r="T9" s="582"/>
      <c r="U9" s="595"/>
      <c r="V9" s="583" t="str">
        <f t="shared" ref="V9" si="15">IF(T9="","",IF(T9="zeer zwak","E-",IF(T9="zwak","E",IF(T9="beneden gemiddeld","D",IF(T9="gemiddeld","C",IF(T9="boven gemiddeld","B",IF(T9="goed","A",IF(T9="zeer goed","A+"))))))))</f>
        <v/>
      </c>
      <c r="W9" s="571" t="str">
        <f t="shared" si="10"/>
        <v/>
      </c>
      <c r="X9" s="582"/>
      <c r="Y9" s="595"/>
      <c r="Z9" s="583" t="str">
        <f t="shared" ref="Z9" si="16">IF(X9="","",IF(X9="zeer zwak","E-",IF(X9="zwak","E",IF(X9="beneden gemiddeld","D",IF(X9="gemiddeld","C",IF(X9="boven gemiddeld","B",IF(X9="goed","A",IF(X9="zeer goed","A+"))))))))</f>
        <v/>
      </c>
      <c r="AA9" s="402" t="str">
        <f t="shared" si="12"/>
        <v/>
      </c>
    </row>
    <row r="10" spans="2:27" ht="12.75" customHeight="1" x14ac:dyDescent="0.2">
      <c r="B10" s="569">
        <v>4</v>
      </c>
      <c r="C10" s="573" t="str">
        <f>BEGINBLAD!C7</f>
        <v>leerling 4</v>
      </c>
      <c r="D10" s="574"/>
      <c r="E10" s="584"/>
      <c r="F10" s="572" t="str">
        <f t="shared" si="1"/>
        <v/>
      </c>
      <c r="G10" s="585" t="str">
        <f t="shared" si="0"/>
        <v/>
      </c>
      <c r="H10" s="571" t="str">
        <f t="shared" si="2"/>
        <v/>
      </c>
      <c r="I10" s="1349" t="str">
        <f>'SIGNALERING HB'!I$5</f>
        <v>beneden gemiddeld</v>
      </c>
      <c r="J10" s="585" t="str">
        <f t="shared" si="3"/>
        <v>D</v>
      </c>
      <c r="K10" s="571">
        <f t="shared" si="4"/>
        <v>2</v>
      </c>
      <c r="L10" s="584"/>
      <c r="M10" s="594"/>
      <c r="N10" s="585" t="str">
        <f t="shared" ref="N10" si="17">IF(L10="","",IF(L10="zeer zwak","E-",IF(L10="zwak","E",IF(L10="beneden gemiddeld","D",IF(L10="gemiddeld","C",IF(L10="boven gemiddeld","B",IF(L10="goed","A",IF(L10="zeer goed","A+"))))))))</f>
        <v/>
      </c>
      <c r="O10" s="571" t="str">
        <f t="shared" si="6"/>
        <v/>
      </c>
      <c r="P10" s="584"/>
      <c r="Q10" s="594"/>
      <c r="R10" s="585" t="str">
        <f t="shared" ref="R10" si="18">IF(P10="","",IF(P10="zeer zwak","E-",IF(P10="zwak","E",IF(P10="beneden gemiddeld","D",IF(P10="gemiddeld","C",IF(P10="boven gemiddeld","B",IF(P10="goed","A",IF(P10="zeer goed","A+"))))))))</f>
        <v/>
      </c>
      <c r="S10" s="571" t="str">
        <f t="shared" si="8"/>
        <v/>
      </c>
      <c r="T10" s="584"/>
      <c r="U10" s="594"/>
      <c r="V10" s="585" t="str">
        <f t="shared" ref="V10" si="19">IF(T10="","",IF(T10="zeer zwak","E-",IF(T10="zwak","E",IF(T10="beneden gemiddeld","D",IF(T10="gemiddeld","C",IF(T10="boven gemiddeld","B",IF(T10="goed","A",IF(T10="zeer goed","A+"))))))))</f>
        <v/>
      </c>
      <c r="W10" s="571" t="str">
        <f t="shared" si="10"/>
        <v/>
      </c>
      <c r="X10" s="584"/>
      <c r="Y10" s="594"/>
      <c r="Z10" s="585" t="str">
        <f t="shared" ref="Z10" si="20">IF(X10="","",IF(X10="zeer zwak","E-",IF(X10="zwak","E",IF(X10="beneden gemiddeld","D",IF(X10="gemiddeld","C",IF(X10="boven gemiddeld","B",IF(X10="goed","A",IF(X10="zeer goed","A+"))))))))</f>
        <v/>
      </c>
      <c r="AA10" s="402" t="str">
        <f t="shared" si="12"/>
        <v/>
      </c>
    </row>
    <row r="11" spans="2:27" ht="12.75" customHeight="1" x14ac:dyDescent="0.2">
      <c r="B11" s="569">
        <v>5</v>
      </c>
      <c r="C11" s="570" t="str">
        <f>BEGINBLAD!C8</f>
        <v>leerling 5</v>
      </c>
      <c r="D11" s="571"/>
      <c r="E11" s="582" t="s">
        <v>63</v>
      </c>
      <c r="F11" s="572">
        <f t="shared" si="1"/>
        <v>2.5</v>
      </c>
      <c r="G11" s="583" t="str">
        <f t="shared" si="0"/>
        <v>C</v>
      </c>
      <c r="H11" s="571">
        <f t="shared" si="2"/>
        <v>3</v>
      </c>
      <c r="I11" s="1348" t="str">
        <f>'SIGNALERING HB'!J$5</f>
        <v>gemiddeld</v>
      </c>
      <c r="J11" s="583" t="str">
        <f t="shared" si="3"/>
        <v>C</v>
      </c>
      <c r="K11" s="571">
        <f t="shared" si="4"/>
        <v>3</v>
      </c>
      <c r="L11" s="582" t="s">
        <v>180</v>
      </c>
      <c r="M11" s="595">
        <v>104</v>
      </c>
      <c r="N11" s="583" t="str">
        <f t="shared" ref="N11" si="21">IF(L11="","",IF(L11="zeer zwak","E-",IF(L11="zwak","E",IF(L11="beneden gemiddeld","D",IF(L11="gemiddeld","C",IF(L11="boven gemiddeld","B",IF(L11="goed","A",IF(L11="zeer goed","A+"))))))))</f>
        <v>B</v>
      </c>
      <c r="O11" s="571">
        <f t="shared" si="6"/>
        <v>4</v>
      </c>
      <c r="P11" s="582" t="s">
        <v>63</v>
      </c>
      <c r="Q11" s="595">
        <v>95</v>
      </c>
      <c r="R11" s="583" t="str">
        <f t="shared" ref="R11" si="22">IF(P11="","",IF(P11="zeer zwak","E-",IF(P11="zwak","E",IF(P11="beneden gemiddeld","D",IF(P11="gemiddeld","C",IF(P11="boven gemiddeld","B",IF(P11="goed","A",IF(P11="zeer goed","A+"))))))))</f>
        <v>C</v>
      </c>
      <c r="S11" s="571">
        <f t="shared" si="8"/>
        <v>3</v>
      </c>
      <c r="T11" s="582"/>
      <c r="U11" s="595"/>
      <c r="V11" s="583" t="str">
        <f t="shared" ref="V11" si="23">IF(T11="","",IF(T11="zeer zwak","E-",IF(T11="zwak","E",IF(T11="beneden gemiddeld","D",IF(T11="gemiddeld","C",IF(T11="boven gemiddeld","B",IF(T11="goed","A",IF(T11="zeer goed","A+"))))))))</f>
        <v/>
      </c>
      <c r="W11" s="571" t="str">
        <f t="shared" si="10"/>
        <v/>
      </c>
      <c r="X11" s="582"/>
      <c r="Y11" s="595"/>
      <c r="Z11" s="583" t="str">
        <f t="shared" ref="Z11" si="24">IF(X11="","",IF(X11="zeer zwak","E-",IF(X11="zwak","E",IF(X11="beneden gemiddeld","D",IF(X11="gemiddeld","C",IF(X11="boven gemiddeld","B",IF(X11="goed","A",IF(X11="zeer goed","A+"))))))))</f>
        <v/>
      </c>
      <c r="AA11" s="402" t="str">
        <f t="shared" si="12"/>
        <v/>
      </c>
    </row>
    <row r="12" spans="2:27" ht="12.75" customHeight="1" x14ac:dyDescent="0.2">
      <c r="B12" s="569">
        <v>6</v>
      </c>
      <c r="C12" s="573" t="str">
        <f>BEGINBLAD!C9</f>
        <v>leerling 6</v>
      </c>
      <c r="D12" s="574"/>
      <c r="E12" s="584" t="s">
        <v>63</v>
      </c>
      <c r="F12" s="572">
        <f t="shared" si="1"/>
        <v>2.5</v>
      </c>
      <c r="G12" s="585" t="str">
        <f t="shared" si="0"/>
        <v>C</v>
      </c>
      <c r="H12" s="571">
        <f t="shared" si="2"/>
        <v>3</v>
      </c>
      <c r="I12" s="1349" t="str">
        <f>'SIGNALERING HB'!K$5</f>
        <v>beneden gemiddeld</v>
      </c>
      <c r="J12" s="585" t="str">
        <f t="shared" si="3"/>
        <v>D</v>
      </c>
      <c r="K12" s="571">
        <f t="shared" si="4"/>
        <v>2</v>
      </c>
      <c r="L12" s="584" t="s">
        <v>180</v>
      </c>
      <c r="M12" s="594">
        <v>103</v>
      </c>
      <c r="N12" s="585" t="str">
        <f t="shared" ref="N12" si="25">IF(L12="","",IF(L12="zeer zwak","E-",IF(L12="zwak","E",IF(L12="beneden gemiddeld","D",IF(L12="gemiddeld","C",IF(L12="boven gemiddeld","B",IF(L12="goed","A",IF(L12="zeer goed","A+"))))))))</f>
        <v>B</v>
      </c>
      <c r="O12" s="571">
        <f t="shared" si="6"/>
        <v>4</v>
      </c>
      <c r="P12" s="584" t="s">
        <v>178</v>
      </c>
      <c r="Q12" s="594">
        <v>114</v>
      </c>
      <c r="R12" s="585" t="str">
        <f t="shared" ref="R12" si="26">IF(P12="","",IF(P12="zeer zwak","E-",IF(P12="zwak","E",IF(P12="beneden gemiddeld","D",IF(P12="gemiddeld","C",IF(P12="boven gemiddeld","B",IF(P12="goed","A",IF(P12="zeer goed","A+"))))))))</f>
        <v>A</v>
      </c>
      <c r="S12" s="571">
        <f t="shared" si="8"/>
        <v>5</v>
      </c>
      <c r="T12" s="584"/>
      <c r="U12" s="594"/>
      <c r="V12" s="585" t="str">
        <f t="shared" ref="V12" si="27">IF(T12="","",IF(T12="zeer zwak","E-",IF(T12="zwak","E",IF(T12="beneden gemiddeld","D",IF(T12="gemiddeld","C",IF(T12="boven gemiddeld","B",IF(T12="goed","A",IF(T12="zeer goed","A+"))))))))</f>
        <v/>
      </c>
      <c r="W12" s="571" t="str">
        <f t="shared" si="10"/>
        <v/>
      </c>
      <c r="X12" s="584"/>
      <c r="Y12" s="594"/>
      <c r="Z12" s="585" t="str">
        <f t="shared" ref="Z12" si="28">IF(X12="","",IF(X12="zeer zwak","E-",IF(X12="zwak","E",IF(X12="beneden gemiddeld","D",IF(X12="gemiddeld","C",IF(X12="boven gemiddeld","B",IF(X12="goed","A",IF(X12="zeer goed","A+"))))))))</f>
        <v/>
      </c>
      <c r="AA12" s="402" t="str">
        <f t="shared" si="12"/>
        <v/>
      </c>
    </row>
    <row r="13" spans="2:27" ht="12.75" customHeight="1" x14ac:dyDescent="0.2">
      <c r="B13" s="569">
        <v>7</v>
      </c>
      <c r="C13" s="570" t="str">
        <f>BEGINBLAD!C10</f>
        <v>leerling 7</v>
      </c>
      <c r="D13" s="571"/>
      <c r="E13" s="582" t="s">
        <v>180</v>
      </c>
      <c r="F13" s="572">
        <f t="shared" si="1"/>
        <v>3.25</v>
      </c>
      <c r="G13" s="583" t="str">
        <f t="shared" si="0"/>
        <v>B</v>
      </c>
      <c r="H13" s="571">
        <f t="shared" si="2"/>
        <v>4</v>
      </c>
      <c r="I13" s="1348" t="str">
        <f>'SIGNALERING HB'!L$5</f>
        <v>beneden gemiddeld</v>
      </c>
      <c r="J13" s="583" t="str">
        <f t="shared" si="3"/>
        <v>D</v>
      </c>
      <c r="K13" s="571">
        <f t="shared" si="4"/>
        <v>2</v>
      </c>
      <c r="L13" s="582" t="s">
        <v>180</v>
      </c>
      <c r="M13" s="595">
        <v>104</v>
      </c>
      <c r="N13" s="583" t="str">
        <f t="shared" ref="N13" si="29">IF(L13="","",IF(L13="zeer zwak","E-",IF(L13="zwak","E",IF(L13="beneden gemiddeld","D",IF(L13="gemiddeld","C",IF(L13="boven gemiddeld","B",IF(L13="goed","A",IF(L13="zeer goed","A+"))))))))</f>
        <v>B</v>
      </c>
      <c r="O13" s="571">
        <f t="shared" si="6"/>
        <v>4</v>
      </c>
      <c r="P13" s="582" t="s">
        <v>178</v>
      </c>
      <c r="Q13" s="595">
        <v>112</v>
      </c>
      <c r="R13" s="583" t="str">
        <f t="shared" ref="R13" si="30">IF(P13="","",IF(P13="zeer zwak","E-",IF(P13="zwak","E",IF(P13="beneden gemiddeld","D",IF(P13="gemiddeld","C",IF(P13="boven gemiddeld","B",IF(P13="goed","A",IF(P13="zeer goed","A+"))))))))</f>
        <v>A</v>
      </c>
      <c r="S13" s="571">
        <f t="shared" si="8"/>
        <v>5</v>
      </c>
      <c r="T13" s="582"/>
      <c r="U13" s="595"/>
      <c r="V13" s="583" t="str">
        <f t="shared" ref="V13" si="31">IF(T13="","",IF(T13="zeer zwak","E-",IF(T13="zwak","E",IF(T13="beneden gemiddeld","D",IF(T13="gemiddeld","C",IF(T13="boven gemiddeld","B",IF(T13="goed","A",IF(T13="zeer goed","A+"))))))))</f>
        <v/>
      </c>
      <c r="W13" s="571" t="str">
        <f t="shared" si="10"/>
        <v/>
      </c>
      <c r="X13" s="582"/>
      <c r="Y13" s="595"/>
      <c r="Z13" s="583" t="str">
        <f t="shared" ref="Z13" si="32">IF(X13="","",IF(X13="zeer zwak","E-",IF(X13="zwak","E",IF(X13="beneden gemiddeld","D",IF(X13="gemiddeld","C",IF(X13="boven gemiddeld","B",IF(X13="goed","A",IF(X13="zeer goed","A+"))))))))</f>
        <v/>
      </c>
      <c r="AA13" s="402" t="str">
        <f t="shared" si="12"/>
        <v/>
      </c>
    </row>
    <row r="14" spans="2:27" x14ac:dyDescent="0.2">
      <c r="B14" s="569">
        <v>8</v>
      </c>
      <c r="C14" s="573" t="str">
        <f>BEGINBLAD!C11</f>
        <v>leerling 8</v>
      </c>
      <c r="D14" s="574"/>
      <c r="E14" s="584" t="s">
        <v>181</v>
      </c>
      <c r="F14" s="572">
        <f t="shared" si="1"/>
        <v>1.75</v>
      </c>
      <c r="G14" s="585" t="str">
        <f t="shared" si="0"/>
        <v>D</v>
      </c>
      <c r="H14" s="571">
        <f t="shared" si="2"/>
        <v>2</v>
      </c>
      <c r="I14" s="1349" t="str">
        <f>'SIGNALERING HB'!M$5</f>
        <v>goed</v>
      </c>
      <c r="J14" s="585" t="str">
        <f t="shared" si="3"/>
        <v>A</v>
      </c>
      <c r="K14" s="571">
        <f t="shared" si="4"/>
        <v>5</v>
      </c>
      <c r="L14" s="584" t="s">
        <v>181</v>
      </c>
      <c r="M14" s="594">
        <v>86</v>
      </c>
      <c r="N14" s="585" t="str">
        <f t="shared" ref="N14" si="33">IF(L14="","",IF(L14="zeer zwak","E-",IF(L14="zwak","E",IF(L14="beneden gemiddeld","D",IF(L14="gemiddeld","C",IF(L14="boven gemiddeld","B",IF(L14="goed","A",IF(L14="zeer goed","A+"))))))))</f>
        <v>D</v>
      </c>
      <c r="O14" s="571">
        <f t="shared" si="6"/>
        <v>2</v>
      </c>
      <c r="P14" s="584" t="s">
        <v>182</v>
      </c>
      <c r="Q14" s="594">
        <v>79</v>
      </c>
      <c r="R14" s="585" t="str">
        <f t="shared" ref="R14" si="34">IF(P14="","",IF(P14="zeer zwak","E-",IF(P14="zwak","E",IF(P14="beneden gemiddeld","D",IF(P14="gemiddeld","C",IF(P14="boven gemiddeld","B",IF(P14="goed","A",IF(P14="zeer goed","A+"))))))))</f>
        <v>E</v>
      </c>
      <c r="S14" s="571">
        <f t="shared" si="8"/>
        <v>1</v>
      </c>
      <c r="T14" s="584"/>
      <c r="U14" s="594"/>
      <c r="V14" s="585" t="str">
        <f t="shared" ref="V14" si="35">IF(T14="","",IF(T14="zeer zwak","E-",IF(T14="zwak","E",IF(T14="beneden gemiddeld","D",IF(T14="gemiddeld","C",IF(T14="boven gemiddeld","B",IF(T14="goed","A",IF(T14="zeer goed","A+"))))))))</f>
        <v/>
      </c>
      <c r="W14" s="571" t="str">
        <f t="shared" si="10"/>
        <v/>
      </c>
      <c r="X14" s="584"/>
      <c r="Y14" s="594"/>
      <c r="Z14" s="585" t="str">
        <f t="shared" ref="Z14" si="36">IF(X14="","",IF(X14="zeer zwak","E-",IF(X14="zwak","E",IF(X14="beneden gemiddeld","D",IF(X14="gemiddeld","C",IF(X14="boven gemiddeld","B",IF(X14="goed","A",IF(X14="zeer goed","A+"))))))))</f>
        <v/>
      </c>
      <c r="AA14" s="402" t="str">
        <f t="shared" si="12"/>
        <v/>
      </c>
    </row>
    <row r="15" spans="2:27" x14ac:dyDescent="0.2">
      <c r="B15" s="569">
        <v>9</v>
      </c>
      <c r="C15" s="570" t="str">
        <f>BEGINBLAD!C12</f>
        <v>leerling 9</v>
      </c>
      <c r="D15" s="571"/>
      <c r="E15" s="582" t="s">
        <v>180</v>
      </c>
      <c r="F15" s="572">
        <f t="shared" si="1"/>
        <v>3.25</v>
      </c>
      <c r="G15" s="583" t="str">
        <f t="shared" si="0"/>
        <v>B</v>
      </c>
      <c r="H15" s="571">
        <f t="shared" si="2"/>
        <v>4</v>
      </c>
      <c r="I15" s="1348" t="str">
        <f>'SIGNALERING HB'!N$5</f>
        <v>gemiddeld</v>
      </c>
      <c r="J15" s="583" t="str">
        <f t="shared" si="3"/>
        <v>C</v>
      </c>
      <c r="K15" s="571">
        <f t="shared" si="4"/>
        <v>3</v>
      </c>
      <c r="L15" s="582" t="s">
        <v>179</v>
      </c>
      <c r="M15" s="595">
        <v>126</v>
      </c>
      <c r="N15" s="583" t="str">
        <f t="shared" ref="N15" si="37">IF(L15="","",IF(L15="zeer zwak","E-",IF(L15="zwak","E",IF(L15="beneden gemiddeld","D",IF(L15="gemiddeld","C",IF(L15="boven gemiddeld","B",IF(L15="goed","A",IF(L15="zeer goed","A+"))))))))</f>
        <v>A+</v>
      </c>
      <c r="O15" s="571">
        <f t="shared" si="6"/>
        <v>5</v>
      </c>
      <c r="P15" s="582" t="s">
        <v>180</v>
      </c>
      <c r="Q15" s="595">
        <v>105</v>
      </c>
      <c r="R15" s="583" t="str">
        <f t="shared" ref="R15" si="38">IF(P15="","",IF(P15="zeer zwak","E-",IF(P15="zwak","E",IF(P15="beneden gemiddeld","D",IF(P15="gemiddeld","C",IF(P15="boven gemiddeld","B",IF(P15="goed","A",IF(P15="zeer goed","A+"))))))))</f>
        <v>B</v>
      </c>
      <c r="S15" s="571">
        <f t="shared" si="8"/>
        <v>4</v>
      </c>
      <c r="T15" s="582"/>
      <c r="U15" s="595"/>
      <c r="V15" s="583" t="str">
        <f t="shared" ref="V15" si="39">IF(T15="","",IF(T15="zeer zwak","E-",IF(T15="zwak","E",IF(T15="beneden gemiddeld","D",IF(T15="gemiddeld","C",IF(T15="boven gemiddeld","B",IF(T15="goed","A",IF(T15="zeer goed","A+"))))))))</f>
        <v/>
      </c>
      <c r="W15" s="571" t="str">
        <f t="shared" si="10"/>
        <v/>
      </c>
      <c r="X15" s="582"/>
      <c r="Y15" s="595"/>
      <c r="Z15" s="583" t="str">
        <f t="shared" ref="Z15" si="40">IF(X15="","",IF(X15="zeer zwak","E-",IF(X15="zwak","E",IF(X15="beneden gemiddeld","D",IF(X15="gemiddeld","C",IF(X15="boven gemiddeld","B",IF(X15="goed","A",IF(X15="zeer goed","A+"))))))))</f>
        <v/>
      </c>
      <c r="AA15" s="402" t="str">
        <f t="shared" si="12"/>
        <v/>
      </c>
    </row>
    <row r="16" spans="2:27" x14ac:dyDescent="0.2">
      <c r="B16" s="569">
        <v>10</v>
      </c>
      <c r="C16" s="573" t="str">
        <f>BEGINBLAD!C13</f>
        <v>leerling 10</v>
      </c>
      <c r="D16" s="574"/>
      <c r="E16" s="584" t="s">
        <v>178</v>
      </c>
      <c r="F16" s="572">
        <f t="shared" si="1"/>
        <v>4</v>
      </c>
      <c r="G16" s="585" t="str">
        <f t="shared" si="0"/>
        <v>A</v>
      </c>
      <c r="H16" s="571">
        <f t="shared" si="2"/>
        <v>5</v>
      </c>
      <c r="I16" s="1349" t="str">
        <f>'SIGNALERING HB'!O$5</f>
        <v>beneden gemiddeld</v>
      </c>
      <c r="J16" s="585" t="str">
        <f t="shared" si="3"/>
        <v>D</v>
      </c>
      <c r="K16" s="571">
        <f t="shared" si="4"/>
        <v>2</v>
      </c>
      <c r="L16" s="584" t="s">
        <v>180</v>
      </c>
      <c r="M16" s="594">
        <v>108</v>
      </c>
      <c r="N16" s="585" t="str">
        <f t="shared" ref="N16" si="41">IF(L16="","",IF(L16="zeer zwak","E-",IF(L16="zwak","E",IF(L16="beneden gemiddeld","D",IF(L16="gemiddeld","C",IF(L16="boven gemiddeld","B",IF(L16="goed","A",IF(L16="zeer goed","A+"))))))))</f>
        <v>B</v>
      </c>
      <c r="O16" s="571">
        <f t="shared" si="6"/>
        <v>4</v>
      </c>
      <c r="P16" s="584" t="s">
        <v>178</v>
      </c>
      <c r="Q16" s="594">
        <v>112</v>
      </c>
      <c r="R16" s="585" t="str">
        <f t="shared" ref="R16" si="42">IF(P16="","",IF(P16="zeer zwak","E-",IF(P16="zwak","E",IF(P16="beneden gemiddeld","D",IF(P16="gemiddeld","C",IF(P16="boven gemiddeld","B",IF(P16="goed","A",IF(P16="zeer goed","A+"))))))))</f>
        <v>A</v>
      </c>
      <c r="S16" s="571">
        <f t="shared" si="8"/>
        <v>5</v>
      </c>
      <c r="T16" s="584"/>
      <c r="U16" s="594"/>
      <c r="V16" s="585" t="str">
        <f t="shared" ref="V16" si="43">IF(T16="","",IF(T16="zeer zwak","E-",IF(T16="zwak","E",IF(T16="beneden gemiddeld","D",IF(T16="gemiddeld","C",IF(T16="boven gemiddeld","B",IF(T16="goed","A",IF(T16="zeer goed","A+"))))))))</f>
        <v/>
      </c>
      <c r="W16" s="571" t="str">
        <f t="shared" si="10"/>
        <v/>
      </c>
      <c r="X16" s="584"/>
      <c r="Y16" s="594"/>
      <c r="Z16" s="585" t="str">
        <f t="shared" ref="Z16" si="44">IF(X16="","",IF(X16="zeer zwak","E-",IF(X16="zwak","E",IF(X16="beneden gemiddeld","D",IF(X16="gemiddeld","C",IF(X16="boven gemiddeld","B",IF(X16="goed","A",IF(X16="zeer goed","A+"))))))))</f>
        <v/>
      </c>
      <c r="AA16" s="402" t="str">
        <f t="shared" si="12"/>
        <v/>
      </c>
    </row>
    <row r="17" spans="2:27" x14ac:dyDescent="0.2">
      <c r="B17" s="569">
        <v>11</v>
      </c>
      <c r="C17" s="570" t="str">
        <f>BEGINBLAD!C14</f>
        <v>leerling 11</v>
      </c>
      <c r="D17" s="571"/>
      <c r="E17" s="582" t="s">
        <v>63</v>
      </c>
      <c r="F17" s="572">
        <f t="shared" si="1"/>
        <v>2.5</v>
      </c>
      <c r="G17" s="583" t="str">
        <f t="shared" si="0"/>
        <v>C</v>
      </c>
      <c r="H17" s="571">
        <f t="shared" si="2"/>
        <v>3</v>
      </c>
      <c r="I17" s="1348" t="str">
        <f>'SIGNALERING HB'!P$5</f>
        <v>boven gemiddeld</v>
      </c>
      <c r="J17" s="583" t="str">
        <f t="shared" si="3"/>
        <v>B</v>
      </c>
      <c r="K17" s="571">
        <f t="shared" si="4"/>
        <v>4</v>
      </c>
      <c r="L17" s="582"/>
      <c r="M17" s="595"/>
      <c r="N17" s="583" t="str">
        <f t="shared" ref="N17" si="45">IF(L17="","",IF(L17="zeer zwak","E-",IF(L17="zwak","E",IF(L17="beneden gemiddeld","D",IF(L17="gemiddeld","C",IF(L17="boven gemiddeld","B",IF(L17="goed","A",IF(L17="zeer goed","A+"))))))))</f>
        <v/>
      </c>
      <c r="O17" s="571" t="str">
        <f t="shared" si="6"/>
        <v/>
      </c>
      <c r="P17" s="582"/>
      <c r="Q17" s="595"/>
      <c r="R17" s="583" t="str">
        <f t="shared" ref="R17" si="46">IF(P17="","",IF(P17="zeer zwak","E-",IF(P17="zwak","E",IF(P17="beneden gemiddeld","D",IF(P17="gemiddeld","C",IF(P17="boven gemiddeld","B",IF(P17="goed","A",IF(P17="zeer goed","A+"))))))))</f>
        <v/>
      </c>
      <c r="S17" s="571" t="str">
        <f t="shared" si="8"/>
        <v/>
      </c>
      <c r="T17" s="582"/>
      <c r="U17" s="595"/>
      <c r="V17" s="583" t="str">
        <f t="shared" ref="V17" si="47">IF(T17="","",IF(T17="zeer zwak","E-",IF(T17="zwak","E",IF(T17="beneden gemiddeld","D",IF(T17="gemiddeld","C",IF(T17="boven gemiddeld","B",IF(T17="goed","A",IF(T17="zeer goed","A+"))))))))</f>
        <v/>
      </c>
      <c r="W17" s="571" t="str">
        <f t="shared" si="10"/>
        <v/>
      </c>
      <c r="X17" s="582"/>
      <c r="Y17" s="595"/>
      <c r="Z17" s="583" t="str">
        <f t="shared" ref="Z17" si="48">IF(X17="","",IF(X17="zeer zwak","E-",IF(X17="zwak","E",IF(X17="beneden gemiddeld","D",IF(X17="gemiddeld","C",IF(X17="boven gemiddeld","B",IF(X17="goed","A",IF(X17="zeer goed","A+"))))))))</f>
        <v/>
      </c>
      <c r="AA17" s="402" t="str">
        <f t="shared" si="12"/>
        <v/>
      </c>
    </row>
    <row r="18" spans="2:27" x14ac:dyDescent="0.2">
      <c r="B18" s="569">
        <v>12</v>
      </c>
      <c r="C18" s="573" t="str">
        <f>BEGINBLAD!C15</f>
        <v>leerling 12</v>
      </c>
      <c r="D18" s="574"/>
      <c r="E18" s="584" t="s">
        <v>63</v>
      </c>
      <c r="F18" s="572">
        <f t="shared" si="1"/>
        <v>2.5</v>
      </c>
      <c r="G18" s="585" t="str">
        <f t="shared" si="0"/>
        <v>C</v>
      </c>
      <c r="H18" s="571">
        <f t="shared" si="2"/>
        <v>3</v>
      </c>
      <c r="I18" s="1349" t="str">
        <f>'SIGNALERING HB'!Q$5</f>
        <v>beneden gemiddeld</v>
      </c>
      <c r="J18" s="585" t="str">
        <f t="shared" si="3"/>
        <v>D</v>
      </c>
      <c r="K18" s="571">
        <f t="shared" si="4"/>
        <v>2</v>
      </c>
      <c r="L18" s="584" t="s">
        <v>181</v>
      </c>
      <c r="M18" s="594">
        <v>85</v>
      </c>
      <c r="N18" s="585" t="str">
        <f t="shared" ref="N18" si="49">IF(L18="","",IF(L18="zeer zwak","E-",IF(L18="zwak","E",IF(L18="beneden gemiddeld","D",IF(L18="gemiddeld","C",IF(L18="boven gemiddeld","B",IF(L18="goed","A",IF(L18="zeer goed","A+"))))))))</f>
        <v>D</v>
      </c>
      <c r="O18" s="571">
        <f t="shared" si="6"/>
        <v>2</v>
      </c>
      <c r="P18" s="584" t="s">
        <v>181</v>
      </c>
      <c r="Q18" s="594">
        <v>85</v>
      </c>
      <c r="R18" s="585" t="str">
        <f t="shared" ref="R18" si="50">IF(P18="","",IF(P18="zeer zwak","E-",IF(P18="zwak","E",IF(P18="beneden gemiddeld","D",IF(P18="gemiddeld","C",IF(P18="boven gemiddeld","B",IF(P18="goed","A",IF(P18="zeer goed","A+"))))))))</f>
        <v>D</v>
      </c>
      <c r="S18" s="571">
        <f t="shared" si="8"/>
        <v>2</v>
      </c>
      <c r="T18" s="584" t="s">
        <v>182</v>
      </c>
      <c r="U18" s="594">
        <v>78</v>
      </c>
      <c r="V18" s="585" t="str">
        <f t="shared" ref="V18" si="51">IF(T18="","",IF(T18="zeer zwak","E-",IF(T18="zwak","E",IF(T18="beneden gemiddeld","D",IF(T18="gemiddeld","C",IF(T18="boven gemiddeld","B",IF(T18="goed","A",IF(T18="zeer goed","A+"))))))))</f>
        <v>E</v>
      </c>
      <c r="W18" s="571">
        <f t="shared" si="10"/>
        <v>1</v>
      </c>
      <c r="X18" s="584"/>
      <c r="Y18" s="594"/>
      <c r="Z18" s="585" t="str">
        <f t="shared" ref="Z18" si="52">IF(X18="","",IF(X18="zeer zwak","E-",IF(X18="zwak","E",IF(X18="beneden gemiddeld","D",IF(X18="gemiddeld","C",IF(X18="boven gemiddeld","B",IF(X18="goed","A",IF(X18="zeer goed","A+"))))))))</f>
        <v/>
      </c>
      <c r="AA18" s="402" t="str">
        <f t="shared" si="12"/>
        <v/>
      </c>
    </row>
    <row r="19" spans="2:27" x14ac:dyDescent="0.2">
      <c r="B19" s="569">
        <v>13</v>
      </c>
      <c r="C19" s="570" t="str">
        <f>BEGINBLAD!C16</f>
        <v>leerling 13</v>
      </c>
      <c r="D19" s="571"/>
      <c r="E19" s="582" t="s">
        <v>179</v>
      </c>
      <c r="F19" s="572">
        <f t="shared" si="1"/>
        <v>4.75</v>
      </c>
      <c r="G19" s="583" t="str">
        <f t="shared" si="0"/>
        <v>A+</v>
      </c>
      <c r="H19" s="571">
        <f t="shared" si="2"/>
        <v>5</v>
      </c>
      <c r="I19" s="1348" t="str">
        <f>'SIGNALERING HB'!R$5</f>
        <v>boven gemiddeld</v>
      </c>
      <c r="J19" s="583" t="str">
        <f t="shared" si="3"/>
        <v>B</v>
      </c>
      <c r="K19" s="571">
        <f t="shared" si="4"/>
        <v>4</v>
      </c>
      <c r="L19" s="582" t="s">
        <v>180</v>
      </c>
      <c r="M19" s="595">
        <v>108</v>
      </c>
      <c r="N19" s="583" t="str">
        <f t="shared" ref="N19" si="53">IF(L19="","",IF(L19="zeer zwak","E-",IF(L19="zwak","E",IF(L19="beneden gemiddeld","D",IF(L19="gemiddeld","C",IF(L19="boven gemiddeld","B",IF(L19="goed","A",IF(L19="zeer goed","A+"))))))))</f>
        <v>B</v>
      </c>
      <c r="O19" s="571">
        <f t="shared" si="6"/>
        <v>4</v>
      </c>
      <c r="P19" s="582" t="s">
        <v>178</v>
      </c>
      <c r="Q19" s="595">
        <v>114</v>
      </c>
      <c r="R19" s="583" t="str">
        <f t="shared" ref="R19" si="54">IF(P19="","",IF(P19="zeer zwak","E-",IF(P19="zwak","E",IF(P19="beneden gemiddeld","D",IF(P19="gemiddeld","C",IF(P19="boven gemiddeld","B",IF(P19="goed","A",IF(P19="zeer goed","A+"))))))))</f>
        <v>A</v>
      </c>
      <c r="S19" s="571">
        <f t="shared" si="8"/>
        <v>5</v>
      </c>
      <c r="T19" s="582" t="s">
        <v>179</v>
      </c>
      <c r="U19" s="595">
        <v>132</v>
      </c>
      <c r="V19" s="583" t="str">
        <f t="shared" ref="V19" si="55">IF(T19="","",IF(T19="zeer zwak","E-",IF(T19="zwak","E",IF(T19="beneden gemiddeld","D",IF(T19="gemiddeld","C",IF(T19="boven gemiddeld","B",IF(T19="goed","A",IF(T19="zeer goed","A+"))))))))</f>
        <v>A+</v>
      </c>
      <c r="W19" s="571">
        <f t="shared" si="10"/>
        <v>5</v>
      </c>
      <c r="X19" s="582"/>
      <c r="Y19" s="595"/>
      <c r="Z19" s="583" t="str">
        <f t="shared" ref="Z19" si="56">IF(X19="","",IF(X19="zeer zwak","E-",IF(X19="zwak","E",IF(X19="beneden gemiddeld","D",IF(X19="gemiddeld","C",IF(X19="boven gemiddeld","B",IF(X19="goed","A",IF(X19="zeer goed","A+"))))))))</f>
        <v/>
      </c>
      <c r="AA19" s="402" t="str">
        <f t="shared" si="12"/>
        <v/>
      </c>
    </row>
    <row r="20" spans="2:27" x14ac:dyDescent="0.2">
      <c r="B20" s="569">
        <v>14</v>
      </c>
      <c r="C20" s="573" t="str">
        <f>BEGINBLAD!C17</f>
        <v>leerling 14</v>
      </c>
      <c r="D20" s="574"/>
      <c r="E20" s="584" t="s">
        <v>178</v>
      </c>
      <c r="F20" s="572">
        <f t="shared" si="1"/>
        <v>4</v>
      </c>
      <c r="G20" s="585" t="str">
        <f t="shared" si="0"/>
        <v>A</v>
      </c>
      <c r="H20" s="571">
        <f t="shared" si="2"/>
        <v>5</v>
      </c>
      <c r="I20" s="1349" t="str">
        <f>'SIGNALERING HB'!S$5</f>
        <v>gemiddeld</v>
      </c>
      <c r="J20" s="585" t="str">
        <f t="shared" si="3"/>
        <v>C</v>
      </c>
      <c r="K20" s="571">
        <f t="shared" si="4"/>
        <v>3</v>
      </c>
      <c r="L20" s="584" t="s">
        <v>179</v>
      </c>
      <c r="M20" s="594">
        <v>121</v>
      </c>
      <c r="N20" s="585" t="str">
        <f t="shared" ref="N20" si="57">IF(L20="","",IF(L20="zeer zwak","E-",IF(L20="zwak","E",IF(L20="beneden gemiddeld","D",IF(L20="gemiddeld","C",IF(L20="boven gemiddeld","B",IF(L20="goed","A",IF(L20="zeer goed","A+"))))))))</f>
        <v>A+</v>
      </c>
      <c r="O20" s="571">
        <f t="shared" si="6"/>
        <v>5</v>
      </c>
      <c r="P20" s="584" t="s">
        <v>179</v>
      </c>
      <c r="Q20" s="594">
        <v>135</v>
      </c>
      <c r="R20" s="585" t="str">
        <f t="shared" ref="R20" si="58">IF(P20="","",IF(P20="zeer zwak","E-",IF(P20="zwak","E",IF(P20="beneden gemiddeld","D",IF(P20="gemiddeld","C",IF(P20="boven gemiddeld","B",IF(P20="goed","A",IF(P20="zeer goed","A+"))))))))</f>
        <v>A+</v>
      </c>
      <c r="S20" s="571">
        <f t="shared" si="8"/>
        <v>5</v>
      </c>
      <c r="T20" s="584" t="s">
        <v>180</v>
      </c>
      <c r="U20" s="594">
        <v>109</v>
      </c>
      <c r="V20" s="585" t="str">
        <f t="shared" ref="V20" si="59">IF(T20="","",IF(T20="zeer zwak","E-",IF(T20="zwak","E",IF(T20="beneden gemiddeld","D",IF(T20="gemiddeld","C",IF(T20="boven gemiddeld","B",IF(T20="goed","A",IF(T20="zeer goed","A+"))))))))</f>
        <v>B</v>
      </c>
      <c r="W20" s="571">
        <f t="shared" si="10"/>
        <v>4</v>
      </c>
      <c r="X20" s="584"/>
      <c r="Y20" s="594"/>
      <c r="Z20" s="585" t="str">
        <f t="shared" ref="Z20" si="60">IF(X20="","",IF(X20="zeer zwak","E-",IF(X20="zwak","E",IF(X20="beneden gemiddeld","D",IF(X20="gemiddeld","C",IF(X20="boven gemiddeld","B",IF(X20="goed","A",IF(X20="zeer goed","A+"))))))))</f>
        <v/>
      </c>
      <c r="AA20" s="402" t="str">
        <f t="shared" si="12"/>
        <v/>
      </c>
    </row>
    <row r="21" spans="2:27" x14ac:dyDescent="0.2">
      <c r="B21" s="569">
        <v>15</v>
      </c>
      <c r="C21" s="570" t="str">
        <f>BEGINBLAD!C18</f>
        <v>leerling 15</v>
      </c>
      <c r="D21" s="571"/>
      <c r="E21" s="582" t="s">
        <v>178</v>
      </c>
      <c r="F21" s="572">
        <f t="shared" si="1"/>
        <v>4</v>
      </c>
      <c r="G21" s="583" t="str">
        <f t="shared" si="0"/>
        <v>A</v>
      </c>
      <c r="H21" s="571">
        <f t="shared" si="2"/>
        <v>5</v>
      </c>
      <c r="I21" s="1348" t="str">
        <f>'SIGNALERING HB'!T$5</f>
        <v>gemiddeld</v>
      </c>
      <c r="J21" s="583" t="str">
        <f t="shared" si="3"/>
        <v>C</v>
      </c>
      <c r="K21" s="571">
        <f t="shared" si="4"/>
        <v>3</v>
      </c>
      <c r="L21" s="582" t="s">
        <v>178</v>
      </c>
      <c r="M21" s="595">
        <v>117</v>
      </c>
      <c r="N21" s="583" t="str">
        <f t="shared" ref="N21" si="61">IF(L21="","",IF(L21="zeer zwak","E-",IF(L21="zwak","E",IF(L21="beneden gemiddeld","D",IF(L21="gemiddeld","C",IF(L21="boven gemiddeld","B",IF(L21="goed","A",IF(L21="zeer goed","A+"))))))))</f>
        <v>A</v>
      </c>
      <c r="O21" s="571">
        <f t="shared" si="6"/>
        <v>5</v>
      </c>
      <c r="P21" s="582" t="s">
        <v>178</v>
      </c>
      <c r="Q21" s="595">
        <v>114</v>
      </c>
      <c r="R21" s="583" t="str">
        <f t="shared" ref="R21" si="62">IF(P21="","",IF(P21="zeer zwak","E-",IF(P21="zwak","E",IF(P21="beneden gemiddeld","D",IF(P21="gemiddeld","C",IF(P21="boven gemiddeld","B",IF(P21="goed","A",IF(P21="zeer goed","A+"))))))))</f>
        <v>A</v>
      </c>
      <c r="S21" s="571">
        <f t="shared" si="8"/>
        <v>5</v>
      </c>
      <c r="T21" s="582" t="s">
        <v>180</v>
      </c>
      <c r="U21" s="595">
        <v>108</v>
      </c>
      <c r="V21" s="583" t="str">
        <f t="shared" ref="V21" si="63">IF(T21="","",IF(T21="zeer zwak","E-",IF(T21="zwak","E",IF(T21="beneden gemiddeld","D",IF(T21="gemiddeld","C",IF(T21="boven gemiddeld","B",IF(T21="goed","A",IF(T21="zeer goed","A+"))))))))</f>
        <v>B</v>
      </c>
      <c r="W21" s="571">
        <f t="shared" si="10"/>
        <v>4</v>
      </c>
      <c r="X21" s="582"/>
      <c r="Y21" s="595"/>
      <c r="Z21" s="583" t="str">
        <f t="shared" ref="Z21" si="64">IF(X21="","",IF(X21="zeer zwak","E-",IF(X21="zwak","E",IF(X21="beneden gemiddeld","D",IF(X21="gemiddeld","C",IF(X21="boven gemiddeld","B",IF(X21="goed","A",IF(X21="zeer goed","A+"))))))))</f>
        <v/>
      </c>
      <c r="AA21" s="402" t="str">
        <f t="shared" si="12"/>
        <v/>
      </c>
    </row>
    <row r="22" spans="2:27" x14ac:dyDescent="0.2">
      <c r="B22" s="569">
        <v>16</v>
      </c>
      <c r="C22" s="573" t="str">
        <f>BEGINBLAD!C19</f>
        <v>leerling 16</v>
      </c>
      <c r="D22" s="574"/>
      <c r="E22" s="584" t="s">
        <v>178</v>
      </c>
      <c r="F22" s="572">
        <f t="shared" si="1"/>
        <v>4</v>
      </c>
      <c r="G22" s="585" t="str">
        <f t="shared" si="0"/>
        <v>A</v>
      </c>
      <c r="H22" s="571">
        <f t="shared" si="2"/>
        <v>5</v>
      </c>
      <c r="I22" s="1349" t="str">
        <f>'SIGNALERING HB'!U$5</f>
        <v>gemiddeld</v>
      </c>
      <c r="J22" s="585" t="str">
        <f t="shared" si="3"/>
        <v>C</v>
      </c>
      <c r="K22" s="571">
        <f t="shared" si="4"/>
        <v>3</v>
      </c>
      <c r="L22" s="584" t="s">
        <v>180</v>
      </c>
      <c r="M22" s="594">
        <v>109</v>
      </c>
      <c r="N22" s="585" t="str">
        <f t="shared" ref="N22" si="65">IF(L22="","",IF(L22="zeer zwak","E-",IF(L22="zwak","E",IF(L22="beneden gemiddeld","D",IF(L22="gemiddeld","C",IF(L22="boven gemiddeld","B",IF(L22="goed","A",IF(L22="zeer goed","A+"))))))))</f>
        <v>B</v>
      </c>
      <c r="O22" s="571">
        <f t="shared" si="6"/>
        <v>4</v>
      </c>
      <c r="P22" s="584" t="s">
        <v>63</v>
      </c>
      <c r="Q22" s="594">
        <v>96</v>
      </c>
      <c r="R22" s="585" t="str">
        <f t="shared" ref="R22" si="66">IF(P22="","",IF(P22="zeer zwak","E-",IF(P22="zwak","E",IF(P22="beneden gemiddeld","D",IF(P22="gemiddeld","C",IF(P22="boven gemiddeld","B",IF(P22="goed","A",IF(P22="zeer goed","A+"))))))))</f>
        <v>C</v>
      </c>
      <c r="S22" s="571">
        <f t="shared" si="8"/>
        <v>3</v>
      </c>
      <c r="T22" s="584" t="s">
        <v>178</v>
      </c>
      <c r="U22" s="594">
        <v>113</v>
      </c>
      <c r="V22" s="585" t="str">
        <f t="shared" ref="V22" si="67">IF(T22="","",IF(T22="zeer zwak","E-",IF(T22="zwak","E",IF(T22="beneden gemiddeld","D",IF(T22="gemiddeld","C",IF(T22="boven gemiddeld","B",IF(T22="goed","A",IF(T22="zeer goed","A+"))))))))</f>
        <v>A</v>
      </c>
      <c r="W22" s="571">
        <f t="shared" si="10"/>
        <v>5</v>
      </c>
      <c r="X22" s="584"/>
      <c r="Y22" s="594"/>
      <c r="Z22" s="585" t="str">
        <f t="shared" ref="Z22" si="68">IF(X22="","",IF(X22="zeer zwak","E-",IF(X22="zwak","E",IF(X22="beneden gemiddeld","D",IF(X22="gemiddeld","C",IF(X22="boven gemiddeld","B",IF(X22="goed","A",IF(X22="zeer goed","A+"))))))))</f>
        <v/>
      </c>
      <c r="AA22" s="402" t="str">
        <f t="shared" si="12"/>
        <v/>
      </c>
    </row>
    <row r="23" spans="2:27" x14ac:dyDescent="0.2">
      <c r="B23" s="569">
        <v>17</v>
      </c>
      <c r="C23" s="570" t="str">
        <f>BEGINBLAD!C20</f>
        <v>leerling 17</v>
      </c>
      <c r="D23" s="571"/>
      <c r="E23" s="582" t="s">
        <v>178</v>
      </c>
      <c r="F23" s="572">
        <f t="shared" si="1"/>
        <v>4</v>
      </c>
      <c r="G23" s="583" t="str">
        <f t="shared" si="0"/>
        <v>A</v>
      </c>
      <c r="H23" s="571">
        <f t="shared" si="2"/>
        <v>5</v>
      </c>
      <c r="I23" s="1348" t="str">
        <f>'SIGNALERING HB'!V$5</f>
        <v>gemiddeld</v>
      </c>
      <c r="J23" s="583" t="str">
        <f t="shared" si="3"/>
        <v>C</v>
      </c>
      <c r="K23" s="571">
        <f t="shared" si="4"/>
        <v>3</v>
      </c>
      <c r="L23" s="582" t="s">
        <v>180</v>
      </c>
      <c r="M23" s="595">
        <v>103</v>
      </c>
      <c r="N23" s="583" t="str">
        <f t="shared" ref="N23" si="69">IF(L23="","",IF(L23="zeer zwak","E-",IF(L23="zwak","E",IF(L23="beneden gemiddeld","D",IF(L23="gemiddeld","C",IF(L23="boven gemiddeld","B",IF(L23="goed","A",IF(L23="zeer goed","A+"))))))))</f>
        <v>B</v>
      </c>
      <c r="O23" s="571">
        <f t="shared" si="6"/>
        <v>4</v>
      </c>
      <c r="P23" s="582" t="s">
        <v>63</v>
      </c>
      <c r="Q23" s="595">
        <v>96</v>
      </c>
      <c r="R23" s="583" t="str">
        <f t="shared" ref="R23" si="70">IF(P23="","",IF(P23="zeer zwak","E-",IF(P23="zwak","E",IF(P23="beneden gemiddeld","D",IF(P23="gemiddeld","C",IF(P23="boven gemiddeld","B",IF(P23="goed","A",IF(P23="zeer goed","A+"))))))))</f>
        <v>C</v>
      </c>
      <c r="S23" s="571">
        <f t="shared" si="8"/>
        <v>3</v>
      </c>
      <c r="T23" s="582" t="s">
        <v>178</v>
      </c>
      <c r="U23" s="595">
        <v>113</v>
      </c>
      <c r="V23" s="583" t="str">
        <f t="shared" ref="V23" si="71">IF(T23="","",IF(T23="zeer zwak","E-",IF(T23="zwak","E",IF(T23="beneden gemiddeld","D",IF(T23="gemiddeld","C",IF(T23="boven gemiddeld","B",IF(T23="goed","A",IF(T23="zeer goed","A+"))))))))</f>
        <v>A</v>
      </c>
      <c r="W23" s="571">
        <f t="shared" si="10"/>
        <v>5</v>
      </c>
      <c r="X23" s="582"/>
      <c r="Y23" s="595"/>
      <c r="Z23" s="583" t="str">
        <f t="shared" ref="Z23" si="72">IF(X23="","",IF(X23="zeer zwak","E-",IF(X23="zwak","E",IF(X23="beneden gemiddeld","D",IF(X23="gemiddeld","C",IF(X23="boven gemiddeld","B",IF(X23="goed","A",IF(X23="zeer goed","A+"))))))))</f>
        <v/>
      </c>
      <c r="AA23" s="402" t="str">
        <f t="shared" si="12"/>
        <v/>
      </c>
    </row>
    <row r="24" spans="2:27" x14ac:dyDescent="0.2">
      <c r="B24" s="569">
        <v>18</v>
      </c>
      <c r="C24" s="573" t="str">
        <f>BEGINBLAD!C21</f>
        <v>leerling 18</v>
      </c>
      <c r="D24" s="574"/>
      <c r="E24" s="584"/>
      <c r="F24" s="572" t="str">
        <f t="shared" si="1"/>
        <v/>
      </c>
      <c r="G24" s="585" t="str">
        <f t="shared" si="0"/>
        <v/>
      </c>
      <c r="H24" s="571" t="str">
        <f t="shared" si="2"/>
        <v/>
      </c>
      <c r="I24" s="1349" t="str">
        <f>'SIGNALERING HB'!W$5</f>
        <v>gemiddeld</v>
      </c>
      <c r="J24" s="585" t="str">
        <f t="shared" si="3"/>
        <v>C</v>
      </c>
      <c r="K24" s="571">
        <f t="shared" si="4"/>
        <v>3</v>
      </c>
      <c r="L24" s="584"/>
      <c r="M24" s="594"/>
      <c r="N24" s="585" t="str">
        <f t="shared" ref="N24" si="73">IF(L24="","",IF(L24="zeer zwak","E-",IF(L24="zwak","E",IF(L24="beneden gemiddeld","D",IF(L24="gemiddeld","C",IF(L24="boven gemiddeld","B",IF(L24="goed","A",IF(L24="zeer goed","A+"))))))))</f>
        <v/>
      </c>
      <c r="O24" s="571" t="str">
        <f t="shared" si="6"/>
        <v/>
      </c>
      <c r="P24" s="584"/>
      <c r="Q24" s="594"/>
      <c r="R24" s="585" t="str">
        <f t="shared" ref="R24" si="74">IF(P24="","",IF(P24="zeer zwak","E-",IF(P24="zwak","E",IF(P24="beneden gemiddeld","D",IF(P24="gemiddeld","C",IF(P24="boven gemiddeld","B",IF(P24="goed","A",IF(P24="zeer goed","A+"))))))))</f>
        <v/>
      </c>
      <c r="S24" s="571" t="str">
        <f t="shared" si="8"/>
        <v/>
      </c>
      <c r="T24" s="584"/>
      <c r="U24" s="594"/>
      <c r="V24" s="585" t="str">
        <f t="shared" ref="V24" si="75">IF(T24="","",IF(T24="zeer zwak","E-",IF(T24="zwak","E",IF(T24="beneden gemiddeld","D",IF(T24="gemiddeld","C",IF(T24="boven gemiddeld","B",IF(T24="goed","A",IF(T24="zeer goed","A+"))))))))</f>
        <v/>
      </c>
      <c r="W24" s="571" t="str">
        <f t="shared" si="10"/>
        <v/>
      </c>
      <c r="X24" s="584"/>
      <c r="Y24" s="594"/>
      <c r="Z24" s="585" t="str">
        <f t="shared" ref="Z24" si="76">IF(X24="","",IF(X24="zeer zwak","E-",IF(X24="zwak","E",IF(X24="beneden gemiddeld","D",IF(X24="gemiddeld","C",IF(X24="boven gemiddeld","B",IF(X24="goed","A",IF(X24="zeer goed","A+"))))))))</f>
        <v/>
      </c>
      <c r="AA24" s="402" t="str">
        <f t="shared" si="12"/>
        <v/>
      </c>
    </row>
    <row r="25" spans="2:27" x14ac:dyDescent="0.2">
      <c r="B25" s="569">
        <v>19</v>
      </c>
      <c r="C25" s="570" t="str">
        <f>BEGINBLAD!C22</f>
        <v>leerling 19</v>
      </c>
      <c r="D25" s="571"/>
      <c r="E25" s="582"/>
      <c r="F25" s="572" t="str">
        <f t="shared" si="1"/>
        <v/>
      </c>
      <c r="G25" s="583" t="str">
        <f t="shared" si="0"/>
        <v/>
      </c>
      <c r="H25" s="571" t="str">
        <f t="shared" si="2"/>
        <v/>
      </c>
      <c r="I25" s="1348" t="str">
        <f>'SIGNALERING HB'!X$5</f>
        <v>zwak</v>
      </c>
      <c r="J25" s="583" t="str">
        <f t="shared" si="3"/>
        <v>E</v>
      </c>
      <c r="K25" s="571">
        <f t="shared" si="4"/>
        <v>1</v>
      </c>
      <c r="L25" s="582"/>
      <c r="M25" s="595"/>
      <c r="N25" s="583" t="str">
        <f t="shared" ref="N25" si="77">IF(L25="","",IF(L25="zeer zwak","E-",IF(L25="zwak","E",IF(L25="beneden gemiddeld","D",IF(L25="gemiddeld","C",IF(L25="boven gemiddeld","B",IF(L25="goed","A",IF(L25="zeer goed","A+"))))))))</f>
        <v/>
      </c>
      <c r="O25" s="571" t="str">
        <f t="shared" si="6"/>
        <v/>
      </c>
      <c r="P25" s="582"/>
      <c r="Q25" s="595"/>
      <c r="R25" s="583" t="str">
        <f t="shared" ref="R25" si="78">IF(P25="","",IF(P25="zeer zwak","E-",IF(P25="zwak","E",IF(P25="beneden gemiddeld","D",IF(P25="gemiddeld","C",IF(P25="boven gemiddeld","B",IF(P25="goed","A",IF(P25="zeer goed","A+"))))))))</f>
        <v/>
      </c>
      <c r="S25" s="571" t="str">
        <f t="shared" si="8"/>
        <v/>
      </c>
      <c r="T25" s="582"/>
      <c r="U25" s="595"/>
      <c r="V25" s="583" t="str">
        <f t="shared" ref="V25" si="79">IF(T25="","",IF(T25="zeer zwak","E-",IF(T25="zwak","E",IF(T25="beneden gemiddeld","D",IF(T25="gemiddeld","C",IF(T25="boven gemiddeld","B",IF(T25="goed","A",IF(T25="zeer goed","A+"))))))))</f>
        <v/>
      </c>
      <c r="W25" s="571" t="str">
        <f t="shared" si="10"/>
        <v/>
      </c>
      <c r="X25" s="582"/>
      <c r="Y25" s="595"/>
      <c r="Z25" s="583" t="str">
        <f t="shared" ref="Z25" si="80">IF(X25="","",IF(X25="zeer zwak","E-",IF(X25="zwak","E",IF(X25="beneden gemiddeld","D",IF(X25="gemiddeld","C",IF(X25="boven gemiddeld","B",IF(X25="goed","A",IF(X25="zeer goed","A+"))))))))</f>
        <v/>
      </c>
      <c r="AA25" s="402" t="str">
        <f t="shared" si="12"/>
        <v/>
      </c>
    </row>
    <row r="26" spans="2:27" x14ac:dyDescent="0.2">
      <c r="B26" s="569">
        <v>20</v>
      </c>
      <c r="C26" s="573" t="str">
        <f>BEGINBLAD!C23</f>
        <v>leerling 20</v>
      </c>
      <c r="D26" s="574"/>
      <c r="E26" s="584"/>
      <c r="F26" s="572" t="str">
        <f t="shared" si="1"/>
        <v/>
      </c>
      <c r="G26" s="585" t="str">
        <f t="shared" si="0"/>
        <v/>
      </c>
      <c r="H26" s="571" t="str">
        <f t="shared" si="2"/>
        <v/>
      </c>
      <c r="I26" s="1349" t="str">
        <f>'SIGNALERING HB'!Y$5</f>
        <v>boven gemiddeld</v>
      </c>
      <c r="J26" s="585" t="str">
        <f t="shared" si="3"/>
        <v>B</v>
      </c>
      <c r="K26" s="571">
        <f t="shared" si="4"/>
        <v>4</v>
      </c>
      <c r="L26" s="584"/>
      <c r="M26" s="594"/>
      <c r="N26" s="585" t="str">
        <f t="shared" ref="N26" si="81">IF(L26="","",IF(L26="zeer zwak","E-",IF(L26="zwak","E",IF(L26="beneden gemiddeld","D",IF(L26="gemiddeld","C",IF(L26="boven gemiddeld","B",IF(L26="goed","A",IF(L26="zeer goed","A+"))))))))</f>
        <v/>
      </c>
      <c r="O26" s="571" t="str">
        <f t="shared" si="6"/>
        <v/>
      </c>
      <c r="P26" s="584"/>
      <c r="Q26" s="594"/>
      <c r="R26" s="585" t="str">
        <f t="shared" ref="R26" si="82">IF(P26="","",IF(P26="zeer zwak","E-",IF(P26="zwak","E",IF(P26="beneden gemiddeld","D",IF(P26="gemiddeld","C",IF(P26="boven gemiddeld","B",IF(P26="goed","A",IF(P26="zeer goed","A+"))))))))</f>
        <v/>
      </c>
      <c r="S26" s="571" t="str">
        <f t="shared" si="8"/>
        <v/>
      </c>
      <c r="T26" s="584"/>
      <c r="U26" s="594"/>
      <c r="V26" s="585" t="str">
        <f t="shared" ref="V26" si="83">IF(T26="","",IF(T26="zeer zwak","E-",IF(T26="zwak","E",IF(T26="beneden gemiddeld","D",IF(T26="gemiddeld","C",IF(T26="boven gemiddeld","B",IF(T26="goed","A",IF(T26="zeer goed","A+"))))))))</f>
        <v/>
      </c>
      <c r="W26" s="571" t="str">
        <f t="shared" si="10"/>
        <v/>
      </c>
      <c r="X26" s="584"/>
      <c r="Y26" s="594"/>
      <c r="Z26" s="585" t="str">
        <f t="shared" ref="Z26" si="84">IF(X26="","",IF(X26="zeer zwak","E-",IF(X26="zwak","E",IF(X26="beneden gemiddeld","D",IF(X26="gemiddeld","C",IF(X26="boven gemiddeld","B",IF(X26="goed","A",IF(X26="zeer goed","A+"))))))))</f>
        <v/>
      </c>
      <c r="AA26" s="402" t="str">
        <f t="shared" si="12"/>
        <v/>
      </c>
    </row>
    <row r="27" spans="2:27" x14ac:dyDescent="0.2">
      <c r="B27" s="569">
        <v>21</v>
      </c>
      <c r="C27" s="570" t="str">
        <f>BEGINBLAD!C24</f>
        <v>leerling 21</v>
      </c>
      <c r="D27" s="571"/>
      <c r="E27" s="582"/>
      <c r="F27" s="572" t="str">
        <f t="shared" si="1"/>
        <v/>
      </c>
      <c r="G27" s="583" t="str">
        <f t="shared" si="0"/>
        <v/>
      </c>
      <c r="H27" s="571" t="str">
        <f t="shared" si="2"/>
        <v/>
      </c>
      <c r="I27" s="1348" t="str">
        <f>'SIGNALERING HB'!Z$5</f>
        <v>gemiddeld</v>
      </c>
      <c r="J27" s="583" t="str">
        <f t="shared" si="3"/>
        <v>C</v>
      </c>
      <c r="K27" s="571">
        <f t="shared" si="4"/>
        <v>3</v>
      </c>
      <c r="L27" s="582"/>
      <c r="M27" s="595"/>
      <c r="N27" s="583" t="str">
        <f t="shared" ref="N27" si="85">IF(L27="","",IF(L27="zeer zwak","E-",IF(L27="zwak","E",IF(L27="beneden gemiddeld","D",IF(L27="gemiddeld","C",IF(L27="boven gemiddeld","B",IF(L27="goed","A",IF(L27="zeer goed","A+"))))))))</f>
        <v/>
      </c>
      <c r="O27" s="571" t="str">
        <f t="shared" si="6"/>
        <v/>
      </c>
      <c r="P27" s="582"/>
      <c r="Q27" s="595"/>
      <c r="R27" s="583" t="str">
        <f t="shared" ref="R27" si="86">IF(P27="","",IF(P27="zeer zwak","E-",IF(P27="zwak","E",IF(P27="beneden gemiddeld","D",IF(P27="gemiddeld","C",IF(P27="boven gemiddeld","B",IF(P27="goed","A",IF(P27="zeer goed","A+"))))))))</f>
        <v/>
      </c>
      <c r="S27" s="571" t="str">
        <f t="shared" si="8"/>
        <v/>
      </c>
      <c r="T27" s="582"/>
      <c r="U27" s="595"/>
      <c r="V27" s="583" t="str">
        <f t="shared" ref="V27" si="87">IF(T27="","",IF(T27="zeer zwak","E-",IF(T27="zwak","E",IF(T27="beneden gemiddeld","D",IF(T27="gemiddeld","C",IF(T27="boven gemiddeld","B",IF(T27="goed","A",IF(T27="zeer goed","A+"))))))))</f>
        <v/>
      </c>
      <c r="W27" s="571" t="str">
        <f t="shared" si="10"/>
        <v/>
      </c>
      <c r="X27" s="582"/>
      <c r="Y27" s="595"/>
      <c r="Z27" s="583" t="str">
        <f t="shared" ref="Z27" si="88">IF(X27="","",IF(X27="zeer zwak","E-",IF(X27="zwak","E",IF(X27="beneden gemiddeld","D",IF(X27="gemiddeld","C",IF(X27="boven gemiddeld","B",IF(X27="goed","A",IF(X27="zeer goed","A+"))))))))</f>
        <v/>
      </c>
      <c r="AA27" s="402" t="str">
        <f t="shared" si="12"/>
        <v/>
      </c>
    </row>
    <row r="28" spans="2:27" x14ac:dyDescent="0.2">
      <c r="B28" s="569">
        <v>22</v>
      </c>
      <c r="C28" s="573" t="str">
        <f>BEGINBLAD!C25</f>
        <v>leerling 22</v>
      </c>
      <c r="D28" s="574"/>
      <c r="E28" s="584"/>
      <c r="F28" s="572" t="str">
        <f t="shared" si="1"/>
        <v/>
      </c>
      <c r="G28" s="585" t="str">
        <f t="shared" si="0"/>
        <v/>
      </c>
      <c r="H28" s="571" t="str">
        <f t="shared" si="2"/>
        <v/>
      </c>
      <c r="I28" s="1349" t="str">
        <f>'SIGNALERING HB'!AA$5</f>
        <v>gemiddeld</v>
      </c>
      <c r="J28" s="585" t="str">
        <f t="shared" si="3"/>
        <v>C</v>
      </c>
      <c r="K28" s="571">
        <f t="shared" si="4"/>
        <v>3</v>
      </c>
      <c r="L28" s="584"/>
      <c r="M28" s="594"/>
      <c r="N28" s="585" t="str">
        <f t="shared" ref="N28" si="89">IF(L28="","",IF(L28="zeer zwak","E-",IF(L28="zwak","E",IF(L28="beneden gemiddeld","D",IF(L28="gemiddeld","C",IF(L28="boven gemiddeld","B",IF(L28="goed","A",IF(L28="zeer goed","A+"))))))))</f>
        <v/>
      </c>
      <c r="O28" s="571" t="str">
        <f t="shared" si="6"/>
        <v/>
      </c>
      <c r="P28" s="584"/>
      <c r="Q28" s="594"/>
      <c r="R28" s="585" t="str">
        <f t="shared" ref="R28" si="90">IF(P28="","",IF(P28="zeer zwak","E-",IF(P28="zwak","E",IF(P28="beneden gemiddeld","D",IF(P28="gemiddeld","C",IF(P28="boven gemiddeld","B",IF(P28="goed","A",IF(P28="zeer goed","A+"))))))))</f>
        <v/>
      </c>
      <c r="S28" s="571" t="str">
        <f t="shared" si="8"/>
        <v/>
      </c>
      <c r="T28" s="584"/>
      <c r="U28" s="594"/>
      <c r="V28" s="585" t="str">
        <f t="shared" ref="V28" si="91">IF(T28="","",IF(T28="zeer zwak","E-",IF(T28="zwak","E",IF(T28="beneden gemiddeld","D",IF(T28="gemiddeld","C",IF(T28="boven gemiddeld","B",IF(T28="goed","A",IF(T28="zeer goed","A+"))))))))</f>
        <v/>
      </c>
      <c r="W28" s="571" t="str">
        <f t="shared" si="10"/>
        <v/>
      </c>
      <c r="X28" s="584"/>
      <c r="Y28" s="594"/>
      <c r="Z28" s="585" t="str">
        <f t="shared" ref="Z28" si="92">IF(X28="","",IF(X28="zeer zwak","E-",IF(X28="zwak","E",IF(X28="beneden gemiddeld","D",IF(X28="gemiddeld","C",IF(X28="boven gemiddeld","B",IF(X28="goed","A",IF(X28="zeer goed","A+"))))))))</f>
        <v/>
      </c>
      <c r="AA28" s="402" t="str">
        <f t="shared" si="12"/>
        <v/>
      </c>
    </row>
    <row r="29" spans="2:27" x14ac:dyDescent="0.2">
      <c r="B29" s="569">
        <v>23</v>
      </c>
      <c r="C29" s="570" t="str">
        <f>BEGINBLAD!C26</f>
        <v>leerling 23</v>
      </c>
      <c r="D29" s="571"/>
      <c r="E29" s="582"/>
      <c r="F29" s="572" t="str">
        <f t="shared" si="1"/>
        <v/>
      </c>
      <c r="G29" s="583" t="str">
        <f t="shared" si="0"/>
        <v/>
      </c>
      <c r="H29" s="571" t="str">
        <f t="shared" si="2"/>
        <v/>
      </c>
      <c r="I29" s="1348" t="str">
        <f>'SIGNALERING HB'!AB$5</f>
        <v>boven gemiddeld</v>
      </c>
      <c r="J29" s="583" t="str">
        <f t="shared" si="3"/>
        <v>B</v>
      </c>
      <c r="K29" s="571">
        <f t="shared" si="4"/>
        <v>4</v>
      </c>
      <c r="L29" s="582"/>
      <c r="M29" s="595"/>
      <c r="N29" s="583" t="str">
        <f t="shared" ref="N29" si="93">IF(L29="","",IF(L29="zeer zwak","E-",IF(L29="zwak","E",IF(L29="beneden gemiddeld","D",IF(L29="gemiddeld","C",IF(L29="boven gemiddeld","B",IF(L29="goed","A",IF(L29="zeer goed","A+"))))))))</f>
        <v/>
      </c>
      <c r="O29" s="571" t="str">
        <f t="shared" si="6"/>
        <v/>
      </c>
      <c r="P29" s="582"/>
      <c r="Q29" s="595"/>
      <c r="R29" s="583" t="str">
        <f t="shared" ref="R29" si="94">IF(P29="","",IF(P29="zeer zwak","E-",IF(P29="zwak","E",IF(P29="beneden gemiddeld","D",IF(P29="gemiddeld","C",IF(P29="boven gemiddeld","B",IF(P29="goed","A",IF(P29="zeer goed","A+"))))))))</f>
        <v/>
      </c>
      <c r="S29" s="571" t="str">
        <f t="shared" si="8"/>
        <v/>
      </c>
      <c r="T29" s="582"/>
      <c r="U29" s="595"/>
      <c r="V29" s="583" t="str">
        <f t="shared" ref="V29" si="95">IF(T29="","",IF(T29="zeer zwak","E-",IF(T29="zwak","E",IF(T29="beneden gemiddeld","D",IF(T29="gemiddeld","C",IF(T29="boven gemiddeld","B",IF(T29="goed","A",IF(T29="zeer goed","A+"))))))))</f>
        <v/>
      </c>
      <c r="W29" s="571" t="str">
        <f t="shared" si="10"/>
        <v/>
      </c>
      <c r="X29" s="582"/>
      <c r="Y29" s="595"/>
      <c r="Z29" s="583" t="str">
        <f t="shared" ref="Z29" si="96">IF(X29="","",IF(X29="zeer zwak","E-",IF(X29="zwak","E",IF(X29="beneden gemiddeld","D",IF(X29="gemiddeld","C",IF(X29="boven gemiddeld","B",IF(X29="goed","A",IF(X29="zeer goed","A+"))))))))</f>
        <v/>
      </c>
      <c r="AA29" s="402" t="str">
        <f t="shared" si="12"/>
        <v/>
      </c>
    </row>
    <row r="30" spans="2:27" x14ac:dyDescent="0.2">
      <c r="B30" s="569">
        <v>24</v>
      </c>
      <c r="C30" s="573" t="str">
        <f>BEGINBLAD!C27</f>
        <v>leerling 24</v>
      </c>
      <c r="D30" s="574"/>
      <c r="E30" s="584"/>
      <c r="F30" s="572" t="str">
        <f t="shared" si="1"/>
        <v/>
      </c>
      <c r="G30" s="585" t="str">
        <f t="shared" si="0"/>
        <v/>
      </c>
      <c r="H30" s="571" t="str">
        <f t="shared" si="2"/>
        <v/>
      </c>
      <c r="I30" s="1349" t="str">
        <f>'SIGNALERING HB'!AC$5</f>
        <v>boven gemiddeld</v>
      </c>
      <c r="J30" s="585" t="str">
        <f t="shared" si="3"/>
        <v>B</v>
      </c>
      <c r="K30" s="571">
        <f t="shared" si="4"/>
        <v>4</v>
      </c>
      <c r="L30" s="584"/>
      <c r="M30" s="594"/>
      <c r="N30" s="585" t="str">
        <f t="shared" ref="N30" si="97">IF(L30="","",IF(L30="zeer zwak","E-",IF(L30="zwak","E",IF(L30="beneden gemiddeld","D",IF(L30="gemiddeld","C",IF(L30="boven gemiddeld","B",IF(L30="goed","A",IF(L30="zeer goed","A+"))))))))</f>
        <v/>
      </c>
      <c r="O30" s="571" t="str">
        <f t="shared" si="6"/>
        <v/>
      </c>
      <c r="P30" s="584"/>
      <c r="Q30" s="594"/>
      <c r="R30" s="585" t="str">
        <f t="shared" ref="R30" si="98">IF(P30="","",IF(P30="zeer zwak","E-",IF(P30="zwak","E",IF(P30="beneden gemiddeld","D",IF(P30="gemiddeld","C",IF(P30="boven gemiddeld","B",IF(P30="goed","A",IF(P30="zeer goed","A+"))))))))</f>
        <v/>
      </c>
      <c r="S30" s="571" t="str">
        <f t="shared" si="8"/>
        <v/>
      </c>
      <c r="T30" s="584"/>
      <c r="U30" s="594"/>
      <c r="V30" s="585" t="str">
        <f t="shared" ref="V30" si="99">IF(T30="","",IF(T30="zeer zwak","E-",IF(T30="zwak","E",IF(T30="beneden gemiddeld","D",IF(T30="gemiddeld","C",IF(T30="boven gemiddeld","B",IF(T30="goed","A",IF(T30="zeer goed","A+"))))))))</f>
        <v/>
      </c>
      <c r="W30" s="571" t="str">
        <f t="shared" si="10"/>
        <v/>
      </c>
      <c r="X30" s="584"/>
      <c r="Y30" s="594"/>
      <c r="Z30" s="585" t="str">
        <f t="shared" ref="Z30" si="100">IF(X30="","",IF(X30="zeer zwak","E-",IF(X30="zwak","E",IF(X30="beneden gemiddeld","D",IF(X30="gemiddeld","C",IF(X30="boven gemiddeld","B",IF(X30="goed","A",IF(X30="zeer goed","A+"))))))))</f>
        <v/>
      </c>
      <c r="AA30" s="402" t="str">
        <f t="shared" si="12"/>
        <v/>
      </c>
    </row>
    <row r="31" spans="2:27" x14ac:dyDescent="0.2">
      <c r="B31" s="569">
        <v>25</v>
      </c>
      <c r="C31" s="570" t="str">
        <f>BEGINBLAD!C28</f>
        <v>leerling 25</v>
      </c>
      <c r="D31" s="571"/>
      <c r="E31" s="582"/>
      <c r="F31" s="572" t="str">
        <f t="shared" si="1"/>
        <v/>
      </c>
      <c r="G31" s="583" t="str">
        <f t="shared" si="0"/>
        <v/>
      </c>
      <c r="H31" s="571" t="str">
        <f t="shared" si="2"/>
        <v/>
      </c>
      <c r="I31" s="1348" t="str">
        <f>'SIGNALERING HB'!AD$5</f>
        <v>beneden gemiddeld</v>
      </c>
      <c r="J31" s="583" t="str">
        <f t="shared" si="3"/>
        <v>D</v>
      </c>
      <c r="K31" s="571">
        <f t="shared" si="4"/>
        <v>2</v>
      </c>
      <c r="L31" s="582"/>
      <c r="M31" s="595"/>
      <c r="N31" s="583" t="str">
        <f t="shared" ref="N31" si="101">IF(L31="","",IF(L31="zeer zwak","E-",IF(L31="zwak","E",IF(L31="beneden gemiddeld","D",IF(L31="gemiddeld","C",IF(L31="boven gemiddeld","B",IF(L31="goed","A",IF(L31="zeer goed","A+"))))))))</f>
        <v/>
      </c>
      <c r="O31" s="571" t="str">
        <f t="shared" si="6"/>
        <v/>
      </c>
      <c r="P31" s="582"/>
      <c r="Q31" s="595"/>
      <c r="R31" s="583" t="str">
        <f t="shared" ref="R31" si="102">IF(P31="","",IF(P31="zeer zwak","E-",IF(P31="zwak","E",IF(P31="beneden gemiddeld","D",IF(P31="gemiddeld","C",IF(P31="boven gemiddeld","B",IF(P31="goed","A",IF(P31="zeer goed","A+"))))))))</f>
        <v/>
      </c>
      <c r="S31" s="571" t="str">
        <f t="shared" si="8"/>
        <v/>
      </c>
      <c r="T31" s="582"/>
      <c r="U31" s="595"/>
      <c r="V31" s="583" t="str">
        <f t="shared" ref="V31" si="103">IF(T31="","",IF(T31="zeer zwak","E-",IF(T31="zwak","E",IF(T31="beneden gemiddeld","D",IF(T31="gemiddeld","C",IF(T31="boven gemiddeld","B",IF(T31="goed","A",IF(T31="zeer goed","A+"))))))))</f>
        <v/>
      </c>
      <c r="W31" s="571" t="str">
        <f t="shared" si="10"/>
        <v/>
      </c>
      <c r="X31" s="582"/>
      <c r="Y31" s="595"/>
      <c r="Z31" s="583" t="str">
        <f t="shared" ref="Z31" si="104">IF(X31="","",IF(X31="zeer zwak","E-",IF(X31="zwak","E",IF(X31="beneden gemiddeld","D",IF(X31="gemiddeld","C",IF(X31="boven gemiddeld","B",IF(X31="goed","A",IF(X31="zeer goed","A+"))))))))</f>
        <v/>
      </c>
      <c r="AA31" s="402" t="str">
        <f t="shared" si="12"/>
        <v/>
      </c>
    </row>
    <row r="32" spans="2:27" x14ac:dyDescent="0.2">
      <c r="B32" s="569">
        <v>26</v>
      </c>
      <c r="C32" s="573" t="str">
        <f>BEGINBLAD!C29</f>
        <v>leerling 26</v>
      </c>
      <c r="D32" s="574"/>
      <c r="E32" s="584"/>
      <c r="F32" s="572" t="str">
        <f t="shared" si="1"/>
        <v/>
      </c>
      <c r="G32" s="585" t="str">
        <f t="shared" si="0"/>
        <v/>
      </c>
      <c r="H32" s="571" t="str">
        <f t="shared" si="2"/>
        <v/>
      </c>
      <c r="I32" s="1349" t="str">
        <f>'SIGNALERING HB'!AE$5</f>
        <v>gemiddeld</v>
      </c>
      <c r="J32" s="585" t="str">
        <f t="shared" si="3"/>
        <v>C</v>
      </c>
      <c r="K32" s="571">
        <f t="shared" si="4"/>
        <v>3</v>
      </c>
      <c r="L32" s="584"/>
      <c r="M32" s="594"/>
      <c r="N32" s="585" t="str">
        <f t="shared" ref="N32" si="105">IF(L32="","",IF(L32="zeer zwak","E-",IF(L32="zwak","E",IF(L32="beneden gemiddeld","D",IF(L32="gemiddeld","C",IF(L32="boven gemiddeld","B",IF(L32="goed","A",IF(L32="zeer goed","A+"))))))))</f>
        <v/>
      </c>
      <c r="O32" s="571" t="str">
        <f t="shared" si="6"/>
        <v/>
      </c>
      <c r="P32" s="584"/>
      <c r="Q32" s="594"/>
      <c r="R32" s="585" t="str">
        <f t="shared" ref="R32" si="106">IF(P32="","",IF(P32="zeer zwak","E-",IF(P32="zwak","E",IF(P32="beneden gemiddeld","D",IF(P32="gemiddeld","C",IF(P32="boven gemiddeld","B",IF(P32="goed","A",IF(P32="zeer goed","A+"))))))))</f>
        <v/>
      </c>
      <c r="S32" s="571" t="str">
        <f t="shared" si="8"/>
        <v/>
      </c>
      <c r="T32" s="584"/>
      <c r="U32" s="594"/>
      <c r="V32" s="585" t="str">
        <f t="shared" ref="V32" si="107">IF(T32="","",IF(T32="zeer zwak","E-",IF(T32="zwak","E",IF(T32="beneden gemiddeld","D",IF(T32="gemiddeld","C",IF(T32="boven gemiddeld","B",IF(T32="goed","A",IF(T32="zeer goed","A+"))))))))</f>
        <v/>
      </c>
      <c r="W32" s="571" t="str">
        <f t="shared" si="10"/>
        <v/>
      </c>
      <c r="X32" s="584"/>
      <c r="Y32" s="594"/>
      <c r="Z32" s="585" t="str">
        <f t="shared" ref="Z32" si="108">IF(X32="","",IF(X32="zeer zwak","E-",IF(X32="zwak","E",IF(X32="beneden gemiddeld","D",IF(X32="gemiddeld","C",IF(X32="boven gemiddeld","B",IF(X32="goed","A",IF(X32="zeer goed","A+"))))))))</f>
        <v/>
      </c>
      <c r="AA32" s="402" t="str">
        <f t="shared" si="12"/>
        <v/>
      </c>
    </row>
    <row r="33" spans="2:27" x14ac:dyDescent="0.2">
      <c r="B33" s="569">
        <v>27</v>
      </c>
      <c r="C33" s="570">
        <f>BEGINBLAD!C30</f>
        <v>0</v>
      </c>
      <c r="D33" s="571"/>
      <c r="E33" s="582"/>
      <c r="F33" s="572" t="str">
        <f t="shared" si="1"/>
        <v/>
      </c>
      <c r="G33" s="583" t="str">
        <f t="shared" si="0"/>
        <v/>
      </c>
      <c r="H33" s="571" t="str">
        <f t="shared" si="2"/>
        <v/>
      </c>
      <c r="I33" s="1348" t="str">
        <f>'SIGNALERING HB'!AF$5</f>
        <v/>
      </c>
      <c r="J33" s="583" t="str">
        <f t="shared" si="3"/>
        <v/>
      </c>
      <c r="K33" s="571" t="str">
        <f t="shared" si="4"/>
        <v/>
      </c>
      <c r="L33" s="582"/>
      <c r="M33" s="595"/>
      <c r="N33" s="583" t="str">
        <f t="shared" ref="N33" si="109">IF(L33="","",IF(L33="zeer zwak","E-",IF(L33="zwak","E",IF(L33="beneden gemiddeld","D",IF(L33="gemiddeld","C",IF(L33="boven gemiddeld","B",IF(L33="goed","A",IF(L33="zeer goed","A+"))))))))</f>
        <v/>
      </c>
      <c r="O33" s="571" t="str">
        <f t="shared" si="6"/>
        <v/>
      </c>
      <c r="P33" s="582"/>
      <c r="Q33" s="595"/>
      <c r="R33" s="583" t="str">
        <f t="shared" ref="R33" si="110">IF(P33="","",IF(P33="zeer zwak","E-",IF(P33="zwak","E",IF(P33="beneden gemiddeld","D",IF(P33="gemiddeld","C",IF(P33="boven gemiddeld","B",IF(P33="goed","A",IF(P33="zeer goed","A+"))))))))</f>
        <v/>
      </c>
      <c r="S33" s="571" t="str">
        <f t="shared" si="8"/>
        <v/>
      </c>
      <c r="T33" s="582"/>
      <c r="U33" s="595"/>
      <c r="V33" s="583" t="str">
        <f t="shared" ref="V33" si="111">IF(T33="","",IF(T33="zeer zwak","E-",IF(T33="zwak","E",IF(T33="beneden gemiddeld","D",IF(T33="gemiddeld","C",IF(T33="boven gemiddeld","B",IF(T33="goed","A",IF(T33="zeer goed","A+"))))))))</f>
        <v/>
      </c>
      <c r="W33" s="571" t="str">
        <f t="shared" si="10"/>
        <v/>
      </c>
      <c r="X33" s="582"/>
      <c r="Y33" s="595"/>
      <c r="Z33" s="583" t="str">
        <f t="shared" ref="Z33" si="112">IF(X33="","",IF(X33="zeer zwak","E-",IF(X33="zwak","E",IF(X33="beneden gemiddeld","D",IF(X33="gemiddeld","C",IF(X33="boven gemiddeld","B",IF(X33="goed","A",IF(X33="zeer goed","A+"))))))))</f>
        <v/>
      </c>
      <c r="AA33" s="402" t="str">
        <f t="shared" si="12"/>
        <v/>
      </c>
    </row>
    <row r="34" spans="2:27" x14ac:dyDescent="0.2">
      <c r="B34" s="569">
        <v>28</v>
      </c>
      <c r="C34" s="573">
        <f>BEGINBLAD!C31</f>
        <v>0</v>
      </c>
      <c r="D34" s="574"/>
      <c r="E34" s="584"/>
      <c r="F34" s="572" t="str">
        <f t="shared" si="1"/>
        <v/>
      </c>
      <c r="G34" s="585" t="str">
        <f t="shared" si="0"/>
        <v/>
      </c>
      <c r="H34" s="571" t="str">
        <f t="shared" si="2"/>
        <v/>
      </c>
      <c r="I34" s="1349" t="str">
        <f>'SIGNALERING HB'!AG$5</f>
        <v/>
      </c>
      <c r="J34" s="585" t="str">
        <f t="shared" si="3"/>
        <v/>
      </c>
      <c r="K34" s="571" t="str">
        <f t="shared" si="4"/>
        <v/>
      </c>
      <c r="L34" s="584"/>
      <c r="M34" s="594"/>
      <c r="N34" s="585" t="str">
        <f t="shared" ref="N34" si="113">IF(L34="","",IF(L34="zeer zwak","E-",IF(L34="zwak","E",IF(L34="beneden gemiddeld","D",IF(L34="gemiddeld","C",IF(L34="boven gemiddeld","B",IF(L34="goed","A",IF(L34="zeer goed","A+"))))))))</f>
        <v/>
      </c>
      <c r="O34" s="571" t="str">
        <f t="shared" si="6"/>
        <v/>
      </c>
      <c r="P34" s="584"/>
      <c r="Q34" s="594"/>
      <c r="R34" s="585" t="str">
        <f t="shared" ref="R34" si="114">IF(P34="","",IF(P34="zeer zwak","E-",IF(P34="zwak","E",IF(P34="beneden gemiddeld","D",IF(P34="gemiddeld","C",IF(P34="boven gemiddeld","B",IF(P34="goed","A",IF(P34="zeer goed","A+"))))))))</f>
        <v/>
      </c>
      <c r="S34" s="571" t="str">
        <f t="shared" si="8"/>
        <v/>
      </c>
      <c r="T34" s="584"/>
      <c r="U34" s="594"/>
      <c r="V34" s="585" t="str">
        <f t="shared" ref="V34" si="115">IF(T34="","",IF(T34="zeer zwak","E-",IF(T34="zwak","E",IF(T34="beneden gemiddeld","D",IF(T34="gemiddeld","C",IF(T34="boven gemiddeld","B",IF(T34="goed","A",IF(T34="zeer goed","A+"))))))))</f>
        <v/>
      </c>
      <c r="W34" s="571" t="str">
        <f t="shared" si="10"/>
        <v/>
      </c>
      <c r="X34" s="584"/>
      <c r="Y34" s="594"/>
      <c r="Z34" s="585" t="str">
        <f t="shared" ref="Z34" si="116">IF(X34="","",IF(X34="zeer zwak","E-",IF(X34="zwak","E",IF(X34="beneden gemiddeld","D",IF(X34="gemiddeld","C",IF(X34="boven gemiddeld","B",IF(X34="goed","A",IF(X34="zeer goed","A+"))))))))</f>
        <v/>
      </c>
      <c r="AA34" s="402" t="str">
        <f t="shared" si="12"/>
        <v/>
      </c>
    </row>
    <row r="35" spans="2:27" x14ac:dyDescent="0.2">
      <c r="B35" s="569">
        <v>29</v>
      </c>
      <c r="C35" s="570">
        <f>BEGINBLAD!C32</f>
        <v>0</v>
      </c>
      <c r="D35" s="571"/>
      <c r="E35" s="582"/>
      <c r="F35" s="572" t="str">
        <f t="shared" si="1"/>
        <v/>
      </c>
      <c r="G35" s="583" t="str">
        <f t="shared" si="0"/>
        <v/>
      </c>
      <c r="H35" s="571" t="str">
        <f t="shared" si="2"/>
        <v/>
      </c>
      <c r="I35" s="1348" t="str">
        <f>'SIGNALERING HB'!AH$5</f>
        <v/>
      </c>
      <c r="J35" s="583" t="str">
        <f t="shared" si="3"/>
        <v/>
      </c>
      <c r="K35" s="571" t="str">
        <f t="shared" si="4"/>
        <v/>
      </c>
      <c r="L35" s="582"/>
      <c r="M35" s="595"/>
      <c r="N35" s="583" t="str">
        <f t="shared" ref="N35" si="117">IF(L35="","",IF(L35="zeer zwak","E-",IF(L35="zwak","E",IF(L35="beneden gemiddeld","D",IF(L35="gemiddeld","C",IF(L35="boven gemiddeld","B",IF(L35="goed","A",IF(L35="zeer goed","A+"))))))))</f>
        <v/>
      </c>
      <c r="O35" s="571" t="str">
        <f t="shared" si="6"/>
        <v/>
      </c>
      <c r="P35" s="582"/>
      <c r="Q35" s="595"/>
      <c r="R35" s="583" t="str">
        <f t="shared" ref="R35" si="118">IF(P35="","",IF(P35="zeer zwak","E-",IF(P35="zwak","E",IF(P35="beneden gemiddeld","D",IF(P35="gemiddeld","C",IF(P35="boven gemiddeld","B",IF(P35="goed","A",IF(P35="zeer goed","A+"))))))))</f>
        <v/>
      </c>
      <c r="S35" s="571" t="str">
        <f t="shared" si="8"/>
        <v/>
      </c>
      <c r="T35" s="582"/>
      <c r="U35" s="595"/>
      <c r="V35" s="583" t="str">
        <f t="shared" ref="V35" si="119">IF(T35="","",IF(T35="zeer zwak","E-",IF(T35="zwak","E",IF(T35="beneden gemiddeld","D",IF(T35="gemiddeld","C",IF(T35="boven gemiddeld","B",IF(T35="goed","A",IF(T35="zeer goed","A+"))))))))</f>
        <v/>
      </c>
      <c r="W35" s="571" t="str">
        <f t="shared" si="10"/>
        <v/>
      </c>
      <c r="X35" s="582"/>
      <c r="Y35" s="595"/>
      <c r="Z35" s="583" t="str">
        <f t="shared" ref="Z35" si="120">IF(X35="","",IF(X35="zeer zwak","E-",IF(X35="zwak","E",IF(X35="beneden gemiddeld","D",IF(X35="gemiddeld","C",IF(X35="boven gemiddeld","B",IF(X35="goed","A",IF(X35="zeer goed","A+"))))))))</f>
        <v/>
      </c>
      <c r="AA35" s="402" t="str">
        <f t="shared" si="12"/>
        <v/>
      </c>
    </row>
    <row r="36" spans="2:27" x14ac:dyDescent="0.2">
      <c r="B36" s="569">
        <v>30</v>
      </c>
      <c r="C36" s="573">
        <f>BEGINBLAD!C33</f>
        <v>0</v>
      </c>
      <c r="D36" s="574"/>
      <c r="E36" s="584"/>
      <c r="F36" s="572" t="str">
        <f t="shared" si="1"/>
        <v/>
      </c>
      <c r="G36" s="585" t="str">
        <f t="shared" si="0"/>
        <v/>
      </c>
      <c r="H36" s="571" t="str">
        <f t="shared" si="2"/>
        <v/>
      </c>
      <c r="I36" s="1349" t="str">
        <f>'SIGNALERING HB'!AI$5</f>
        <v/>
      </c>
      <c r="J36" s="585" t="str">
        <f t="shared" si="3"/>
        <v/>
      </c>
      <c r="K36" s="571" t="str">
        <f t="shared" si="4"/>
        <v/>
      </c>
      <c r="L36" s="584"/>
      <c r="M36" s="594"/>
      <c r="N36" s="585" t="str">
        <f t="shared" ref="N36" si="121">IF(L36="","",IF(L36="zeer zwak","E-",IF(L36="zwak","E",IF(L36="beneden gemiddeld","D",IF(L36="gemiddeld","C",IF(L36="boven gemiddeld","B",IF(L36="goed","A",IF(L36="zeer goed","A+"))))))))</f>
        <v/>
      </c>
      <c r="O36" s="571" t="str">
        <f t="shared" si="6"/>
        <v/>
      </c>
      <c r="P36" s="584"/>
      <c r="Q36" s="594"/>
      <c r="R36" s="585" t="str">
        <f t="shared" ref="R36" si="122">IF(P36="","",IF(P36="zeer zwak","E-",IF(P36="zwak","E",IF(P36="beneden gemiddeld","D",IF(P36="gemiddeld","C",IF(P36="boven gemiddeld","B",IF(P36="goed","A",IF(P36="zeer goed","A+"))))))))</f>
        <v/>
      </c>
      <c r="S36" s="571" t="str">
        <f t="shared" si="8"/>
        <v/>
      </c>
      <c r="T36" s="584"/>
      <c r="U36" s="594"/>
      <c r="V36" s="585" t="str">
        <f t="shared" ref="V36" si="123">IF(T36="","",IF(T36="zeer zwak","E-",IF(T36="zwak","E",IF(T36="beneden gemiddeld","D",IF(T36="gemiddeld","C",IF(T36="boven gemiddeld","B",IF(T36="goed","A",IF(T36="zeer goed","A+"))))))))</f>
        <v/>
      </c>
      <c r="W36" s="571" t="str">
        <f t="shared" si="10"/>
        <v/>
      </c>
      <c r="X36" s="584"/>
      <c r="Y36" s="594"/>
      <c r="Z36" s="585" t="str">
        <f t="shared" ref="Z36" si="124">IF(X36="","",IF(X36="zeer zwak","E-",IF(X36="zwak","E",IF(X36="beneden gemiddeld","D",IF(X36="gemiddeld","C",IF(X36="boven gemiddeld","B",IF(X36="goed","A",IF(X36="zeer goed","A+"))))))))</f>
        <v/>
      </c>
      <c r="AA36" s="402" t="str">
        <f t="shared" si="12"/>
        <v/>
      </c>
    </row>
    <row r="37" spans="2:27" x14ac:dyDescent="0.2">
      <c r="B37" s="569">
        <v>31</v>
      </c>
      <c r="C37" s="570">
        <f>BEGINBLAD!C34</f>
        <v>0</v>
      </c>
      <c r="D37" s="571"/>
      <c r="E37" s="582"/>
      <c r="F37" s="572" t="str">
        <f t="shared" si="1"/>
        <v/>
      </c>
      <c r="G37" s="583" t="str">
        <f t="shared" si="0"/>
        <v/>
      </c>
      <c r="H37" s="571" t="str">
        <f t="shared" si="2"/>
        <v/>
      </c>
      <c r="I37" s="1348" t="str">
        <f>'SIGNALERING HB'!AJ$5</f>
        <v/>
      </c>
      <c r="J37" s="583" t="str">
        <f t="shared" si="3"/>
        <v/>
      </c>
      <c r="K37" s="571" t="str">
        <f t="shared" si="4"/>
        <v/>
      </c>
      <c r="L37" s="582"/>
      <c r="M37" s="595"/>
      <c r="N37" s="583" t="str">
        <f t="shared" ref="N37" si="125">IF(L37="","",IF(L37="zeer zwak","E-",IF(L37="zwak","E",IF(L37="beneden gemiddeld","D",IF(L37="gemiddeld","C",IF(L37="boven gemiddeld","B",IF(L37="goed","A",IF(L37="zeer goed","A+"))))))))</f>
        <v/>
      </c>
      <c r="O37" s="571" t="str">
        <f t="shared" si="6"/>
        <v/>
      </c>
      <c r="P37" s="582"/>
      <c r="Q37" s="595"/>
      <c r="R37" s="583" t="str">
        <f t="shared" ref="R37" si="126">IF(P37="","",IF(P37="zeer zwak","E-",IF(P37="zwak","E",IF(P37="beneden gemiddeld","D",IF(P37="gemiddeld","C",IF(P37="boven gemiddeld","B",IF(P37="goed","A",IF(P37="zeer goed","A+"))))))))</f>
        <v/>
      </c>
      <c r="S37" s="571" t="str">
        <f t="shared" si="8"/>
        <v/>
      </c>
      <c r="T37" s="582"/>
      <c r="U37" s="595"/>
      <c r="V37" s="583" t="str">
        <f t="shared" ref="V37" si="127">IF(T37="","",IF(T37="zeer zwak","E-",IF(T37="zwak","E",IF(T37="beneden gemiddeld","D",IF(T37="gemiddeld","C",IF(T37="boven gemiddeld","B",IF(T37="goed","A",IF(T37="zeer goed","A+"))))))))</f>
        <v/>
      </c>
      <c r="W37" s="571" t="str">
        <f t="shared" si="10"/>
        <v/>
      </c>
      <c r="X37" s="582"/>
      <c r="Y37" s="595"/>
      <c r="Z37" s="583" t="str">
        <f t="shared" ref="Z37" si="128">IF(X37="","",IF(X37="zeer zwak","E-",IF(X37="zwak","E",IF(X37="beneden gemiddeld","D",IF(X37="gemiddeld","C",IF(X37="boven gemiddeld","B",IF(X37="goed","A",IF(X37="zeer goed","A+"))))))))</f>
        <v/>
      </c>
      <c r="AA37" s="402" t="str">
        <f t="shared" si="12"/>
        <v/>
      </c>
    </row>
    <row r="38" spans="2:27" x14ac:dyDescent="0.2">
      <c r="B38" s="569">
        <v>32</v>
      </c>
      <c r="C38" s="573">
        <f>BEGINBLAD!C35</f>
        <v>0</v>
      </c>
      <c r="D38" s="574"/>
      <c r="E38" s="584"/>
      <c r="F38" s="572" t="str">
        <f t="shared" si="1"/>
        <v/>
      </c>
      <c r="G38" s="585" t="str">
        <f t="shared" si="0"/>
        <v/>
      </c>
      <c r="H38" s="571" t="str">
        <f t="shared" si="2"/>
        <v/>
      </c>
      <c r="I38" s="1349" t="str">
        <f>'SIGNALERING HB'!AK$5</f>
        <v/>
      </c>
      <c r="J38" s="585" t="str">
        <f t="shared" si="3"/>
        <v/>
      </c>
      <c r="K38" s="571" t="str">
        <f t="shared" si="4"/>
        <v/>
      </c>
      <c r="L38" s="584"/>
      <c r="M38" s="594"/>
      <c r="N38" s="585" t="str">
        <f t="shared" ref="N38" si="129">IF(L38="","",IF(L38="zeer zwak","E-",IF(L38="zwak","E",IF(L38="beneden gemiddeld","D",IF(L38="gemiddeld","C",IF(L38="boven gemiddeld","B",IF(L38="goed","A",IF(L38="zeer goed","A+"))))))))</f>
        <v/>
      </c>
      <c r="O38" s="571" t="str">
        <f t="shared" si="6"/>
        <v/>
      </c>
      <c r="P38" s="584"/>
      <c r="Q38" s="594"/>
      <c r="R38" s="585" t="str">
        <f t="shared" ref="R38" si="130">IF(P38="","",IF(P38="zeer zwak","E-",IF(P38="zwak","E",IF(P38="beneden gemiddeld","D",IF(P38="gemiddeld","C",IF(P38="boven gemiddeld","B",IF(P38="goed","A",IF(P38="zeer goed","A+"))))))))</f>
        <v/>
      </c>
      <c r="S38" s="571" t="str">
        <f t="shared" si="8"/>
        <v/>
      </c>
      <c r="T38" s="584"/>
      <c r="U38" s="594"/>
      <c r="V38" s="585" t="str">
        <f t="shared" ref="V38" si="131">IF(T38="","",IF(T38="zeer zwak","E-",IF(T38="zwak","E",IF(T38="beneden gemiddeld","D",IF(T38="gemiddeld","C",IF(T38="boven gemiddeld","B",IF(T38="goed","A",IF(T38="zeer goed","A+"))))))))</f>
        <v/>
      </c>
      <c r="W38" s="571" t="str">
        <f t="shared" si="10"/>
        <v/>
      </c>
      <c r="X38" s="584"/>
      <c r="Y38" s="594"/>
      <c r="Z38" s="585" t="str">
        <f t="shared" ref="Z38" si="132">IF(X38="","",IF(X38="zeer zwak","E-",IF(X38="zwak","E",IF(X38="beneden gemiddeld","D",IF(X38="gemiddeld","C",IF(X38="boven gemiddeld","B",IF(X38="goed","A",IF(X38="zeer goed","A+"))))))))</f>
        <v/>
      </c>
      <c r="AA38" s="402" t="str">
        <f t="shared" si="12"/>
        <v/>
      </c>
    </row>
    <row r="39" spans="2:27" x14ac:dyDescent="0.2">
      <c r="B39" s="569">
        <v>33</v>
      </c>
      <c r="C39" s="570">
        <f>BEGINBLAD!C36</f>
        <v>0</v>
      </c>
      <c r="D39" s="571"/>
      <c r="E39" s="582"/>
      <c r="F39" s="572" t="str">
        <f t="shared" si="1"/>
        <v/>
      </c>
      <c r="G39" s="583" t="str">
        <f t="shared" si="0"/>
        <v/>
      </c>
      <c r="H39" s="571" t="str">
        <f t="shared" si="2"/>
        <v/>
      </c>
      <c r="I39" s="1348" t="str">
        <f>'SIGNALERING HB'!AL$5</f>
        <v/>
      </c>
      <c r="J39" s="583" t="str">
        <f t="shared" si="3"/>
        <v/>
      </c>
      <c r="K39" s="571" t="str">
        <f t="shared" si="4"/>
        <v/>
      </c>
      <c r="L39" s="582"/>
      <c r="M39" s="595"/>
      <c r="N39" s="583" t="str">
        <f t="shared" ref="N39" si="133">IF(L39="","",IF(L39="zeer zwak","E-",IF(L39="zwak","E",IF(L39="beneden gemiddeld","D",IF(L39="gemiddeld","C",IF(L39="boven gemiddeld","B",IF(L39="goed","A",IF(L39="zeer goed","A+"))))))))</f>
        <v/>
      </c>
      <c r="O39" s="571" t="str">
        <f t="shared" si="6"/>
        <v/>
      </c>
      <c r="P39" s="582"/>
      <c r="Q39" s="595"/>
      <c r="R39" s="583" t="str">
        <f t="shared" ref="R39" si="134">IF(P39="","",IF(P39="zeer zwak","E-",IF(P39="zwak","E",IF(P39="beneden gemiddeld","D",IF(P39="gemiddeld","C",IF(P39="boven gemiddeld","B",IF(P39="goed","A",IF(P39="zeer goed","A+"))))))))</f>
        <v/>
      </c>
      <c r="S39" s="571" t="str">
        <f t="shared" si="8"/>
        <v/>
      </c>
      <c r="T39" s="582"/>
      <c r="U39" s="595"/>
      <c r="V39" s="583" t="str">
        <f t="shared" ref="V39" si="135">IF(T39="","",IF(T39="zeer zwak","E-",IF(T39="zwak","E",IF(T39="beneden gemiddeld","D",IF(T39="gemiddeld","C",IF(T39="boven gemiddeld","B",IF(T39="goed","A",IF(T39="zeer goed","A+"))))))))</f>
        <v/>
      </c>
      <c r="W39" s="571" t="str">
        <f t="shared" si="10"/>
        <v/>
      </c>
      <c r="X39" s="582"/>
      <c r="Y39" s="595"/>
      <c r="Z39" s="583" t="str">
        <f t="shared" ref="Z39" si="136">IF(X39="","",IF(X39="zeer zwak","E-",IF(X39="zwak","E",IF(X39="beneden gemiddeld","D",IF(X39="gemiddeld","C",IF(X39="boven gemiddeld","B",IF(X39="goed","A",IF(X39="zeer goed","A+"))))))))</f>
        <v/>
      </c>
      <c r="AA39" s="402" t="str">
        <f t="shared" si="12"/>
        <v/>
      </c>
    </row>
    <row r="40" spans="2:27" x14ac:dyDescent="0.2">
      <c r="B40" s="569">
        <v>34</v>
      </c>
      <c r="C40" s="573">
        <f>BEGINBLAD!C37</f>
        <v>0</v>
      </c>
      <c r="D40" s="574"/>
      <c r="E40" s="584"/>
      <c r="F40" s="572" t="str">
        <f t="shared" si="1"/>
        <v/>
      </c>
      <c r="G40" s="585" t="str">
        <f t="shared" si="0"/>
        <v/>
      </c>
      <c r="H40" s="571" t="str">
        <f t="shared" si="2"/>
        <v/>
      </c>
      <c r="I40" s="1349" t="str">
        <f>'SIGNALERING HB'!AM$5</f>
        <v/>
      </c>
      <c r="J40" s="585" t="str">
        <f t="shared" si="3"/>
        <v/>
      </c>
      <c r="K40" s="571" t="str">
        <f t="shared" si="4"/>
        <v/>
      </c>
      <c r="L40" s="584"/>
      <c r="M40" s="594"/>
      <c r="N40" s="585" t="str">
        <f t="shared" ref="N40" si="137">IF(L40="","",IF(L40="zeer zwak","E-",IF(L40="zwak","E",IF(L40="beneden gemiddeld","D",IF(L40="gemiddeld","C",IF(L40="boven gemiddeld","B",IF(L40="goed","A",IF(L40="zeer goed","A+"))))))))</f>
        <v/>
      </c>
      <c r="O40" s="571" t="str">
        <f t="shared" si="6"/>
        <v/>
      </c>
      <c r="P40" s="584"/>
      <c r="Q40" s="594"/>
      <c r="R40" s="585" t="str">
        <f t="shared" ref="R40" si="138">IF(P40="","",IF(P40="zeer zwak","E-",IF(P40="zwak","E",IF(P40="beneden gemiddeld","D",IF(P40="gemiddeld","C",IF(P40="boven gemiddeld","B",IF(P40="goed","A",IF(P40="zeer goed","A+"))))))))</f>
        <v/>
      </c>
      <c r="S40" s="571" t="str">
        <f t="shared" si="8"/>
        <v/>
      </c>
      <c r="T40" s="584"/>
      <c r="U40" s="594"/>
      <c r="V40" s="585" t="str">
        <f t="shared" ref="V40" si="139">IF(T40="","",IF(T40="zeer zwak","E-",IF(T40="zwak","E",IF(T40="beneden gemiddeld","D",IF(T40="gemiddeld","C",IF(T40="boven gemiddeld","B",IF(T40="goed","A",IF(T40="zeer goed","A+"))))))))</f>
        <v/>
      </c>
      <c r="W40" s="571" t="str">
        <f t="shared" si="10"/>
        <v/>
      </c>
      <c r="X40" s="584"/>
      <c r="Y40" s="594"/>
      <c r="Z40" s="585" t="str">
        <f t="shared" ref="Z40" si="140">IF(X40="","",IF(X40="zeer zwak","E-",IF(X40="zwak","E",IF(X40="beneden gemiddeld","D",IF(X40="gemiddeld","C",IF(X40="boven gemiddeld","B",IF(X40="goed","A",IF(X40="zeer goed","A+"))))))))</f>
        <v/>
      </c>
      <c r="AA40" s="402" t="str">
        <f t="shared" si="12"/>
        <v/>
      </c>
    </row>
    <row r="41" spans="2:27" x14ac:dyDescent="0.2">
      <c r="B41" s="569">
        <v>35</v>
      </c>
      <c r="C41" s="570">
        <f>BEGINBLAD!C38</f>
        <v>0</v>
      </c>
      <c r="D41" s="571"/>
      <c r="E41" s="582"/>
      <c r="F41" s="572"/>
      <c r="G41" s="583"/>
      <c r="H41" s="571" t="str">
        <f t="shared" si="2"/>
        <v/>
      </c>
      <c r="I41" s="1348" t="str">
        <f>'SIGNALERING HB'!AN$5</f>
        <v/>
      </c>
      <c r="J41" s="583" t="str">
        <f t="shared" si="3"/>
        <v/>
      </c>
      <c r="K41" s="571" t="str">
        <f t="shared" si="4"/>
        <v/>
      </c>
      <c r="L41" s="582"/>
      <c r="M41" s="595"/>
      <c r="N41" s="583" t="str">
        <f t="shared" ref="N41" si="141">IF(L41="","",IF(L41="zeer zwak","E-",IF(L41="zwak","E",IF(L41="beneden gemiddeld","D",IF(L41="gemiddeld","C",IF(L41="boven gemiddeld","B",IF(L41="goed","A",IF(L41="zeer goed","A+"))))))))</f>
        <v/>
      </c>
      <c r="O41" s="571" t="str">
        <f t="shared" si="6"/>
        <v/>
      </c>
      <c r="P41" s="582"/>
      <c r="Q41" s="595"/>
      <c r="R41" s="583" t="str">
        <f t="shared" ref="R41" si="142">IF(P41="","",IF(P41="zeer zwak","E-",IF(P41="zwak","E",IF(P41="beneden gemiddeld","D",IF(P41="gemiddeld","C",IF(P41="boven gemiddeld","B",IF(P41="goed","A",IF(P41="zeer goed","A+"))))))))</f>
        <v/>
      </c>
      <c r="S41" s="571" t="str">
        <f t="shared" si="8"/>
        <v/>
      </c>
      <c r="T41" s="582"/>
      <c r="U41" s="595"/>
      <c r="V41" s="583" t="str">
        <f t="shared" ref="V41" si="143">IF(T41="","",IF(T41="zeer zwak","E-",IF(T41="zwak","E",IF(T41="beneden gemiddeld","D",IF(T41="gemiddeld","C",IF(T41="boven gemiddeld","B",IF(T41="goed","A",IF(T41="zeer goed","A+"))))))))</f>
        <v/>
      </c>
      <c r="W41" s="571" t="str">
        <f t="shared" si="10"/>
        <v/>
      </c>
      <c r="X41" s="582"/>
      <c r="Y41" s="595"/>
      <c r="Z41" s="583" t="str">
        <f t="shared" ref="Z41" si="144">IF(X41="","",IF(X41="zeer zwak","E-",IF(X41="zwak","E",IF(X41="beneden gemiddeld","D",IF(X41="gemiddeld","C",IF(X41="boven gemiddeld","B",IF(X41="goed","A",IF(X41="zeer goed","A+"))))))))</f>
        <v/>
      </c>
      <c r="AA41" s="402" t="str">
        <f t="shared" si="12"/>
        <v/>
      </c>
    </row>
    <row r="42" spans="2:27" s="233" customFormat="1" x14ac:dyDescent="0.2">
      <c r="B42" s="575">
        <v>36</v>
      </c>
      <c r="C42" s="573">
        <f>BEGINBLAD!C39</f>
        <v>0</v>
      </c>
      <c r="D42" s="574"/>
      <c r="E42" s="586"/>
      <c r="F42" s="587" t="str">
        <f t="shared" si="1"/>
        <v/>
      </c>
      <c r="G42" s="588" t="str">
        <f>IF(E42="","",IF(E42="zeer zwak","E-",IF(E42="zwak","E",IF(E42="beneden gemiddeld","D",IF(E42="gemiddeld","C",IF(E42="boven gemiddeld","B",IF(E42="goed","A",IF(E42="zeer goed","A+"))))))))</f>
        <v/>
      </c>
      <c r="H42" s="571" t="str">
        <f t="shared" si="2"/>
        <v/>
      </c>
      <c r="I42" s="1350" t="str">
        <f>'SIGNALERING HB'!AO$5</f>
        <v/>
      </c>
      <c r="J42" s="588" t="str">
        <f t="shared" si="3"/>
        <v/>
      </c>
      <c r="K42" s="571" t="str">
        <f t="shared" si="4"/>
        <v/>
      </c>
      <c r="L42" s="586"/>
      <c r="M42" s="596"/>
      <c r="N42" s="588" t="str">
        <f t="shared" ref="N42" si="145">IF(L42="","",IF(L42="zeer zwak","E-",IF(L42="zwak","E",IF(L42="beneden gemiddeld","D",IF(L42="gemiddeld","C",IF(L42="boven gemiddeld","B",IF(L42="goed","A",IF(L42="zeer goed","A+"))))))))</f>
        <v/>
      </c>
      <c r="O42" s="571" t="str">
        <f t="shared" si="6"/>
        <v/>
      </c>
      <c r="P42" s="586"/>
      <c r="Q42" s="596"/>
      <c r="R42" s="588" t="str">
        <f t="shared" ref="R42" si="146">IF(P42="","",IF(P42="zeer zwak","E-",IF(P42="zwak","E",IF(P42="beneden gemiddeld","D",IF(P42="gemiddeld","C",IF(P42="boven gemiddeld","B",IF(P42="goed","A",IF(P42="zeer goed","A+"))))))))</f>
        <v/>
      </c>
      <c r="S42" s="571" t="str">
        <f t="shared" si="8"/>
        <v/>
      </c>
      <c r="T42" s="586"/>
      <c r="U42" s="596"/>
      <c r="V42" s="588" t="str">
        <f t="shared" ref="V42" si="147">IF(T42="","",IF(T42="zeer zwak","E-",IF(T42="zwak","E",IF(T42="beneden gemiddeld","D",IF(T42="gemiddeld","C",IF(T42="boven gemiddeld","B",IF(T42="goed","A",IF(T42="zeer goed","A+"))))))))</f>
        <v/>
      </c>
      <c r="W42" s="571" t="str">
        <f t="shared" si="10"/>
        <v/>
      </c>
      <c r="X42" s="586"/>
      <c r="Y42" s="596"/>
      <c r="Z42" s="588" t="str">
        <f t="shared" ref="Z42" si="148">IF(X42="","",IF(X42="zeer zwak","E-",IF(X42="zwak","E",IF(X42="beneden gemiddeld","D",IF(X42="gemiddeld","C",IF(X42="boven gemiddeld","B",IF(X42="goed","A",IF(X42="zeer goed","A+"))))))))</f>
        <v/>
      </c>
      <c r="AA42" s="402" t="str">
        <f t="shared" si="12"/>
        <v/>
      </c>
    </row>
    <row r="43" spans="2:27" x14ac:dyDescent="0.2">
      <c r="B43" s="697"/>
      <c r="C43" s="403" t="s">
        <v>107</v>
      </c>
      <c r="D43" s="234">
        <f>BEGINBLAD!$D$40</f>
        <v>26</v>
      </c>
      <c r="E43" s="403" t="s">
        <v>183</v>
      </c>
      <c r="F43" s="405"/>
      <c r="G43" s="404" t="str">
        <f>IF(H43=0,"",IF(H43&lt;1,"E-",IF(H43&lt;1,"E",IF(H43&lt;2,"D",IF(H43&lt;3,"C",IF(H43&lt;4,"B",IF(H43&lt;=5,"A",IF(H43&gt;=5,"A+"))))))))</f>
        <v>A</v>
      </c>
      <c r="H43" s="404">
        <f>AVERAGE(H7:H42)</f>
        <v>4</v>
      </c>
      <c r="I43" s="403" t="s">
        <v>183</v>
      </c>
      <c r="J43" s="404" t="str">
        <f>IF(K43=0,"",IF(K43&lt;1,"E-",IF(K43&lt;1,"E",IF(K43&lt;2,"D",IF(K43&lt;3,"C",IF(K43&lt;4,"B",IF(K43&lt;=5,"A",IF(K43&gt;=5,"A+"))))))))</f>
        <v>B</v>
      </c>
      <c r="K43" s="404">
        <f>AVERAGE(K7:K42)</f>
        <v>3.0769230769230771</v>
      </c>
      <c r="L43" s="403" t="s">
        <v>183</v>
      </c>
      <c r="M43" s="403"/>
      <c r="N43" s="404" t="str">
        <f>IF(O43=0,"",IF(O43&lt;1,"E-",IF(O43&lt;1,"E",IF(O43&lt;2,"D",IF(O43&lt;3,"C",IF(O43&lt;4,"B",IF(O43&lt;=5,"A",IF(O43&gt;=5,"A+"))))))))</f>
        <v>B</v>
      </c>
      <c r="O43" s="404">
        <f>AVERAGE(O7:O42)</f>
        <v>3.8</v>
      </c>
      <c r="P43" s="403" t="s">
        <v>183</v>
      </c>
      <c r="Q43" s="403"/>
      <c r="R43" s="404" t="str">
        <f>IF(S43=0,"",IF(S43&lt;1,"E-",IF(S43&lt;1,"E",IF(S43&lt;2,"D",IF(S43&lt;3,"C",IF(S43&lt;4,"B",IF(S43&lt;=5,"A",IF(S43&gt;=5,"A+"))))))))</f>
        <v>B</v>
      </c>
      <c r="S43" s="404">
        <f>AVERAGE(S7:S42)</f>
        <v>3.6666666666666665</v>
      </c>
      <c r="T43" s="403" t="s">
        <v>183</v>
      </c>
      <c r="U43" s="403"/>
      <c r="V43" s="404" t="str">
        <f>IF(W43=0,"",IF(W43&lt;1,"E-",IF(W43&lt;1,"E",IF(W43&lt;2,"D",IF(W43&lt;3,"C",IF(W43&lt;4,"B",IF(W43&lt;=5,"A",IF(W43&gt;=5,"A+"))))))))</f>
        <v>A</v>
      </c>
      <c r="W43" s="404">
        <f>AVERAGE(W7:W42)</f>
        <v>4</v>
      </c>
      <c r="X43" s="403" t="s">
        <v>183</v>
      </c>
      <c r="Y43" s="403"/>
      <c r="Z43" s="404" t="e">
        <f>IF(AA43=0,"",IF(AA43&lt;1,"E-",IF(AA43&lt;1,"E",IF(AA43&lt;2,"D",IF(AA43&lt;3,"C",IF(AA43&lt;4,"B",IF(AA43&lt;=5,"A",IF(AA43&gt;=5,"A+"))))))))</f>
        <v>#DIV/0!</v>
      </c>
      <c r="AA43" s="406" t="e">
        <f>AVERAGE(AA7:AA42)</f>
        <v>#DIV/0!</v>
      </c>
    </row>
  </sheetData>
  <sheetProtection sheet="1" objects="1" scenarios="1"/>
  <mergeCells count="5">
    <mergeCell ref="L3:R3"/>
    <mergeCell ref="L5:M5"/>
    <mergeCell ref="P5:Q5"/>
    <mergeCell ref="T5:U5"/>
    <mergeCell ref="X5:Y5"/>
  </mergeCells>
  <conditionalFormatting sqref="C7:C34">
    <cfRule type="expression" priority="379" stopIfTrue="1">
      <formula>#REF!=""</formula>
    </cfRule>
    <cfRule type="expression" dxfId="1642" priority="380" stopIfTrue="1">
      <formula>#REF!&gt;9</formula>
    </cfRule>
    <cfRule type="expression" dxfId="1641" priority="381" stopIfTrue="1">
      <formula>#REF!&lt;0</formula>
    </cfRule>
  </conditionalFormatting>
  <conditionalFormatting sqref="N7:N42 G7:H42">
    <cfRule type="cellIs" dxfId="1640" priority="372" operator="equal">
      <formula>"E-"</formula>
    </cfRule>
    <cfRule type="cellIs" dxfId="1639" priority="373" operator="equal">
      <formula>"E"</formula>
    </cfRule>
    <cfRule type="cellIs" dxfId="1638" priority="374" operator="equal">
      <formula>"D"</formula>
    </cfRule>
    <cfRule type="cellIs" dxfId="1637" priority="375" operator="equal">
      <formula>"C"</formula>
    </cfRule>
    <cfRule type="cellIs" dxfId="1636" priority="376" operator="equal">
      <formula>"B"</formula>
    </cfRule>
    <cfRule type="cellIs" dxfId="1635" priority="377" operator="equal">
      <formula>"A"</formula>
    </cfRule>
    <cfRule type="cellIs" dxfId="1634" priority="378" operator="equal">
      <formula>"A+"</formula>
    </cfRule>
  </conditionalFormatting>
  <conditionalFormatting sqref="J7:J42">
    <cfRule type="cellIs" dxfId="1633" priority="365" operator="equal">
      <formula>"E-"</formula>
    </cfRule>
    <cfRule type="cellIs" dxfId="1632" priority="366" operator="equal">
      <formula>"E"</formula>
    </cfRule>
    <cfRule type="cellIs" dxfId="1631" priority="367" operator="equal">
      <formula>"D"</formula>
    </cfRule>
    <cfRule type="cellIs" dxfId="1630" priority="368" operator="equal">
      <formula>"C"</formula>
    </cfRule>
    <cfRule type="cellIs" dxfId="1629" priority="369" operator="equal">
      <formula>"B"</formula>
    </cfRule>
    <cfRule type="cellIs" dxfId="1628" priority="370" operator="equal">
      <formula>"A"</formula>
    </cfRule>
    <cfRule type="cellIs" dxfId="1627" priority="371" operator="equal">
      <formula>"A+"</formula>
    </cfRule>
  </conditionalFormatting>
  <conditionalFormatting sqref="R7:R42">
    <cfRule type="cellIs" dxfId="1626" priority="323" operator="equal">
      <formula>"E-"</formula>
    </cfRule>
    <cfRule type="cellIs" dxfId="1625" priority="324" operator="equal">
      <formula>"E"</formula>
    </cfRule>
    <cfRule type="cellIs" dxfId="1624" priority="325" operator="equal">
      <formula>"D"</formula>
    </cfRule>
    <cfRule type="cellIs" dxfId="1623" priority="326" operator="equal">
      <formula>"C"</formula>
    </cfRule>
    <cfRule type="cellIs" dxfId="1622" priority="327" operator="equal">
      <formula>"B"</formula>
    </cfRule>
    <cfRule type="cellIs" dxfId="1621" priority="328" operator="equal">
      <formula>"A"</formula>
    </cfRule>
    <cfRule type="cellIs" dxfId="1620" priority="329" operator="equal">
      <formula>"A+"</formula>
    </cfRule>
  </conditionalFormatting>
  <conditionalFormatting sqref="V7:V42">
    <cfRule type="cellIs" dxfId="1619" priority="316" operator="equal">
      <formula>"E-"</formula>
    </cfRule>
    <cfRule type="cellIs" dxfId="1618" priority="317" operator="equal">
      <formula>"E"</formula>
    </cfRule>
    <cfRule type="cellIs" dxfId="1617" priority="318" operator="equal">
      <formula>"D"</formula>
    </cfRule>
    <cfRule type="cellIs" dxfId="1616" priority="319" operator="equal">
      <formula>"C"</formula>
    </cfRule>
    <cfRule type="cellIs" dxfId="1615" priority="320" operator="equal">
      <formula>"B"</formula>
    </cfRule>
    <cfRule type="cellIs" dxfId="1614" priority="321" operator="equal">
      <formula>"A"</formula>
    </cfRule>
    <cfRule type="cellIs" dxfId="1613" priority="322" operator="equal">
      <formula>"A+"</formula>
    </cfRule>
  </conditionalFormatting>
  <conditionalFormatting sqref="Z7:Z42">
    <cfRule type="cellIs" dxfId="1612" priority="309" operator="equal">
      <formula>"E-"</formula>
    </cfRule>
    <cfRule type="cellIs" dxfId="1611" priority="310" operator="equal">
      <formula>"E"</formula>
    </cfRule>
    <cfRule type="cellIs" dxfId="1610" priority="311" operator="equal">
      <formula>"D"</formula>
    </cfRule>
    <cfRule type="cellIs" dxfId="1609" priority="312" operator="equal">
      <formula>"C"</formula>
    </cfRule>
    <cfRule type="cellIs" dxfId="1608" priority="313" operator="equal">
      <formula>"B"</formula>
    </cfRule>
    <cfRule type="cellIs" dxfId="1607" priority="314" operator="equal">
      <formula>"A"</formula>
    </cfRule>
    <cfRule type="cellIs" dxfId="1606" priority="315" operator="equal">
      <formula>"A+"</formula>
    </cfRule>
  </conditionalFormatting>
  <conditionalFormatting sqref="G43:H43">
    <cfRule type="cellIs" dxfId="1605" priority="148" operator="equal">
      <formula>"E-"</formula>
    </cfRule>
    <cfRule type="cellIs" dxfId="1604" priority="149" operator="equal">
      <formula>"E"</formula>
    </cfRule>
    <cfRule type="cellIs" dxfId="1603" priority="150" operator="equal">
      <formula>"D"</formula>
    </cfRule>
    <cfRule type="cellIs" dxfId="1602" priority="151" operator="equal">
      <formula>"C"</formula>
    </cfRule>
    <cfRule type="cellIs" dxfId="1601" priority="152" operator="equal">
      <formula>"B"</formula>
    </cfRule>
    <cfRule type="cellIs" dxfId="1600" priority="153" operator="equal">
      <formula>"A"</formula>
    </cfRule>
    <cfRule type="cellIs" dxfId="1599" priority="154" operator="equal">
      <formula>"A+"</formula>
    </cfRule>
  </conditionalFormatting>
  <conditionalFormatting sqref="K43">
    <cfRule type="cellIs" dxfId="1598" priority="134" operator="equal">
      <formula>"E-"</formula>
    </cfRule>
    <cfRule type="cellIs" dxfId="1597" priority="135" operator="equal">
      <formula>"E"</formula>
    </cfRule>
    <cfRule type="cellIs" dxfId="1596" priority="136" operator="equal">
      <formula>"D"</formula>
    </cfRule>
    <cfRule type="cellIs" dxfId="1595" priority="137" operator="equal">
      <formula>"C"</formula>
    </cfRule>
    <cfRule type="cellIs" dxfId="1594" priority="138" operator="equal">
      <formula>"B"</formula>
    </cfRule>
    <cfRule type="cellIs" dxfId="1593" priority="139" operator="equal">
      <formula>"A"</formula>
    </cfRule>
    <cfRule type="cellIs" dxfId="1592" priority="140" operator="equal">
      <formula>"A+"</formula>
    </cfRule>
  </conditionalFormatting>
  <conditionalFormatting sqref="K7:K42">
    <cfRule type="cellIs" dxfId="1591" priority="141" operator="equal">
      <formula>"E-"</formula>
    </cfRule>
    <cfRule type="cellIs" dxfId="1590" priority="142" operator="equal">
      <formula>"E"</formula>
    </cfRule>
    <cfRule type="cellIs" dxfId="1589" priority="143" operator="equal">
      <formula>"D"</formula>
    </cfRule>
    <cfRule type="cellIs" dxfId="1588" priority="144" operator="equal">
      <formula>"C"</formula>
    </cfRule>
    <cfRule type="cellIs" dxfId="1587" priority="145" operator="equal">
      <formula>"B"</formula>
    </cfRule>
    <cfRule type="cellIs" dxfId="1586" priority="146" operator="equal">
      <formula>"A"</formula>
    </cfRule>
    <cfRule type="cellIs" dxfId="1585" priority="147" operator="equal">
      <formula>"A+"</formula>
    </cfRule>
  </conditionalFormatting>
  <conditionalFormatting sqref="O7:O42">
    <cfRule type="cellIs" dxfId="1584" priority="120" operator="equal">
      <formula>"E-"</formula>
    </cfRule>
    <cfRule type="cellIs" dxfId="1583" priority="121" operator="equal">
      <formula>"E"</formula>
    </cfRule>
    <cfRule type="cellIs" dxfId="1582" priority="122" operator="equal">
      <formula>"D"</formula>
    </cfRule>
    <cfRule type="cellIs" dxfId="1581" priority="123" operator="equal">
      <formula>"C"</formula>
    </cfRule>
    <cfRule type="cellIs" dxfId="1580" priority="124" operator="equal">
      <formula>"B"</formula>
    </cfRule>
    <cfRule type="cellIs" dxfId="1579" priority="125" operator="equal">
      <formula>"A"</formula>
    </cfRule>
    <cfRule type="cellIs" dxfId="1578" priority="126" operator="equal">
      <formula>"A+"</formula>
    </cfRule>
  </conditionalFormatting>
  <conditionalFormatting sqref="S43">
    <cfRule type="cellIs" dxfId="1577" priority="92" operator="equal">
      <formula>"E-"</formula>
    </cfRule>
    <cfRule type="cellIs" dxfId="1576" priority="93" operator="equal">
      <formula>"E"</formula>
    </cfRule>
    <cfRule type="cellIs" dxfId="1575" priority="94" operator="equal">
      <formula>"D"</formula>
    </cfRule>
    <cfRule type="cellIs" dxfId="1574" priority="95" operator="equal">
      <formula>"C"</formula>
    </cfRule>
    <cfRule type="cellIs" dxfId="1573" priority="96" operator="equal">
      <formula>"B"</formula>
    </cfRule>
    <cfRule type="cellIs" dxfId="1572" priority="97" operator="equal">
      <formula>"A"</formula>
    </cfRule>
    <cfRule type="cellIs" dxfId="1571" priority="98" operator="equal">
      <formula>"A+"</formula>
    </cfRule>
  </conditionalFormatting>
  <conditionalFormatting sqref="W7:W42">
    <cfRule type="cellIs" dxfId="1570" priority="85" operator="equal">
      <formula>"E-"</formula>
    </cfRule>
    <cfRule type="cellIs" dxfId="1569" priority="86" operator="equal">
      <formula>"E"</formula>
    </cfRule>
    <cfRule type="cellIs" dxfId="1568" priority="87" operator="equal">
      <formula>"D"</formula>
    </cfRule>
    <cfRule type="cellIs" dxfId="1567" priority="88" operator="equal">
      <formula>"C"</formula>
    </cfRule>
    <cfRule type="cellIs" dxfId="1566" priority="89" operator="equal">
      <formula>"B"</formula>
    </cfRule>
    <cfRule type="cellIs" dxfId="1565" priority="90" operator="equal">
      <formula>"A"</formula>
    </cfRule>
    <cfRule type="cellIs" dxfId="1564" priority="91" operator="equal">
      <formula>"A+"</formula>
    </cfRule>
  </conditionalFormatting>
  <conditionalFormatting sqref="O43">
    <cfRule type="cellIs" dxfId="1563" priority="113" operator="equal">
      <formula>"E-"</formula>
    </cfRule>
    <cfRule type="cellIs" dxfId="1562" priority="114" operator="equal">
      <formula>"E"</formula>
    </cfRule>
    <cfRule type="cellIs" dxfId="1561" priority="115" operator="equal">
      <formula>"D"</formula>
    </cfRule>
    <cfRule type="cellIs" dxfId="1560" priority="116" operator="equal">
      <formula>"C"</formula>
    </cfRule>
    <cfRule type="cellIs" dxfId="1559" priority="117" operator="equal">
      <formula>"B"</formula>
    </cfRule>
    <cfRule type="cellIs" dxfId="1558" priority="118" operator="equal">
      <formula>"A"</formula>
    </cfRule>
    <cfRule type="cellIs" dxfId="1557" priority="119" operator="equal">
      <formula>"A+"</formula>
    </cfRule>
  </conditionalFormatting>
  <conditionalFormatting sqref="W43">
    <cfRule type="cellIs" dxfId="1556" priority="78" operator="equal">
      <formula>"E-"</formula>
    </cfRule>
    <cfRule type="cellIs" dxfId="1555" priority="79" operator="equal">
      <formula>"E"</formula>
    </cfRule>
    <cfRule type="cellIs" dxfId="1554" priority="80" operator="equal">
      <formula>"D"</formula>
    </cfRule>
    <cfRule type="cellIs" dxfId="1553" priority="81" operator="equal">
      <formula>"C"</formula>
    </cfRule>
    <cfRule type="cellIs" dxfId="1552" priority="82" operator="equal">
      <formula>"B"</formula>
    </cfRule>
    <cfRule type="cellIs" dxfId="1551" priority="83" operator="equal">
      <formula>"A"</formula>
    </cfRule>
    <cfRule type="cellIs" dxfId="1550" priority="84" operator="equal">
      <formula>"A+"</formula>
    </cfRule>
  </conditionalFormatting>
  <conditionalFormatting sqref="S7:S42">
    <cfRule type="cellIs" dxfId="1549" priority="99" operator="equal">
      <formula>"E-"</formula>
    </cfRule>
    <cfRule type="cellIs" dxfId="1548" priority="100" operator="equal">
      <formula>"E"</formula>
    </cfRule>
    <cfRule type="cellIs" dxfId="1547" priority="101" operator="equal">
      <formula>"D"</formula>
    </cfRule>
    <cfRule type="cellIs" dxfId="1546" priority="102" operator="equal">
      <formula>"C"</formula>
    </cfRule>
    <cfRule type="cellIs" dxfId="1545" priority="103" operator="equal">
      <formula>"B"</formula>
    </cfRule>
    <cfRule type="cellIs" dxfId="1544" priority="104" operator="equal">
      <formula>"A"</formula>
    </cfRule>
    <cfRule type="cellIs" dxfId="1543" priority="105" operator="equal">
      <formula>"A+"</formula>
    </cfRule>
  </conditionalFormatting>
  <conditionalFormatting sqref="AA7:AA42">
    <cfRule type="cellIs" dxfId="1542" priority="50" operator="equal">
      <formula>"E-"</formula>
    </cfRule>
    <cfRule type="cellIs" dxfId="1541" priority="51" operator="equal">
      <formula>"E"</formula>
    </cfRule>
    <cfRule type="cellIs" dxfId="1540" priority="52" operator="equal">
      <formula>"D"</formula>
    </cfRule>
    <cfRule type="cellIs" dxfId="1539" priority="53" operator="equal">
      <formula>"C"</formula>
    </cfRule>
    <cfRule type="cellIs" dxfId="1538" priority="54" operator="equal">
      <formula>"B"</formula>
    </cfRule>
    <cfRule type="cellIs" dxfId="1537" priority="55" operator="equal">
      <formula>"A"</formula>
    </cfRule>
    <cfRule type="cellIs" dxfId="1536" priority="56" operator="equal">
      <formula>"A+"</formula>
    </cfRule>
  </conditionalFormatting>
  <conditionalFormatting sqref="AA43">
    <cfRule type="cellIs" dxfId="1535" priority="43" operator="equal">
      <formula>"E-"</formula>
    </cfRule>
    <cfRule type="cellIs" dxfId="1534" priority="44" operator="equal">
      <formula>"E"</formula>
    </cfRule>
    <cfRule type="cellIs" dxfId="1533" priority="45" operator="equal">
      <formula>"D"</formula>
    </cfRule>
    <cfRule type="cellIs" dxfId="1532" priority="46" operator="equal">
      <formula>"C"</formula>
    </cfRule>
    <cfRule type="cellIs" dxfId="1531" priority="47" operator="equal">
      <formula>"B"</formula>
    </cfRule>
    <cfRule type="cellIs" dxfId="1530" priority="48" operator="equal">
      <formula>"A"</formula>
    </cfRule>
    <cfRule type="cellIs" dxfId="1529" priority="49" operator="equal">
      <formula>"A+"</formula>
    </cfRule>
  </conditionalFormatting>
  <conditionalFormatting sqref="J43">
    <cfRule type="cellIs" dxfId="1528" priority="29" operator="equal">
      <formula>"E-"</formula>
    </cfRule>
    <cfRule type="cellIs" dxfId="1527" priority="30" operator="equal">
      <formula>"E"</formula>
    </cfRule>
    <cfRule type="cellIs" dxfId="1526" priority="31" operator="equal">
      <formula>"D"</formula>
    </cfRule>
    <cfRule type="cellIs" dxfId="1525" priority="32" operator="equal">
      <formula>"C"</formula>
    </cfRule>
    <cfRule type="cellIs" dxfId="1524" priority="33" operator="equal">
      <formula>"B"</formula>
    </cfRule>
    <cfRule type="cellIs" dxfId="1523" priority="34" operator="equal">
      <formula>"A"</formula>
    </cfRule>
    <cfRule type="cellIs" dxfId="1522" priority="35" operator="equal">
      <formula>"A+"</formula>
    </cfRule>
  </conditionalFormatting>
  <conditionalFormatting sqref="N43">
    <cfRule type="cellIs" dxfId="1521" priority="22" operator="equal">
      <formula>"E-"</formula>
    </cfRule>
    <cfRule type="cellIs" dxfId="1520" priority="23" operator="equal">
      <formula>"E"</formula>
    </cfRule>
    <cfRule type="cellIs" dxfId="1519" priority="24" operator="equal">
      <formula>"D"</formula>
    </cfRule>
    <cfRule type="cellIs" dxfId="1518" priority="25" operator="equal">
      <formula>"C"</formula>
    </cfRule>
    <cfRule type="cellIs" dxfId="1517" priority="26" operator="equal">
      <formula>"B"</formula>
    </cfRule>
    <cfRule type="cellIs" dxfId="1516" priority="27" operator="equal">
      <formula>"A"</formula>
    </cfRule>
    <cfRule type="cellIs" dxfId="1515" priority="28" operator="equal">
      <formula>"A+"</formula>
    </cfRule>
  </conditionalFormatting>
  <conditionalFormatting sqref="R43">
    <cfRule type="cellIs" dxfId="1514" priority="15" operator="equal">
      <formula>"E-"</formula>
    </cfRule>
    <cfRule type="cellIs" dxfId="1513" priority="16" operator="equal">
      <formula>"E"</formula>
    </cfRule>
    <cfRule type="cellIs" dxfId="1512" priority="17" operator="equal">
      <formula>"D"</formula>
    </cfRule>
    <cfRule type="cellIs" dxfId="1511" priority="18" operator="equal">
      <formula>"C"</formula>
    </cfRule>
    <cfRule type="cellIs" dxfId="1510" priority="19" operator="equal">
      <formula>"B"</formula>
    </cfRule>
    <cfRule type="cellIs" dxfId="1509" priority="20" operator="equal">
      <formula>"A"</formula>
    </cfRule>
    <cfRule type="cellIs" dxfId="1508" priority="21" operator="equal">
      <formula>"A+"</formula>
    </cfRule>
  </conditionalFormatting>
  <conditionalFormatting sqref="V43">
    <cfRule type="cellIs" dxfId="1507" priority="8" operator="equal">
      <formula>"E-"</formula>
    </cfRule>
    <cfRule type="cellIs" dxfId="1506" priority="9" operator="equal">
      <formula>"E"</formula>
    </cfRule>
    <cfRule type="cellIs" dxfId="1505" priority="10" operator="equal">
      <formula>"D"</formula>
    </cfRule>
    <cfRule type="cellIs" dxfId="1504" priority="11" operator="equal">
      <formula>"C"</formula>
    </cfRule>
    <cfRule type="cellIs" dxfId="1503" priority="12" operator="equal">
      <formula>"B"</formula>
    </cfRule>
    <cfRule type="cellIs" dxfId="1502" priority="13" operator="equal">
      <formula>"A"</formula>
    </cfRule>
    <cfRule type="cellIs" dxfId="1501" priority="14" operator="equal">
      <formula>"A+"</formula>
    </cfRule>
  </conditionalFormatting>
  <conditionalFormatting sqref="Z43">
    <cfRule type="cellIs" dxfId="1500" priority="1" operator="equal">
      <formula>"E-"</formula>
    </cfRule>
    <cfRule type="cellIs" dxfId="1499" priority="2" operator="equal">
      <formula>"E"</formula>
    </cfRule>
    <cfRule type="cellIs" dxfId="1498" priority="3" operator="equal">
      <formula>"D"</formula>
    </cfRule>
    <cfRule type="cellIs" dxfId="1497" priority="4" operator="equal">
      <formula>"C"</formula>
    </cfRule>
    <cfRule type="cellIs" dxfId="1496" priority="5" operator="equal">
      <formula>"B"</formula>
    </cfRule>
    <cfRule type="cellIs" dxfId="1495" priority="6" operator="equal">
      <formula>"A"</formula>
    </cfRule>
    <cfRule type="cellIs" dxfId="1494" priority="7" operator="equal">
      <formula>"A+"</formula>
    </cfRule>
  </conditionalFormatting>
  <dataValidations count="2">
    <dataValidation type="list" allowBlank="1" showInputMessage="1" showErrorMessage="1" sqref="T6 L6 P6 X6" xr:uid="{00000000-0002-0000-2000-000000000000}">
      <formula1>"Klik en selecteer,SPPSI groep 2-3,NSCCT groep 4,NSCCT groep 5,NSCCT groep 6, NSCCT groep 7,Begintest groep 3,Tussentest groep 6,Eindtest groep 8, NIO, WISC-V,WPPSI-III,"</formula1>
    </dataValidation>
    <dataValidation type="list" allowBlank="1" showInputMessage="1" showErrorMessage="1" sqref="X7:X42 E7:E42 T7:T42 L7:L42 P7:P42" xr:uid="{00000000-0002-0000-2000-000001000000}">
      <formula1>"zeer goed,goed,boven gemiddeld,gemiddeld,beneden gemiddeld,zwak,zeer zwak,"</formula1>
    </dataValidation>
  </dataValidations>
  <pageMargins left="0.75" right="0.75" top="1" bottom="1" header="0.5" footer="0.5"/>
  <pageSetup paperSize="9" scale="70" orientation="landscape" r:id="rId1"/>
  <headerFooter alignWithMargins="0">
    <oddFooter>&amp;R© www.meesterharrie.nl</oddFooter>
  </headerFooter>
  <colBreaks count="1" manualBreakCount="1">
    <brk id="26" max="42" man="1"/>
  </col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CCECFF"/>
    <pageSetUpPr fitToPage="1"/>
  </sheetPr>
  <dimension ref="A1:AK189"/>
  <sheetViews>
    <sheetView showGridLines="0" showRowColHeaders="0" zoomScale="80" zoomScaleNormal="80" workbookViewId="0">
      <selection activeCell="AM12" sqref="AM12"/>
    </sheetView>
  </sheetViews>
  <sheetFormatPr defaultColWidth="9.140625" defaultRowHeight="12.75" x14ac:dyDescent="0.2"/>
  <cols>
    <col min="1" max="1" width="3.140625" style="69" customWidth="1"/>
    <col min="2" max="2" width="3.140625" style="70" bestFit="1" customWidth="1"/>
    <col min="3" max="3" width="11.85546875" style="74" bestFit="1" customWidth="1"/>
    <col min="4" max="4" width="3.140625" style="346" customWidth="1"/>
    <col min="5" max="5" width="5.85546875" style="74" customWidth="1"/>
    <col min="6" max="6" width="20.85546875" style="74" customWidth="1"/>
    <col min="7" max="7" width="3.5703125" style="76" customWidth="1"/>
    <col min="8" max="8" width="5.85546875" style="76" customWidth="1"/>
    <col min="9" max="9" width="3.140625" style="76" customWidth="1"/>
    <col min="10" max="10" width="5.85546875" style="74" customWidth="1"/>
    <col min="11" max="11" width="5.85546875" style="69" customWidth="1"/>
    <col min="12" max="12" width="6.5703125" style="69" customWidth="1"/>
    <col min="13" max="13" width="3.140625" style="69" customWidth="1"/>
    <col min="14" max="22" width="5.85546875" style="69" customWidth="1"/>
    <col min="23" max="23" width="3.5703125" style="69" customWidth="1"/>
    <col min="24" max="24" width="10.140625" style="69" customWidth="1"/>
    <col min="25" max="26" width="6.85546875" style="69" hidden="1" customWidth="1"/>
    <col min="27" max="27" width="3.140625" style="69" customWidth="1"/>
    <col min="28" max="29" width="5.85546875" style="69" customWidth="1"/>
    <col min="30" max="30" width="3.140625" style="69" customWidth="1"/>
    <col min="31" max="32" width="5.85546875" style="69" customWidth="1"/>
    <col min="33" max="33" width="3.140625" style="69" customWidth="1"/>
    <col min="34" max="37" width="5.85546875" style="69" customWidth="1"/>
    <col min="38" max="16384" width="9.140625" style="69"/>
  </cols>
  <sheetData>
    <row r="1" spans="1:37" s="66" customFormat="1" ht="30" customHeight="1" thickBot="1" x14ac:dyDescent="0.3">
      <c r="B1" s="615"/>
      <c r="C1" s="1128" t="s">
        <v>184</v>
      </c>
      <c r="D1" s="1129"/>
      <c r="E1" s="1129"/>
      <c r="F1" s="1129"/>
      <c r="G1" s="1129"/>
      <c r="H1" s="1129"/>
      <c r="I1" s="1129"/>
      <c r="J1" s="1129"/>
      <c r="K1" s="416">
        <f>BEGINBLAD!$I$2</f>
        <v>0</v>
      </c>
      <c r="L1" s="415"/>
      <c r="M1" s="416"/>
      <c r="N1" s="416"/>
      <c r="O1" s="416"/>
      <c r="P1" s="414"/>
      <c r="Q1" s="414"/>
      <c r="R1" s="414"/>
      <c r="S1" s="414"/>
      <c r="T1" s="414"/>
      <c r="U1" s="414"/>
      <c r="V1" s="414"/>
      <c r="W1" s="414"/>
      <c r="X1" s="417"/>
    </row>
    <row r="2" spans="1:37" s="66" customFormat="1" ht="30" customHeight="1" x14ac:dyDescent="0.25">
      <c r="B2" s="615"/>
      <c r="C2" s="1130" t="str">
        <f>BEGINBLAD!$N$2</f>
        <v>nov.</v>
      </c>
      <c r="D2" s="1130"/>
      <c r="E2" s="241"/>
      <c r="F2" s="691" t="str">
        <f>BEGINBLAD!$O$2</f>
        <v>apr.</v>
      </c>
      <c r="G2" s="1131">
        <f>BEGINBLAD!$P$2</f>
        <v>2021</v>
      </c>
      <c r="H2" s="1131"/>
      <c r="I2" s="1131"/>
      <c r="J2" s="640"/>
      <c r="K2" s="241"/>
      <c r="L2" s="641"/>
      <c r="M2" s="241"/>
      <c r="N2" s="241"/>
      <c r="O2" s="241"/>
      <c r="P2" s="642"/>
      <c r="Q2" s="642"/>
      <c r="R2" s="642"/>
      <c r="S2" s="642"/>
      <c r="T2" s="642"/>
      <c r="U2" s="642"/>
      <c r="V2" s="642"/>
      <c r="W2" s="642"/>
      <c r="X2" s="241"/>
    </row>
    <row r="3" spans="1:37" ht="13.5" customHeight="1" thickBot="1" x14ac:dyDescent="0.25">
      <c r="C3" s="69"/>
      <c r="D3" s="69"/>
      <c r="E3" s="69"/>
      <c r="F3" s="69"/>
      <c r="G3" s="69"/>
      <c r="H3" s="69"/>
      <c r="I3" s="69"/>
      <c r="J3" s="76"/>
      <c r="K3" s="76"/>
      <c r="M3" s="71"/>
      <c r="N3" s="72"/>
      <c r="O3" s="72"/>
      <c r="R3" s="73"/>
      <c r="S3" s="73"/>
      <c r="T3" s="73"/>
      <c r="U3" s="73"/>
      <c r="V3" s="73"/>
      <c r="W3" s="73"/>
      <c r="X3" s="74"/>
      <c r="Y3" s="73"/>
      <c r="Z3" s="73"/>
      <c r="AA3" s="73"/>
    </row>
    <row r="4" spans="1:37" ht="13.5" customHeight="1" x14ac:dyDescent="0.2">
      <c r="C4" s="690"/>
      <c r="D4" s="690"/>
      <c r="E4" s="1137"/>
      <c r="F4" s="1135" t="s">
        <v>44</v>
      </c>
      <c r="G4" s="1171"/>
      <c r="H4" s="1171"/>
      <c r="I4" s="1171"/>
      <c r="J4" s="1171"/>
      <c r="K4" s="1171"/>
      <c r="L4" s="1171"/>
      <c r="M4" s="1171"/>
      <c r="N4" s="1171"/>
      <c r="O4" s="1171"/>
      <c r="P4" s="1171"/>
      <c r="Q4" s="1171"/>
      <c r="R4" s="1171"/>
      <c r="S4" s="1171"/>
      <c r="T4" s="1171"/>
      <c r="U4" s="1171"/>
      <c r="V4" s="1172"/>
      <c r="W4" s="73"/>
      <c r="X4" s="1168" t="s">
        <v>185</v>
      </c>
      <c r="Y4" s="73"/>
      <c r="Z4" s="73"/>
      <c r="AA4" s="73"/>
      <c r="AB4" s="1164" t="s">
        <v>186</v>
      </c>
      <c r="AC4" s="1165"/>
      <c r="AE4" s="1164" t="s">
        <v>187</v>
      </c>
      <c r="AF4" s="1165"/>
      <c r="AH4" s="635" t="s">
        <v>188</v>
      </c>
      <c r="AI4" s="636"/>
      <c r="AJ4" s="636"/>
      <c r="AK4" s="637"/>
    </row>
    <row r="5" spans="1:37" ht="13.5" customHeight="1" thickBot="1" x14ac:dyDescent="0.25">
      <c r="E5" s="1138"/>
      <c r="F5" s="1136"/>
      <c r="G5" s="1173"/>
      <c r="H5" s="1173"/>
      <c r="I5" s="1173"/>
      <c r="J5" s="1173"/>
      <c r="K5" s="1173"/>
      <c r="L5" s="1173"/>
      <c r="M5" s="1173"/>
      <c r="N5" s="1173"/>
      <c r="O5" s="1173"/>
      <c r="P5" s="1173"/>
      <c r="Q5" s="1173"/>
      <c r="R5" s="1173"/>
      <c r="S5" s="1173"/>
      <c r="T5" s="1173"/>
      <c r="U5" s="1173"/>
      <c r="V5" s="1174"/>
      <c r="W5" s="345"/>
      <c r="X5" s="1169"/>
      <c r="AB5" s="1166"/>
      <c r="AC5" s="1167"/>
      <c r="AE5" s="1166"/>
      <c r="AF5" s="1167"/>
      <c r="AH5" s="1161" t="s">
        <v>189</v>
      </c>
      <c r="AI5" s="1162"/>
      <c r="AJ5" s="1162"/>
      <c r="AK5" s="1163"/>
    </row>
    <row r="6" spans="1:37" ht="140.1" customHeight="1" x14ac:dyDescent="0.2">
      <c r="C6" s="78"/>
      <c r="D6" s="79"/>
      <c r="E6" s="1138"/>
      <c r="F6" s="1136"/>
      <c r="G6" s="1173"/>
      <c r="H6" s="1173"/>
      <c r="I6" s="1173"/>
      <c r="J6" s="1173"/>
      <c r="K6" s="1173"/>
      <c r="L6" s="1173"/>
      <c r="M6" s="1173"/>
      <c r="N6" s="1173"/>
      <c r="O6" s="1173"/>
      <c r="P6" s="1173"/>
      <c r="Q6" s="1173"/>
      <c r="R6" s="1173"/>
      <c r="S6" s="1173"/>
      <c r="T6" s="1173"/>
      <c r="U6" s="1173"/>
      <c r="V6" s="1174"/>
      <c r="W6" s="347"/>
      <c r="X6" s="1170"/>
      <c r="AB6" s="638" t="s">
        <v>190</v>
      </c>
      <c r="AC6" s="639" t="s">
        <v>191</v>
      </c>
      <c r="AE6" s="629" t="s">
        <v>192</v>
      </c>
      <c r="AF6" s="630" t="s">
        <v>193</v>
      </c>
      <c r="AH6" s="625" t="s">
        <v>194</v>
      </c>
      <c r="AI6" s="626" t="s">
        <v>195</v>
      </c>
      <c r="AJ6" s="627" t="s">
        <v>196</v>
      </c>
      <c r="AK6" s="628" t="s">
        <v>197</v>
      </c>
    </row>
    <row r="7" spans="1:37" ht="19.5" customHeight="1" x14ac:dyDescent="0.2">
      <c r="A7" s="89"/>
      <c r="B7" s="1132" t="s">
        <v>43</v>
      </c>
      <c r="C7" s="90" t="s">
        <v>198</v>
      </c>
      <c r="D7" s="91">
        <f>[2]BEGINBLAD!D6</f>
        <v>8</v>
      </c>
      <c r="E7" s="418">
        <v>1</v>
      </c>
      <c r="F7" s="419" t="str">
        <f>BEGINBLAD!C4</f>
        <v>leelring 1</v>
      </c>
      <c r="G7" s="1126" t="s">
        <v>199</v>
      </c>
      <c r="H7" s="1126"/>
      <c r="I7" s="1126"/>
      <c r="J7" s="1126"/>
      <c r="K7" s="1126"/>
      <c r="L7" s="1126"/>
      <c r="M7" s="1126"/>
      <c r="N7" s="1126"/>
      <c r="O7" s="1126"/>
      <c r="P7" s="1126"/>
      <c r="Q7" s="1126"/>
      <c r="R7" s="1126"/>
      <c r="S7" s="1126"/>
      <c r="T7" s="1126"/>
      <c r="U7" s="1126"/>
      <c r="V7" s="1127"/>
      <c r="W7" s="345"/>
      <c r="X7" s="624"/>
      <c r="Z7" s="432" t="b">
        <v>0</v>
      </c>
      <c r="AB7" s="631" t="s">
        <v>201</v>
      </c>
      <c r="AC7" s="632"/>
      <c r="AE7" s="631"/>
      <c r="AF7" s="632"/>
      <c r="AH7" s="246"/>
      <c r="AI7" s="247"/>
      <c r="AJ7" s="247"/>
      <c r="AK7" s="248"/>
    </row>
    <row r="8" spans="1:37" ht="19.5" customHeight="1" x14ac:dyDescent="0.2">
      <c r="A8" s="89"/>
      <c r="B8" s="1132"/>
      <c r="C8" s="101" t="s">
        <v>200</v>
      </c>
      <c r="D8" s="91">
        <f>[2]BEGINBLAD!D7</f>
        <v>8</v>
      </c>
      <c r="E8" s="92">
        <v>2</v>
      </c>
      <c r="F8" s="419" t="str">
        <f>BEGINBLAD!C5</f>
        <v>leerling 2</v>
      </c>
      <c r="G8" s="1133"/>
      <c r="H8" s="1133"/>
      <c r="I8" s="1133"/>
      <c r="J8" s="1133"/>
      <c r="K8" s="1133"/>
      <c r="L8" s="1133"/>
      <c r="M8" s="1133"/>
      <c r="N8" s="1133"/>
      <c r="O8" s="1133"/>
      <c r="P8" s="1133"/>
      <c r="Q8" s="1133"/>
      <c r="R8" s="1133"/>
      <c r="S8" s="1133"/>
      <c r="T8" s="1133"/>
      <c r="U8" s="1133"/>
      <c r="V8" s="1134"/>
      <c r="W8" s="348"/>
      <c r="X8" s="421"/>
      <c r="Z8" s="432" t="b">
        <v>0</v>
      </c>
      <c r="AB8" s="631" t="s">
        <v>201</v>
      </c>
      <c r="AC8" s="632"/>
      <c r="AE8" s="631"/>
      <c r="AF8" s="632"/>
      <c r="AH8" s="246"/>
      <c r="AI8" s="247"/>
      <c r="AJ8" s="247"/>
      <c r="AK8" s="248"/>
    </row>
    <row r="9" spans="1:37" ht="19.5" customHeight="1" x14ac:dyDescent="0.2">
      <c r="A9" s="102"/>
      <c r="B9" s="103"/>
      <c r="C9" s="689"/>
      <c r="D9" s="91">
        <f>[2]BEGINBLAD!D8</f>
        <v>8</v>
      </c>
      <c r="E9" s="92">
        <v>3</v>
      </c>
      <c r="F9" s="419" t="str">
        <f>BEGINBLAD!C6</f>
        <v>leerling 3</v>
      </c>
      <c r="G9" s="1133"/>
      <c r="H9" s="1133"/>
      <c r="I9" s="1133"/>
      <c r="J9" s="1133"/>
      <c r="K9" s="1133"/>
      <c r="L9" s="1133"/>
      <c r="M9" s="1133"/>
      <c r="N9" s="1133"/>
      <c r="O9" s="1133"/>
      <c r="P9" s="1133"/>
      <c r="Q9" s="1133"/>
      <c r="R9" s="1133"/>
      <c r="S9" s="1133"/>
      <c r="T9" s="1133"/>
      <c r="U9" s="1133"/>
      <c r="V9" s="1134"/>
      <c r="X9" s="926"/>
      <c r="Z9" s="432" t="b">
        <v>0</v>
      </c>
      <c r="AB9" s="631"/>
      <c r="AC9" s="632" t="s">
        <v>570</v>
      </c>
      <c r="AE9" s="631"/>
      <c r="AF9" s="632"/>
      <c r="AH9" s="246"/>
      <c r="AI9" s="247"/>
      <c r="AJ9" s="247"/>
      <c r="AK9" s="248"/>
    </row>
    <row r="10" spans="1:37" ht="19.5" customHeight="1" x14ac:dyDescent="0.2">
      <c r="A10" s="102"/>
      <c r="B10" s="103"/>
      <c r="C10" s="689"/>
      <c r="D10" s="105">
        <f>[2]BEGINBLAD!D9</f>
        <v>8</v>
      </c>
      <c r="E10" s="92">
        <v>4</v>
      </c>
      <c r="F10" s="419" t="str">
        <f>BEGINBLAD!C7</f>
        <v>leerling 4</v>
      </c>
      <c r="G10" s="1133"/>
      <c r="H10" s="1133"/>
      <c r="I10" s="1133"/>
      <c r="J10" s="1133"/>
      <c r="K10" s="1133"/>
      <c r="L10" s="1133"/>
      <c r="M10" s="1133"/>
      <c r="N10" s="1133"/>
      <c r="O10" s="1133"/>
      <c r="P10" s="1133"/>
      <c r="Q10" s="1133"/>
      <c r="R10" s="1133"/>
      <c r="S10" s="1133"/>
      <c r="T10" s="1133"/>
      <c r="U10" s="1133"/>
      <c r="V10" s="1134"/>
      <c r="X10" s="926"/>
      <c r="Z10" s="432" t="b">
        <v>0</v>
      </c>
      <c r="AB10" s="631"/>
      <c r="AC10" s="632"/>
      <c r="AE10" s="631"/>
      <c r="AF10" s="632"/>
      <c r="AH10" s="246"/>
      <c r="AI10" s="247"/>
      <c r="AJ10" s="247"/>
      <c r="AK10" s="248"/>
    </row>
    <row r="11" spans="1:37" ht="19.5" customHeight="1" x14ac:dyDescent="0.2">
      <c r="A11" s="102"/>
      <c r="B11" s="103"/>
      <c r="C11" s="689"/>
      <c r="D11" s="108">
        <f>[2]BEGINBLAD!D10</f>
        <v>8</v>
      </c>
      <c r="E11" s="92">
        <v>5</v>
      </c>
      <c r="F11" s="419" t="str">
        <f>BEGINBLAD!C8</f>
        <v>leerling 5</v>
      </c>
      <c r="G11" s="1133"/>
      <c r="H11" s="1133"/>
      <c r="I11" s="1133"/>
      <c r="J11" s="1133"/>
      <c r="K11" s="1133"/>
      <c r="L11" s="1133"/>
      <c r="M11" s="1133"/>
      <c r="N11" s="1133"/>
      <c r="O11" s="1133"/>
      <c r="P11" s="1133"/>
      <c r="Q11" s="1133"/>
      <c r="R11" s="1133"/>
      <c r="S11" s="1133"/>
      <c r="T11" s="1133"/>
      <c r="U11" s="1133"/>
      <c r="V11" s="1134"/>
      <c r="X11" s="926"/>
      <c r="Z11" s="432" t="b">
        <v>0</v>
      </c>
      <c r="AB11" s="631" t="s">
        <v>201</v>
      </c>
      <c r="AC11" s="632"/>
      <c r="AE11" s="631"/>
      <c r="AF11" s="632"/>
      <c r="AH11" s="246"/>
      <c r="AI11" s="247"/>
      <c r="AJ11" s="247"/>
      <c r="AK11" s="248"/>
    </row>
    <row r="12" spans="1:37" ht="19.5" customHeight="1" x14ac:dyDescent="0.2">
      <c r="A12" s="102"/>
      <c r="B12" s="103"/>
      <c r="C12" s="689"/>
      <c r="D12" s="111">
        <f>[2]BEGINBLAD!D11</f>
        <v>8</v>
      </c>
      <c r="E12" s="92">
        <v>6</v>
      </c>
      <c r="F12" s="419" t="str">
        <f>BEGINBLAD!C9</f>
        <v>leerling 6</v>
      </c>
      <c r="G12" s="1126" t="s">
        <v>202</v>
      </c>
      <c r="H12" s="1126"/>
      <c r="I12" s="1126"/>
      <c r="J12" s="1126"/>
      <c r="K12" s="1126"/>
      <c r="L12" s="1126"/>
      <c r="M12" s="1126"/>
      <c r="N12" s="1126"/>
      <c r="O12" s="1126"/>
      <c r="P12" s="1126"/>
      <c r="Q12" s="1126"/>
      <c r="R12" s="1126"/>
      <c r="S12" s="1126"/>
      <c r="T12" s="1126"/>
      <c r="U12" s="1126"/>
      <c r="V12" s="1127"/>
      <c r="X12" s="926"/>
      <c r="Z12" s="432" t="b">
        <v>1</v>
      </c>
      <c r="AB12" s="631"/>
      <c r="AC12" s="632"/>
      <c r="AE12" s="631"/>
      <c r="AF12" s="632"/>
      <c r="AH12" s="246"/>
      <c r="AI12" s="247"/>
      <c r="AJ12" s="247"/>
      <c r="AK12" s="248"/>
    </row>
    <row r="13" spans="1:37" ht="19.5" customHeight="1" x14ac:dyDescent="0.2">
      <c r="A13" s="102"/>
      <c r="B13" s="103"/>
      <c r="C13" s="689"/>
      <c r="D13" s="111">
        <f>[2]BEGINBLAD!D12</f>
        <v>8</v>
      </c>
      <c r="E13" s="92">
        <v>7</v>
      </c>
      <c r="F13" s="419" t="str">
        <f>BEGINBLAD!C10</f>
        <v>leerling 7</v>
      </c>
      <c r="G13" s="1126" t="s">
        <v>203</v>
      </c>
      <c r="H13" s="1126"/>
      <c r="I13" s="1126"/>
      <c r="J13" s="1126"/>
      <c r="K13" s="1126"/>
      <c r="L13" s="1126"/>
      <c r="M13" s="1126"/>
      <c r="N13" s="1126"/>
      <c r="O13" s="1126"/>
      <c r="P13" s="1126"/>
      <c r="Q13" s="1126"/>
      <c r="R13" s="1126"/>
      <c r="S13" s="1126"/>
      <c r="T13" s="1126"/>
      <c r="U13" s="1126"/>
      <c r="V13" s="1127"/>
      <c r="X13" s="926"/>
      <c r="Z13" s="432" t="b">
        <v>0</v>
      </c>
      <c r="AB13" s="631"/>
      <c r="AC13" s="632"/>
      <c r="AE13" s="631"/>
      <c r="AF13" s="632"/>
      <c r="AH13" s="246"/>
      <c r="AI13" s="247"/>
      <c r="AJ13" s="247"/>
      <c r="AK13" s="248"/>
    </row>
    <row r="14" spans="1:37" ht="19.5" customHeight="1" x14ac:dyDescent="0.2">
      <c r="A14" s="102"/>
      <c r="B14" s="103"/>
      <c r="C14" s="689"/>
      <c r="D14" s="91">
        <f>[2]BEGINBLAD!D13</f>
        <v>8</v>
      </c>
      <c r="E14" s="92">
        <v>8</v>
      </c>
      <c r="F14" s="419" t="str">
        <f>BEGINBLAD!C11</f>
        <v>leerling 8</v>
      </c>
      <c r="G14" s="1126"/>
      <c r="H14" s="1126"/>
      <c r="I14" s="1126"/>
      <c r="J14" s="1126"/>
      <c r="K14" s="1126"/>
      <c r="L14" s="1126"/>
      <c r="M14" s="1126"/>
      <c r="N14" s="1126"/>
      <c r="O14" s="1126"/>
      <c r="P14" s="1126"/>
      <c r="Q14" s="1126"/>
      <c r="R14" s="1126"/>
      <c r="S14" s="1126"/>
      <c r="T14" s="1126"/>
      <c r="U14" s="1126"/>
      <c r="V14" s="1127"/>
      <c r="X14" s="926"/>
      <c r="Z14" s="432" t="b">
        <v>0</v>
      </c>
      <c r="AB14" s="631"/>
      <c r="AC14" s="632" t="s">
        <v>201</v>
      </c>
      <c r="AE14" s="631"/>
      <c r="AF14" s="632"/>
      <c r="AH14" s="246"/>
      <c r="AI14" s="247"/>
      <c r="AJ14" s="247"/>
      <c r="AK14" s="248"/>
    </row>
    <row r="15" spans="1:37" ht="19.5" customHeight="1" x14ac:dyDescent="0.2">
      <c r="A15" s="102"/>
      <c r="B15" s="103"/>
      <c r="C15" s="689"/>
      <c r="D15" s="91">
        <f>[2]BEGINBLAD!D14</f>
        <v>8</v>
      </c>
      <c r="E15" s="92">
        <v>9</v>
      </c>
      <c r="F15" s="419" t="str">
        <f>BEGINBLAD!C12</f>
        <v>leerling 9</v>
      </c>
      <c r="G15" s="1126" t="s">
        <v>204</v>
      </c>
      <c r="H15" s="1126"/>
      <c r="I15" s="1126"/>
      <c r="J15" s="1126"/>
      <c r="K15" s="1126"/>
      <c r="L15" s="1126"/>
      <c r="M15" s="1126"/>
      <c r="N15" s="1126"/>
      <c r="O15" s="1126"/>
      <c r="P15" s="1126"/>
      <c r="Q15" s="1126"/>
      <c r="R15" s="1126"/>
      <c r="S15" s="1126"/>
      <c r="T15" s="1126"/>
      <c r="U15" s="1126"/>
      <c r="V15" s="1127"/>
      <c r="X15" s="926"/>
      <c r="Z15" s="432" t="b">
        <v>0</v>
      </c>
      <c r="AB15" s="631" t="s">
        <v>201</v>
      </c>
      <c r="AC15" s="632"/>
      <c r="AE15" s="631"/>
      <c r="AF15" s="632"/>
      <c r="AH15" s="246"/>
      <c r="AI15" s="247"/>
      <c r="AJ15" s="247"/>
      <c r="AK15" s="248"/>
    </row>
    <row r="16" spans="1:37" ht="19.5" customHeight="1" x14ac:dyDescent="0.2">
      <c r="A16" s="102"/>
      <c r="B16" s="103"/>
      <c r="C16" s="689"/>
      <c r="D16" s="91">
        <f>[2]BEGINBLAD!D15</f>
        <v>8</v>
      </c>
      <c r="E16" s="92">
        <v>10</v>
      </c>
      <c r="F16" s="419" t="str">
        <f>BEGINBLAD!C13</f>
        <v>leerling 10</v>
      </c>
      <c r="G16" s="1126" t="s">
        <v>205</v>
      </c>
      <c r="H16" s="1126"/>
      <c r="I16" s="1126"/>
      <c r="J16" s="1126"/>
      <c r="K16" s="1126"/>
      <c r="L16" s="1126"/>
      <c r="M16" s="1126"/>
      <c r="N16" s="1126"/>
      <c r="O16" s="1126"/>
      <c r="P16" s="1126"/>
      <c r="Q16" s="1126"/>
      <c r="R16" s="1126"/>
      <c r="S16" s="1126"/>
      <c r="T16" s="1126"/>
      <c r="U16" s="1126"/>
      <c r="V16" s="1127"/>
      <c r="X16" s="926"/>
      <c r="Z16" s="432" t="b">
        <v>0</v>
      </c>
      <c r="AB16" s="631" t="s">
        <v>201</v>
      </c>
      <c r="AC16" s="632"/>
      <c r="AE16" s="631"/>
      <c r="AF16" s="632"/>
      <c r="AH16" s="246"/>
      <c r="AI16" s="247"/>
      <c r="AJ16" s="247"/>
      <c r="AK16" s="248"/>
    </row>
    <row r="17" spans="1:37" ht="19.5" customHeight="1" x14ac:dyDescent="0.2">
      <c r="A17" s="102"/>
      <c r="B17" s="103"/>
      <c r="C17" s="689"/>
      <c r="D17" s="91">
        <f>[2]BEGINBLAD!D16</f>
        <v>8</v>
      </c>
      <c r="E17" s="92">
        <v>11</v>
      </c>
      <c r="F17" s="419" t="str">
        <f>BEGINBLAD!C14</f>
        <v>leerling 11</v>
      </c>
      <c r="G17" s="1139"/>
      <c r="H17" s="1140"/>
      <c r="I17" s="1140"/>
      <c r="J17" s="1140"/>
      <c r="K17" s="1140"/>
      <c r="L17" s="1140"/>
      <c r="M17" s="1140"/>
      <c r="N17" s="1140"/>
      <c r="O17" s="1140"/>
      <c r="P17" s="1140"/>
      <c r="Q17" s="1140"/>
      <c r="R17" s="1140"/>
      <c r="S17" s="1140"/>
      <c r="T17" s="1140"/>
      <c r="U17" s="1140"/>
      <c r="V17" s="1141"/>
      <c r="X17" s="926"/>
      <c r="Z17" s="432" t="b">
        <v>0</v>
      </c>
      <c r="AB17" s="631"/>
      <c r="AC17" s="632"/>
      <c r="AE17" s="631"/>
      <c r="AF17" s="632"/>
      <c r="AH17" s="246"/>
      <c r="AI17" s="247"/>
      <c r="AJ17" s="247"/>
      <c r="AK17" s="248"/>
    </row>
    <row r="18" spans="1:37" ht="19.5" customHeight="1" x14ac:dyDescent="0.2">
      <c r="A18" s="102"/>
      <c r="B18" s="103"/>
      <c r="C18" s="689"/>
      <c r="D18" s="91">
        <f>[2]BEGINBLAD!D17</f>
        <v>8</v>
      </c>
      <c r="E18" s="92">
        <v>12</v>
      </c>
      <c r="F18" s="419" t="str">
        <f>BEGINBLAD!C15</f>
        <v>leerling 12</v>
      </c>
      <c r="G18" s="1126" t="s">
        <v>206</v>
      </c>
      <c r="H18" s="1126"/>
      <c r="I18" s="1126"/>
      <c r="J18" s="1126"/>
      <c r="K18" s="1126"/>
      <c r="L18" s="1126"/>
      <c r="M18" s="1126"/>
      <c r="N18" s="1126"/>
      <c r="O18" s="1126"/>
      <c r="P18" s="1126"/>
      <c r="Q18" s="1126"/>
      <c r="R18" s="1126"/>
      <c r="S18" s="1126"/>
      <c r="T18" s="1126"/>
      <c r="U18" s="1126"/>
      <c r="V18" s="1127"/>
      <c r="W18" s="100"/>
      <c r="X18" s="926"/>
      <c r="Z18" s="432" t="b">
        <v>0</v>
      </c>
      <c r="AB18" s="631"/>
      <c r="AC18" s="632"/>
      <c r="AE18" s="631"/>
      <c r="AF18" s="632"/>
      <c r="AH18" s="246"/>
      <c r="AI18" s="247"/>
      <c r="AJ18" s="247"/>
      <c r="AK18" s="248"/>
    </row>
    <row r="19" spans="1:37" ht="19.5" customHeight="1" x14ac:dyDescent="0.2">
      <c r="A19" s="102"/>
      <c r="B19" s="103"/>
      <c r="C19" s="689"/>
      <c r="D19" s="105">
        <f>[2]BEGINBLAD!D18</f>
        <v>8</v>
      </c>
      <c r="E19" s="92">
        <v>13</v>
      </c>
      <c r="F19" s="419" t="str">
        <f>BEGINBLAD!C16</f>
        <v>leerling 13</v>
      </c>
      <c r="G19" s="1126" t="s">
        <v>207</v>
      </c>
      <c r="H19" s="1126"/>
      <c r="I19" s="1126"/>
      <c r="J19" s="1126"/>
      <c r="K19" s="1126"/>
      <c r="L19" s="1126"/>
      <c r="M19" s="1126"/>
      <c r="N19" s="1126"/>
      <c r="O19" s="1126"/>
      <c r="P19" s="1126"/>
      <c r="Q19" s="1126"/>
      <c r="R19" s="1126"/>
      <c r="S19" s="1126"/>
      <c r="T19" s="1126"/>
      <c r="U19" s="1126"/>
      <c r="V19" s="1127"/>
      <c r="W19" s="420"/>
      <c r="X19" s="926"/>
      <c r="Z19" s="432" t="b">
        <v>0</v>
      </c>
      <c r="AB19" s="631"/>
      <c r="AC19" s="632"/>
      <c r="AE19" s="631"/>
      <c r="AF19" s="632"/>
      <c r="AH19" s="246"/>
      <c r="AI19" s="247"/>
      <c r="AJ19" s="247"/>
      <c r="AK19" s="248"/>
    </row>
    <row r="20" spans="1:37" ht="19.5" customHeight="1" x14ac:dyDescent="0.2">
      <c r="A20" s="102"/>
      <c r="B20" s="103"/>
      <c r="C20" s="689"/>
      <c r="D20" s="111">
        <f>[2]BEGINBLAD!D19</f>
        <v>8</v>
      </c>
      <c r="E20" s="92">
        <v>14</v>
      </c>
      <c r="F20" s="419" t="str">
        <f>BEGINBLAD!C17</f>
        <v>leerling 14</v>
      </c>
      <c r="G20" s="1139" t="s">
        <v>208</v>
      </c>
      <c r="H20" s="1140"/>
      <c r="I20" s="1140"/>
      <c r="J20" s="1140"/>
      <c r="K20" s="1140"/>
      <c r="L20" s="1140"/>
      <c r="M20" s="1140"/>
      <c r="N20" s="1140"/>
      <c r="O20" s="1140"/>
      <c r="P20" s="1140"/>
      <c r="Q20" s="1140"/>
      <c r="R20" s="1140"/>
      <c r="S20" s="1140"/>
      <c r="T20" s="1140"/>
      <c r="U20" s="1140"/>
      <c r="V20" s="1141"/>
      <c r="W20" s="420"/>
      <c r="X20" s="926"/>
      <c r="Z20" s="432" t="b">
        <v>0</v>
      </c>
      <c r="AB20" s="631" t="s">
        <v>570</v>
      </c>
      <c r="AC20" s="632"/>
      <c r="AE20" s="631"/>
      <c r="AF20" s="632"/>
      <c r="AH20" s="246"/>
      <c r="AI20" s="247"/>
      <c r="AJ20" s="247"/>
      <c r="AK20" s="248"/>
    </row>
    <row r="21" spans="1:37" ht="19.5" customHeight="1" x14ac:dyDescent="0.2">
      <c r="D21" s="111">
        <f>[2]BEGINBLAD!D20</f>
        <v>8</v>
      </c>
      <c r="E21" s="92">
        <v>15</v>
      </c>
      <c r="F21" s="419" t="str">
        <f>BEGINBLAD!C18</f>
        <v>leerling 15</v>
      </c>
      <c r="G21" s="1126" t="s">
        <v>209</v>
      </c>
      <c r="H21" s="1126"/>
      <c r="I21" s="1126"/>
      <c r="J21" s="1126"/>
      <c r="K21" s="1126"/>
      <c r="L21" s="1126"/>
      <c r="M21" s="1126"/>
      <c r="N21" s="1126"/>
      <c r="O21" s="1126"/>
      <c r="P21" s="1126"/>
      <c r="Q21" s="1126"/>
      <c r="R21" s="1126"/>
      <c r="S21" s="1126"/>
      <c r="T21" s="1126"/>
      <c r="U21" s="1126"/>
      <c r="V21" s="1127"/>
      <c r="W21" s="420"/>
      <c r="X21" s="926"/>
      <c r="Y21" s="89"/>
      <c r="Z21" s="433" t="b">
        <v>0</v>
      </c>
      <c r="AA21" s="89"/>
      <c r="AB21" s="631" t="s">
        <v>570</v>
      </c>
      <c r="AC21" s="632"/>
      <c r="AD21" s="89"/>
      <c r="AE21" s="631"/>
      <c r="AF21" s="632"/>
      <c r="AH21" s="246"/>
      <c r="AI21" s="247"/>
      <c r="AJ21" s="247"/>
      <c r="AK21" s="248"/>
    </row>
    <row r="22" spans="1:37" ht="19.5" customHeight="1" x14ac:dyDescent="0.2">
      <c r="D22" s="111">
        <f>[2]BEGINBLAD!D21</f>
        <v>8</v>
      </c>
      <c r="E22" s="92">
        <v>16</v>
      </c>
      <c r="F22" s="419" t="str">
        <f>BEGINBLAD!C19</f>
        <v>leerling 16</v>
      </c>
      <c r="G22" s="1126"/>
      <c r="H22" s="1126"/>
      <c r="I22" s="1126"/>
      <c r="J22" s="1126"/>
      <c r="K22" s="1126"/>
      <c r="L22" s="1126"/>
      <c r="M22" s="1126"/>
      <c r="N22" s="1126"/>
      <c r="O22" s="1126"/>
      <c r="P22" s="1126"/>
      <c r="Q22" s="1126"/>
      <c r="R22" s="1126"/>
      <c r="S22" s="1126"/>
      <c r="T22" s="1126"/>
      <c r="U22" s="1126"/>
      <c r="V22" s="1127"/>
      <c r="W22" s="420"/>
      <c r="X22" s="926"/>
      <c r="Y22" s="116"/>
      <c r="Z22" s="434" t="b">
        <v>0</v>
      </c>
      <c r="AA22" s="128"/>
      <c r="AB22" s="631"/>
      <c r="AC22" s="632"/>
      <c r="AD22" s="128"/>
      <c r="AE22" s="631"/>
      <c r="AF22" s="632"/>
      <c r="AG22" s="119"/>
      <c r="AH22" s="246"/>
      <c r="AI22" s="247"/>
      <c r="AJ22" s="247"/>
      <c r="AK22" s="248"/>
    </row>
    <row r="23" spans="1:37" ht="19.5" customHeight="1" x14ac:dyDescent="0.2">
      <c r="D23" s="111">
        <f>[2]BEGINBLAD!D22</f>
        <v>8</v>
      </c>
      <c r="E23" s="92">
        <v>17</v>
      </c>
      <c r="F23" s="419" t="str">
        <f>BEGINBLAD!C20</f>
        <v>leerling 17</v>
      </c>
      <c r="G23" s="1133"/>
      <c r="H23" s="1133"/>
      <c r="I23" s="1133"/>
      <c r="J23" s="1133"/>
      <c r="K23" s="1133"/>
      <c r="L23" s="1133"/>
      <c r="M23" s="1133"/>
      <c r="N23" s="1133"/>
      <c r="O23" s="1133"/>
      <c r="P23" s="1133"/>
      <c r="Q23" s="1133"/>
      <c r="R23" s="1133"/>
      <c r="S23" s="1133"/>
      <c r="T23" s="1133"/>
      <c r="U23" s="1133"/>
      <c r="V23" s="1134"/>
      <c r="W23" s="100"/>
      <c r="X23" s="926"/>
      <c r="Y23" s="116"/>
      <c r="Z23" s="433" t="b">
        <v>0</v>
      </c>
      <c r="AA23" s="116"/>
      <c r="AB23" s="631"/>
      <c r="AC23" s="632"/>
      <c r="AD23" s="116"/>
      <c r="AE23" s="631"/>
      <c r="AF23" s="632"/>
      <c r="AH23" s="246"/>
      <c r="AI23" s="247"/>
      <c r="AJ23" s="247"/>
      <c r="AK23" s="248"/>
    </row>
    <row r="24" spans="1:37" ht="19.5" customHeight="1" x14ac:dyDescent="0.2">
      <c r="D24" s="111">
        <f>[2]BEGINBLAD!D23</f>
        <v>8</v>
      </c>
      <c r="E24" s="92">
        <v>18</v>
      </c>
      <c r="F24" s="419" t="str">
        <f>BEGINBLAD!C21</f>
        <v>leerling 18</v>
      </c>
      <c r="G24" s="1133"/>
      <c r="H24" s="1133"/>
      <c r="I24" s="1133"/>
      <c r="J24" s="1133"/>
      <c r="K24" s="1133"/>
      <c r="L24" s="1133"/>
      <c r="M24" s="1133"/>
      <c r="N24" s="1133"/>
      <c r="O24" s="1133"/>
      <c r="P24" s="1133"/>
      <c r="Q24" s="1133"/>
      <c r="R24" s="1133"/>
      <c r="S24" s="1133"/>
      <c r="T24" s="1133"/>
      <c r="U24" s="1133"/>
      <c r="V24" s="1134"/>
      <c r="W24" s="420"/>
      <c r="X24" s="926"/>
      <c r="Y24" s="116"/>
      <c r="Z24" s="433" t="b">
        <v>0</v>
      </c>
      <c r="AA24" s="116"/>
      <c r="AB24" s="631"/>
      <c r="AC24" s="632"/>
      <c r="AD24" s="116"/>
      <c r="AE24" s="631"/>
      <c r="AF24" s="632"/>
      <c r="AH24" s="246"/>
      <c r="AI24" s="247"/>
      <c r="AJ24" s="247"/>
      <c r="AK24" s="248"/>
    </row>
    <row r="25" spans="1:37" ht="19.5" customHeight="1" x14ac:dyDescent="0.2">
      <c r="B25" s="122"/>
      <c r="C25" s="122"/>
      <c r="D25" s="111">
        <f>[2]BEGINBLAD!D24</f>
        <v>8</v>
      </c>
      <c r="E25" s="92">
        <v>19</v>
      </c>
      <c r="F25" s="419" t="str">
        <f>BEGINBLAD!C22</f>
        <v>leerling 19</v>
      </c>
      <c r="G25" s="1133"/>
      <c r="H25" s="1133"/>
      <c r="I25" s="1133"/>
      <c r="J25" s="1133"/>
      <c r="K25" s="1133"/>
      <c r="L25" s="1133"/>
      <c r="M25" s="1133"/>
      <c r="N25" s="1133"/>
      <c r="O25" s="1133"/>
      <c r="P25" s="1133"/>
      <c r="Q25" s="1133"/>
      <c r="R25" s="1133"/>
      <c r="S25" s="1133"/>
      <c r="T25" s="1133"/>
      <c r="U25" s="1133"/>
      <c r="V25" s="1134"/>
      <c r="W25" s="420"/>
      <c r="X25" s="926"/>
      <c r="Y25" s="116"/>
      <c r="Z25" s="433" t="b">
        <v>0</v>
      </c>
      <c r="AA25" s="116"/>
      <c r="AB25" s="631"/>
      <c r="AC25" s="632"/>
      <c r="AD25" s="116"/>
      <c r="AE25" s="631"/>
      <c r="AF25" s="632"/>
      <c r="AH25" s="246"/>
      <c r="AI25" s="247"/>
      <c r="AJ25" s="247"/>
      <c r="AK25" s="248"/>
    </row>
    <row r="26" spans="1:37" ht="19.5" customHeight="1" x14ac:dyDescent="0.2">
      <c r="B26" s="123"/>
      <c r="C26" s="122"/>
      <c r="D26" s="111">
        <f>[2]BEGINBLAD!D25</f>
        <v>8</v>
      </c>
      <c r="E26" s="92">
        <v>20</v>
      </c>
      <c r="F26" s="419" t="str">
        <f>BEGINBLAD!C23</f>
        <v>leerling 20</v>
      </c>
      <c r="G26" s="1133"/>
      <c r="H26" s="1133"/>
      <c r="I26" s="1133"/>
      <c r="J26" s="1133"/>
      <c r="K26" s="1133"/>
      <c r="L26" s="1133"/>
      <c r="M26" s="1133"/>
      <c r="N26" s="1133"/>
      <c r="O26" s="1133"/>
      <c r="P26" s="1133"/>
      <c r="Q26" s="1133"/>
      <c r="R26" s="1133"/>
      <c r="S26" s="1133"/>
      <c r="T26" s="1133"/>
      <c r="U26" s="1133"/>
      <c r="V26" s="1134"/>
      <c r="W26" s="420"/>
      <c r="X26" s="926"/>
      <c r="Y26" s="116"/>
      <c r="Z26" s="433" t="b">
        <v>0</v>
      </c>
      <c r="AA26" s="116"/>
      <c r="AB26" s="631"/>
      <c r="AC26" s="632"/>
      <c r="AD26" s="116"/>
      <c r="AE26" s="631"/>
      <c r="AF26" s="632"/>
      <c r="AH26" s="246"/>
      <c r="AI26" s="247"/>
      <c r="AJ26" s="247"/>
      <c r="AK26" s="248"/>
    </row>
    <row r="27" spans="1:37" ht="19.5" customHeight="1" x14ac:dyDescent="0.2">
      <c r="B27" s="123"/>
      <c r="C27" s="122"/>
      <c r="D27" s="111">
        <f>[2]BEGINBLAD!D26</f>
        <v>8</v>
      </c>
      <c r="E27" s="92">
        <v>21</v>
      </c>
      <c r="F27" s="419" t="str">
        <f>BEGINBLAD!C24</f>
        <v>leerling 21</v>
      </c>
      <c r="G27" s="1133"/>
      <c r="H27" s="1133"/>
      <c r="I27" s="1133"/>
      <c r="J27" s="1133"/>
      <c r="K27" s="1133"/>
      <c r="L27" s="1133"/>
      <c r="M27" s="1133"/>
      <c r="N27" s="1133"/>
      <c r="O27" s="1133"/>
      <c r="P27" s="1133"/>
      <c r="Q27" s="1133"/>
      <c r="R27" s="1133"/>
      <c r="S27" s="1133"/>
      <c r="T27" s="1133"/>
      <c r="U27" s="1133"/>
      <c r="V27" s="1134"/>
      <c r="W27" s="420"/>
      <c r="X27" s="926"/>
      <c r="Y27" s="116"/>
      <c r="Z27" s="433" t="b">
        <v>0</v>
      </c>
      <c r="AA27" s="116"/>
      <c r="AB27" s="631"/>
      <c r="AC27" s="632"/>
      <c r="AD27" s="116"/>
      <c r="AE27" s="631"/>
      <c r="AF27" s="632"/>
      <c r="AH27" s="246"/>
      <c r="AI27" s="247"/>
      <c r="AJ27" s="247"/>
      <c r="AK27" s="248"/>
    </row>
    <row r="28" spans="1:37" ht="19.5" customHeight="1" x14ac:dyDescent="0.2">
      <c r="D28" s="111">
        <f>[2]BEGINBLAD!D27</f>
        <v>8</v>
      </c>
      <c r="E28" s="92">
        <v>22</v>
      </c>
      <c r="F28" s="419" t="str">
        <f>BEGINBLAD!C25</f>
        <v>leerling 22</v>
      </c>
      <c r="G28" s="1133"/>
      <c r="H28" s="1133"/>
      <c r="I28" s="1133"/>
      <c r="J28" s="1133"/>
      <c r="K28" s="1133"/>
      <c r="L28" s="1133"/>
      <c r="M28" s="1133"/>
      <c r="N28" s="1133"/>
      <c r="O28" s="1133"/>
      <c r="P28" s="1133"/>
      <c r="Q28" s="1133"/>
      <c r="R28" s="1133"/>
      <c r="S28" s="1133"/>
      <c r="T28" s="1133"/>
      <c r="U28" s="1133"/>
      <c r="V28" s="1134"/>
      <c r="W28" s="100"/>
      <c r="X28" s="926"/>
      <c r="Y28" s="89"/>
      <c r="Z28" s="433" t="b">
        <v>0</v>
      </c>
      <c r="AA28" s="89"/>
      <c r="AB28" s="631"/>
      <c r="AC28" s="632"/>
      <c r="AD28" s="89"/>
      <c r="AE28" s="631"/>
      <c r="AF28" s="632"/>
      <c r="AH28" s="246"/>
      <c r="AI28" s="247"/>
      <c r="AJ28" s="247"/>
      <c r="AK28" s="248"/>
    </row>
    <row r="29" spans="1:37" s="126" customFormat="1" ht="19.5" customHeight="1" x14ac:dyDescent="0.4">
      <c r="A29" s="89"/>
      <c r="B29" s="1132" t="s">
        <v>43</v>
      </c>
      <c r="C29" s="90" t="s">
        <v>210</v>
      </c>
      <c r="D29" s="105">
        <f>[2]BEGINBLAD!D28</f>
        <v>8</v>
      </c>
      <c r="E29" s="92">
        <v>23</v>
      </c>
      <c r="F29" s="419" t="str">
        <f>BEGINBLAD!C26</f>
        <v>leerling 23</v>
      </c>
      <c r="G29" s="1133"/>
      <c r="H29" s="1133"/>
      <c r="I29" s="1133"/>
      <c r="J29" s="1133"/>
      <c r="K29" s="1133"/>
      <c r="L29" s="1133"/>
      <c r="M29" s="1133"/>
      <c r="N29" s="1133"/>
      <c r="O29" s="1133"/>
      <c r="P29" s="1133"/>
      <c r="Q29" s="1133"/>
      <c r="R29" s="1133"/>
      <c r="S29" s="1133"/>
      <c r="T29" s="1133"/>
      <c r="U29" s="1133"/>
      <c r="V29" s="1134"/>
      <c r="W29" s="420"/>
      <c r="X29" s="926"/>
      <c r="Y29" s="125"/>
      <c r="Z29" s="433" t="b">
        <v>0</v>
      </c>
      <c r="AA29" s="351"/>
      <c r="AB29" s="631"/>
      <c r="AC29" s="632"/>
      <c r="AD29" s="351"/>
      <c r="AE29" s="631"/>
      <c r="AF29" s="632"/>
      <c r="AH29" s="246"/>
      <c r="AI29" s="247"/>
      <c r="AJ29" s="247"/>
      <c r="AK29" s="248"/>
    </row>
    <row r="30" spans="1:37" ht="19.5" customHeight="1" x14ac:dyDescent="0.2">
      <c r="A30" s="89"/>
      <c r="B30" s="1132"/>
      <c r="C30" s="101" t="s">
        <v>200</v>
      </c>
      <c r="D30" s="105">
        <f>[2]BEGINBLAD!D29</f>
        <v>8</v>
      </c>
      <c r="E30" s="92">
        <v>24</v>
      </c>
      <c r="F30" s="419" t="str">
        <f>BEGINBLAD!C27</f>
        <v>leerling 24</v>
      </c>
      <c r="G30" s="1133"/>
      <c r="H30" s="1133"/>
      <c r="I30" s="1133"/>
      <c r="J30" s="1133"/>
      <c r="K30" s="1133"/>
      <c r="L30" s="1133"/>
      <c r="M30" s="1133"/>
      <c r="N30" s="1133"/>
      <c r="O30" s="1133"/>
      <c r="P30" s="1133"/>
      <c r="Q30" s="1133"/>
      <c r="R30" s="1133"/>
      <c r="S30" s="1133"/>
      <c r="T30" s="1133"/>
      <c r="U30" s="1133"/>
      <c r="V30" s="1134"/>
      <c r="W30" s="420"/>
      <c r="X30" s="926"/>
      <c r="Y30" s="77"/>
      <c r="Z30" s="433" t="b">
        <v>0</v>
      </c>
      <c r="AA30" s="346"/>
      <c r="AB30" s="631"/>
      <c r="AC30" s="632"/>
      <c r="AD30" s="346"/>
      <c r="AE30" s="631"/>
      <c r="AF30" s="632"/>
      <c r="AH30" s="246"/>
      <c r="AI30" s="247"/>
      <c r="AJ30" s="247"/>
      <c r="AK30" s="248"/>
    </row>
    <row r="31" spans="1:37" ht="19.5" customHeight="1" x14ac:dyDescent="0.2">
      <c r="A31" s="102"/>
      <c r="B31" s="103"/>
      <c r="C31" s="689"/>
      <c r="D31" s="91">
        <f>[2]BEGINBLAD!D30</f>
        <v>8</v>
      </c>
      <c r="E31" s="92">
        <v>25</v>
      </c>
      <c r="F31" s="419" t="str">
        <f>BEGINBLAD!C28</f>
        <v>leerling 25</v>
      </c>
      <c r="G31" s="1133"/>
      <c r="H31" s="1133"/>
      <c r="I31" s="1133"/>
      <c r="J31" s="1133"/>
      <c r="K31" s="1133"/>
      <c r="L31" s="1133"/>
      <c r="M31" s="1133"/>
      <c r="N31" s="1133"/>
      <c r="O31" s="1133"/>
      <c r="P31" s="1133"/>
      <c r="Q31" s="1133"/>
      <c r="R31" s="1133"/>
      <c r="S31" s="1133"/>
      <c r="T31" s="1133"/>
      <c r="U31" s="1133"/>
      <c r="V31" s="1134"/>
      <c r="W31" s="420"/>
      <c r="X31" s="926"/>
      <c r="Y31" s="128"/>
      <c r="Z31" s="433" t="b">
        <v>0</v>
      </c>
      <c r="AA31" s="128"/>
      <c r="AB31" s="631"/>
      <c r="AC31" s="632"/>
      <c r="AD31" s="128"/>
      <c r="AE31" s="631"/>
      <c r="AF31" s="632"/>
      <c r="AH31" s="246"/>
      <c r="AI31" s="247"/>
      <c r="AJ31" s="247"/>
      <c r="AK31" s="248"/>
    </row>
    <row r="32" spans="1:37" ht="19.5" customHeight="1" x14ac:dyDescent="0.2">
      <c r="A32" s="102"/>
      <c r="B32" s="103"/>
      <c r="C32" s="689"/>
      <c r="D32" s="91">
        <f>[2]BEGINBLAD!D31</f>
        <v>8</v>
      </c>
      <c r="E32" s="92">
        <v>26</v>
      </c>
      <c r="F32" s="419" t="str">
        <f>BEGINBLAD!C29</f>
        <v>leerling 26</v>
      </c>
      <c r="G32" s="1133"/>
      <c r="H32" s="1133"/>
      <c r="I32" s="1133"/>
      <c r="J32" s="1133"/>
      <c r="K32" s="1133"/>
      <c r="L32" s="1133"/>
      <c r="M32" s="1133"/>
      <c r="N32" s="1133"/>
      <c r="O32" s="1133"/>
      <c r="P32" s="1133"/>
      <c r="Q32" s="1133"/>
      <c r="R32" s="1133"/>
      <c r="S32" s="1133"/>
      <c r="T32" s="1133"/>
      <c r="U32" s="1133"/>
      <c r="V32" s="1134"/>
      <c r="W32" s="420"/>
      <c r="X32" s="926"/>
      <c r="Y32" s="116"/>
      <c r="Z32" s="433" t="b">
        <v>0</v>
      </c>
      <c r="AA32" s="116"/>
      <c r="AB32" s="631"/>
      <c r="AC32" s="632"/>
      <c r="AD32" s="116"/>
      <c r="AE32" s="631"/>
      <c r="AF32" s="632"/>
      <c r="AH32" s="246"/>
      <c r="AI32" s="247"/>
      <c r="AJ32" s="247"/>
      <c r="AK32" s="248"/>
    </row>
    <row r="33" spans="1:37" ht="19.5" customHeight="1" x14ac:dyDescent="0.2">
      <c r="A33" s="102"/>
      <c r="B33" s="103"/>
      <c r="C33" s="689"/>
      <c r="D33" s="91">
        <f>[2]BEGINBLAD!D32</f>
        <v>8</v>
      </c>
      <c r="E33" s="92">
        <v>27</v>
      </c>
      <c r="F33" s="419">
        <f>BEGINBLAD!C30</f>
        <v>0</v>
      </c>
      <c r="G33" s="1133"/>
      <c r="H33" s="1133"/>
      <c r="I33" s="1133"/>
      <c r="J33" s="1133"/>
      <c r="K33" s="1133"/>
      <c r="L33" s="1133"/>
      <c r="M33" s="1133"/>
      <c r="N33" s="1133"/>
      <c r="O33" s="1133"/>
      <c r="P33" s="1133"/>
      <c r="Q33" s="1133"/>
      <c r="R33" s="1133"/>
      <c r="S33" s="1133"/>
      <c r="T33" s="1133"/>
      <c r="U33" s="1133"/>
      <c r="V33" s="1134"/>
      <c r="W33" s="100"/>
      <c r="X33" s="926"/>
      <c r="Y33" s="116"/>
      <c r="Z33" s="433" t="b">
        <v>0</v>
      </c>
      <c r="AA33" s="116"/>
      <c r="AB33" s="631"/>
      <c r="AC33" s="632"/>
      <c r="AD33" s="116"/>
      <c r="AE33" s="631"/>
      <c r="AF33" s="632"/>
      <c r="AH33" s="246"/>
      <c r="AI33" s="247"/>
      <c r="AJ33" s="247"/>
      <c r="AK33" s="248"/>
    </row>
    <row r="34" spans="1:37" ht="19.5" customHeight="1" x14ac:dyDescent="0.2">
      <c r="A34" s="102"/>
      <c r="B34" s="103"/>
      <c r="C34" s="689"/>
      <c r="D34" s="91">
        <f>[2]BEGINBLAD!D33</f>
        <v>8</v>
      </c>
      <c r="E34" s="92">
        <v>28</v>
      </c>
      <c r="F34" s="419">
        <f>BEGINBLAD!C31</f>
        <v>0</v>
      </c>
      <c r="G34" s="1133"/>
      <c r="H34" s="1133"/>
      <c r="I34" s="1133"/>
      <c r="J34" s="1133"/>
      <c r="K34" s="1133"/>
      <c r="L34" s="1133"/>
      <c r="M34" s="1133"/>
      <c r="N34" s="1133"/>
      <c r="O34" s="1133"/>
      <c r="P34" s="1133"/>
      <c r="Q34" s="1133"/>
      <c r="R34" s="1133"/>
      <c r="S34" s="1133"/>
      <c r="T34" s="1133"/>
      <c r="U34" s="1133"/>
      <c r="V34" s="1134"/>
      <c r="W34" s="420"/>
      <c r="X34" s="926"/>
      <c r="Y34" s="116"/>
      <c r="Z34" s="433" t="b">
        <v>0</v>
      </c>
      <c r="AA34" s="116"/>
      <c r="AB34" s="631"/>
      <c r="AC34" s="632"/>
      <c r="AD34" s="116"/>
      <c r="AE34" s="631"/>
      <c r="AF34" s="632"/>
      <c r="AH34" s="246"/>
      <c r="AI34" s="247"/>
      <c r="AJ34" s="247"/>
      <c r="AK34" s="248"/>
    </row>
    <row r="35" spans="1:37" ht="19.5" customHeight="1" x14ac:dyDescent="0.2">
      <c r="A35" s="102"/>
      <c r="B35" s="103"/>
      <c r="C35" s="689"/>
      <c r="D35" s="91">
        <f>[2]BEGINBLAD!D34</f>
        <v>8</v>
      </c>
      <c r="E35" s="92">
        <v>29</v>
      </c>
      <c r="F35" s="419">
        <f>BEGINBLAD!C32</f>
        <v>0</v>
      </c>
      <c r="G35" s="1133"/>
      <c r="H35" s="1133"/>
      <c r="I35" s="1133"/>
      <c r="J35" s="1133"/>
      <c r="K35" s="1133"/>
      <c r="L35" s="1133"/>
      <c r="M35" s="1133"/>
      <c r="N35" s="1133"/>
      <c r="O35" s="1133"/>
      <c r="P35" s="1133"/>
      <c r="Q35" s="1133"/>
      <c r="R35" s="1133"/>
      <c r="S35" s="1133"/>
      <c r="T35" s="1133"/>
      <c r="U35" s="1133"/>
      <c r="V35" s="1134"/>
      <c r="W35" s="420"/>
      <c r="X35" s="926"/>
      <c r="Y35" s="116"/>
      <c r="Z35" s="433" t="b">
        <v>0</v>
      </c>
      <c r="AA35" s="116"/>
      <c r="AB35" s="631"/>
      <c r="AC35" s="632"/>
      <c r="AD35" s="116"/>
      <c r="AE35" s="631"/>
      <c r="AF35" s="632"/>
      <c r="AH35" s="246"/>
      <c r="AI35" s="247"/>
      <c r="AJ35" s="247"/>
      <c r="AK35" s="248"/>
    </row>
    <row r="36" spans="1:37" ht="19.5" customHeight="1" x14ac:dyDescent="0.2">
      <c r="A36" s="102"/>
      <c r="B36" s="103"/>
      <c r="C36" s="689"/>
      <c r="D36" s="91">
        <f>[2]BEGINBLAD!D35</f>
        <v>0</v>
      </c>
      <c r="E36" s="92">
        <v>30</v>
      </c>
      <c r="F36" s="419">
        <f>BEGINBLAD!C33</f>
        <v>0</v>
      </c>
      <c r="G36" s="1133"/>
      <c r="H36" s="1133"/>
      <c r="I36" s="1133"/>
      <c r="J36" s="1133"/>
      <c r="K36" s="1133"/>
      <c r="L36" s="1133"/>
      <c r="M36" s="1133"/>
      <c r="N36" s="1133"/>
      <c r="O36" s="1133"/>
      <c r="P36" s="1133"/>
      <c r="Q36" s="1133"/>
      <c r="R36" s="1133"/>
      <c r="S36" s="1133"/>
      <c r="T36" s="1133"/>
      <c r="U36" s="1133"/>
      <c r="V36" s="1134"/>
      <c r="W36" s="420"/>
      <c r="X36" s="926"/>
      <c r="Y36" s="116"/>
      <c r="Z36" s="433" t="b">
        <v>0</v>
      </c>
      <c r="AA36" s="116"/>
      <c r="AB36" s="631"/>
      <c r="AC36" s="632"/>
      <c r="AD36" s="116"/>
      <c r="AE36" s="631"/>
      <c r="AF36" s="632"/>
      <c r="AH36" s="246"/>
      <c r="AI36" s="247"/>
      <c r="AJ36" s="247"/>
      <c r="AK36" s="248"/>
    </row>
    <row r="37" spans="1:37" ht="19.5" customHeight="1" x14ac:dyDescent="0.2">
      <c r="A37" s="102"/>
      <c r="B37" s="103"/>
      <c r="C37" s="689"/>
      <c r="D37" s="91">
        <f>[2]BEGINBLAD!D36</f>
        <v>0</v>
      </c>
      <c r="E37" s="92">
        <v>31</v>
      </c>
      <c r="F37" s="419">
        <f>BEGINBLAD!C34</f>
        <v>0</v>
      </c>
      <c r="G37" s="1133"/>
      <c r="H37" s="1133"/>
      <c r="I37" s="1133"/>
      <c r="J37" s="1133"/>
      <c r="K37" s="1133"/>
      <c r="L37" s="1133"/>
      <c r="M37" s="1133"/>
      <c r="N37" s="1133"/>
      <c r="O37" s="1133"/>
      <c r="P37" s="1133"/>
      <c r="Q37" s="1133"/>
      <c r="R37" s="1133"/>
      <c r="S37" s="1133"/>
      <c r="T37" s="1133"/>
      <c r="U37" s="1133"/>
      <c r="V37" s="1134"/>
      <c r="W37" s="420"/>
      <c r="X37" s="926"/>
      <c r="Y37" s="116"/>
      <c r="Z37" s="433" t="b">
        <v>0</v>
      </c>
      <c r="AA37" s="116"/>
      <c r="AB37" s="631"/>
      <c r="AC37" s="632"/>
      <c r="AD37" s="116"/>
      <c r="AE37" s="631"/>
      <c r="AF37" s="632"/>
      <c r="AH37" s="246"/>
      <c r="AI37" s="247"/>
      <c r="AJ37" s="247"/>
      <c r="AK37" s="248"/>
    </row>
    <row r="38" spans="1:37" ht="19.5" customHeight="1" x14ac:dyDescent="0.2">
      <c r="A38" s="102"/>
      <c r="B38" s="103"/>
      <c r="C38" s="689"/>
      <c r="D38" s="91">
        <f>[2]BEGINBLAD!D37</f>
        <v>0</v>
      </c>
      <c r="E38" s="92">
        <v>32</v>
      </c>
      <c r="F38" s="419">
        <f>BEGINBLAD!C35</f>
        <v>0</v>
      </c>
      <c r="G38" s="1133"/>
      <c r="H38" s="1133"/>
      <c r="I38" s="1133"/>
      <c r="J38" s="1133"/>
      <c r="K38" s="1133"/>
      <c r="L38" s="1133"/>
      <c r="M38" s="1133"/>
      <c r="N38" s="1133"/>
      <c r="O38" s="1133"/>
      <c r="P38" s="1133"/>
      <c r="Q38" s="1133"/>
      <c r="R38" s="1133"/>
      <c r="S38" s="1133"/>
      <c r="T38" s="1133"/>
      <c r="U38" s="1133"/>
      <c r="V38" s="1134"/>
      <c r="W38" s="100"/>
      <c r="X38" s="926"/>
      <c r="Y38" s="116"/>
      <c r="Z38" s="433" t="b">
        <v>0</v>
      </c>
      <c r="AA38" s="116"/>
      <c r="AB38" s="631"/>
      <c r="AC38" s="632"/>
      <c r="AD38" s="116"/>
      <c r="AE38" s="631"/>
      <c r="AF38" s="632"/>
      <c r="AH38" s="246"/>
      <c r="AI38" s="247"/>
      <c r="AJ38" s="247"/>
      <c r="AK38" s="248"/>
    </row>
    <row r="39" spans="1:37" ht="19.5" customHeight="1" x14ac:dyDescent="0.2">
      <c r="A39" s="102"/>
      <c r="B39" s="103"/>
      <c r="C39" s="689"/>
      <c r="D39" s="91">
        <f>[2]BEGINBLAD!D38</f>
        <v>0</v>
      </c>
      <c r="E39" s="92">
        <v>33</v>
      </c>
      <c r="F39" s="419">
        <f>BEGINBLAD!C36</f>
        <v>0</v>
      </c>
      <c r="G39" s="1133"/>
      <c r="H39" s="1133"/>
      <c r="I39" s="1133"/>
      <c r="J39" s="1133"/>
      <c r="K39" s="1133"/>
      <c r="L39" s="1133"/>
      <c r="M39" s="1133"/>
      <c r="N39" s="1133"/>
      <c r="O39" s="1133"/>
      <c r="P39" s="1133"/>
      <c r="Q39" s="1133"/>
      <c r="R39" s="1133"/>
      <c r="S39" s="1133"/>
      <c r="T39" s="1133"/>
      <c r="U39" s="1133"/>
      <c r="V39" s="1134"/>
      <c r="W39" s="420"/>
      <c r="X39" s="926"/>
      <c r="Y39" s="116"/>
      <c r="Z39" s="433" t="b">
        <v>0</v>
      </c>
      <c r="AA39" s="116"/>
      <c r="AB39" s="631"/>
      <c r="AC39" s="632"/>
      <c r="AD39" s="116"/>
      <c r="AE39" s="631"/>
      <c r="AF39" s="632"/>
      <c r="AH39" s="246"/>
      <c r="AI39" s="247"/>
      <c r="AJ39" s="247"/>
      <c r="AK39" s="248"/>
    </row>
    <row r="40" spans="1:37" ht="19.5" customHeight="1" x14ac:dyDescent="0.2">
      <c r="A40" s="102"/>
      <c r="B40" s="103"/>
      <c r="C40" s="689"/>
      <c r="D40" s="91">
        <f>[2]BEGINBLAD!D39</f>
        <v>0</v>
      </c>
      <c r="E40" s="92">
        <v>34</v>
      </c>
      <c r="F40" s="419">
        <f>BEGINBLAD!C37</f>
        <v>0</v>
      </c>
      <c r="G40" s="1133"/>
      <c r="H40" s="1133"/>
      <c r="I40" s="1133"/>
      <c r="J40" s="1133"/>
      <c r="K40" s="1133"/>
      <c r="L40" s="1133"/>
      <c r="M40" s="1133"/>
      <c r="N40" s="1133"/>
      <c r="O40" s="1133"/>
      <c r="P40" s="1133"/>
      <c r="Q40" s="1133"/>
      <c r="R40" s="1133"/>
      <c r="S40" s="1133"/>
      <c r="T40" s="1133"/>
      <c r="U40" s="1133"/>
      <c r="V40" s="1134"/>
      <c r="W40" s="420"/>
      <c r="X40" s="926"/>
      <c r="Y40" s="116"/>
      <c r="Z40" s="433" t="b">
        <v>0</v>
      </c>
      <c r="AA40" s="116"/>
      <c r="AB40" s="631"/>
      <c r="AC40" s="632"/>
      <c r="AD40" s="116"/>
      <c r="AE40" s="631"/>
      <c r="AF40" s="632"/>
      <c r="AH40" s="246"/>
      <c r="AI40" s="247"/>
      <c r="AJ40" s="247"/>
      <c r="AK40" s="248"/>
    </row>
    <row r="41" spans="1:37" ht="19.5" customHeight="1" x14ac:dyDescent="0.2">
      <c r="A41" s="102"/>
      <c r="B41" s="103"/>
      <c r="C41" s="689"/>
      <c r="D41" s="91">
        <f>[2]BEGINBLAD!D40</f>
        <v>0</v>
      </c>
      <c r="E41" s="92">
        <v>35</v>
      </c>
      <c r="F41" s="419">
        <f>BEGINBLAD!C38</f>
        <v>0</v>
      </c>
      <c r="G41" s="1133"/>
      <c r="H41" s="1133"/>
      <c r="I41" s="1133"/>
      <c r="J41" s="1133"/>
      <c r="K41" s="1133"/>
      <c r="L41" s="1133"/>
      <c r="M41" s="1133"/>
      <c r="N41" s="1133"/>
      <c r="O41" s="1133"/>
      <c r="P41" s="1133"/>
      <c r="Q41" s="1133"/>
      <c r="R41" s="1133"/>
      <c r="S41" s="1133"/>
      <c r="T41" s="1133"/>
      <c r="U41" s="1133"/>
      <c r="V41" s="1134"/>
      <c r="W41" s="420"/>
      <c r="X41" s="926"/>
      <c r="Y41" s="116"/>
      <c r="Z41" s="433" t="b">
        <v>0</v>
      </c>
      <c r="AA41" s="116"/>
      <c r="AB41" s="631"/>
      <c r="AC41" s="632"/>
      <c r="AD41" s="116"/>
      <c r="AE41" s="631"/>
      <c r="AF41" s="632"/>
      <c r="AH41" s="246"/>
      <c r="AI41" s="247"/>
      <c r="AJ41" s="247"/>
      <c r="AK41" s="248"/>
    </row>
    <row r="42" spans="1:37" s="89" customFormat="1" ht="19.5" customHeight="1" thickBot="1" x14ac:dyDescent="0.25">
      <c r="A42" s="102"/>
      <c r="B42" s="103"/>
      <c r="C42" s="689"/>
      <c r="D42" s="91">
        <f>[2]BEGINBLAD!D41</f>
        <v>0</v>
      </c>
      <c r="E42" s="130">
        <v>36</v>
      </c>
      <c r="F42" s="352">
        <f>BEGINBLAD!C39</f>
        <v>0</v>
      </c>
      <c r="G42" s="1159"/>
      <c r="H42" s="1159"/>
      <c r="I42" s="1159"/>
      <c r="J42" s="1159"/>
      <c r="K42" s="1159"/>
      <c r="L42" s="1159"/>
      <c r="M42" s="1159"/>
      <c r="N42" s="1159"/>
      <c r="O42" s="1159"/>
      <c r="P42" s="1159"/>
      <c r="Q42" s="1159"/>
      <c r="R42" s="1159"/>
      <c r="S42" s="1159"/>
      <c r="T42" s="1159"/>
      <c r="U42" s="1159"/>
      <c r="V42" s="1160"/>
      <c r="W42" s="420"/>
      <c r="X42" s="927"/>
      <c r="Y42" s="116"/>
      <c r="Z42" s="433" t="b">
        <v>0</v>
      </c>
      <c r="AA42" s="116"/>
      <c r="AB42" s="633"/>
      <c r="AC42" s="634"/>
      <c r="AD42" s="116"/>
      <c r="AE42" s="633"/>
      <c r="AF42" s="634"/>
      <c r="AH42" s="250"/>
      <c r="AI42" s="251"/>
      <c r="AJ42" s="251"/>
      <c r="AK42" s="252"/>
    </row>
    <row r="43" spans="1:37" ht="19.5" customHeight="1" thickBot="1" x14ac:dyDescent="0.25">
      <c r="A43" s="137"/>
      <c r="B43" s="138"/>
      <c r="C43" s="364" t="s">
        <v>211</v>
      </c>
      <c r="D43" s="1158" t="s">
        <v>212</v>
      </c>
      <c r="E43" s="1158"/>
      <c r="F43" s="1158"/>
      <c r="G43" s="427"/>
      <c r="H43" s="1158" t="s">
        <v>213</v>
      </c>
      <c r="I43" s="1158"/>
      <c r="J43" s="1158"/>
      <c r="K43" s="1158"/>
      <c r="L43" s="1158"/>
      <c r="M43" s="1158"/>
      <c r="N43" s="1158"/>
      <c r="O43" s="1158"/>
      <c r="P43" s="1158"/>
      <c r="Q43" s="1158"/>
      <c r="R43" s="1158"/>
      <c r="S43" s="1158"/>
      <c r="T43" s="1158"/>
      <c r="U43" s="1158"/>
      <c r="V43" s="1158"/>
      <c r="W43" s="1158"/>
      <c r="X43" s="1158"/>
      <c r="Y43" s="116"/>
      <c r="Z43" s="354"/>
      <c r="AA43" s="354"/>
      <c r="AB43" s="354"/>
      <c r="AC43" s="354"/>
      <c r="AD43" s="354"/>
      <c r="AE43" s="354"/>
      <c r="AF43" s="354"/>
    </row>
    <row r="44" spans="1:37" ht="19.5" customHeight="1" x14ac:dyDescent="0.2">
      <c r="A44" s="355"/>
      <c r="B44" s="356"/>
      <c r="C44" s="424" t="s">
        <v>214</v>
      </c>
      <c r="D44" s="1143"/>
      <c r="E44" s="1143"/>
      <c r="F44" s="1144"/>
      <c r="G44" s="428"/>
      <c r="H44" s="1145"/>
      <c r="I44" s="1146"/>
      <c r="J44" s="1146"/>
      <c r="K44" s="1146"/>
      <c r="L44" s="1146"/>
      <c r="M44" s="1146"/>
      <c r="N44" s="1146"/>
      <c r="O44" s="1146"/>
      <c r="P44" s="1146"/>
      <c r="Q44" s="1146"/>
      <c r="R44" s="1146"/>
      <c r="S44" s="1146"/>
      <c r="T44" s="1146"/>
      <c r="U44" s="1146"/>
      <c r="V44" s="1146"/>
      <c r="W44" s="1146"/>
      <c r="X44" s="1147"/>
      <c r="Y44" s="116"/>
      <c r="Z44" s="354"/>
      <c r="AA44" s="354"/>
      <c r="AB44" s="354"/>
      <c r="AC44" s="354"/>
      <c r="AD44" s="354"/>
      <c r="AE44" s="354"/>
      <c r="AF44" s="354"/>
    </row>
    <row r="45" spans="1:37" ht="19.5" customHeight="1" x14ac:dyDescent="0.2">
      <c r="A45" s="355"/>
      <c r="B45" s="357"/>
      <c r="C45" s="425" t="s">
        <v>215</v>
      </c>
      <c r="D45" s="1154"/>
      <c r="E45" s="1154"/>
      <c r="F45" s="1155"/>
      <c r="G45" s="428"/>
      <c r="H45" s="1148"/>
      <c r="I45" s="1149"/>
      <c r="J45" s="1149"/>
      <c r="K45" s="1149"/>
      <c r="L45" s="1149"/>
      <c r="M45" s="1149"/>
      <c r="N45" s="1149"/>
      <c r="O45" s="1149"/>
      <c r="P45" s="1149"/>
      <c r="Q45" s="1149"/>
      <c r="R45" s="1149"/>
      <c r="S45" s="1149"/>
      <c r="T45" s="1149"/>
      <c r="U45" s="1149"/>
      <c r="V45" s="1149"/>
      <c r="W45" s="1149"/>
      <c r="X45" s="1150"/>
      <c r="Y45" s="116"/>
      <c r="Z45" s="354"/>
      <c r="AA45" s="354"/>
      <c r="AB45" s="354"/>
      <c r="AC45" s="354"/>
      <c r="AD45" s="354"/>
      <c r="AE45" s="354"/>
      <c r="AF45" s="354"/>
    </row>
    <row r="46" spans="1:37" ht="19.5" customHeight="1" x14ac:dyDescent="0.2">
      <c r="A46" s="355"/>
      <c r="B46" s="357"/>
      <c r="C46" s="425" t="s">
        <v>216</v>
      </c>
      <c r="D46" s="1154"/>
      <c r="E46" s="1154"/>
      <c r="F46" s="1155"/>
      <c r="G46" s="428"/>
      <c r="H46" s="1148"/>
      <c r="I46" s="1149"/>
      <c r="J46" s="1149"/>
      <c r="K46" s="1149"/>
      <c r="L46" s="1149"/>
      <c r="M46" s="1149"/>
      <c r="N46" s="1149"/>
      <c r="O46" s="1149"/>
      <c r="P46" s="1149"/>
      <c r="Q46" s="1149"/>
      <c r="R46" s="1149"/>
      <c r="S46" s="1149"/>
      <c r="T46" s="1149"/>
      <c r="U46" s="1149"/>
      <c r="V46" s="1149"/>
      <c r="W46" s="1149"/>
      <c r="X46" s="1150"/>
      <c r="Y46" s="116"/>
      <c r="Z46" s="354"/>
      <c r="AA46" s="354"/>
      <c r="AB46" s="354"/>
      <c r="AC46" s="354"/>
      <c r="AD46" s="354"/>
      <c r="AE46" s="354"/>
      <c r="AF46" s="354"/>
    </row>
    <row r="47" spans="1:37" ht="19.5" customHeight="1" x14ac:dyDescent="0.2">
      <c r="A47" s="355"/>
      <c r="B47" s="357"/>
      <c r="C47" s="425" t="s">
        <v>217</v>
      </c>
      <c r="D47" s="1154"/>
      <c r="E47" s="1154"/>
      <c r="F47" s="1155"/>
      <c r="G47" s="428"/>
      <c r="H47" s="1148"/>
      <c r="I47" s="1149"/>
      <c r="J47" s="1149"/>
      <c r="K47" s="1149"/>
      <c r="L47" s="1149"/>
      <c r="M47" s="1149"/>
      <c r="N47" s="1149"/>
      <c r="O47" s="1149"/>
      <c r="P47" s="1149"/>
      <c r="Q47" s="1149"/>
      <c r="R47" s="1149"/>
      <c r="S47" s="1149"/>
      <c r="T47" s="1149"/>
      <c r="U47" s="1149"/>
      <c r="V47" s="1149"/>
      <c r="W47" s="1149"/>
      <c r="X47" s="1150"/>
      <c r="Y47" s="116"/>
      <c r="Z47" s="354"/>
      <c r="AA47" s="354"/>
      <c r="AB47" s="354"/>
      <c r="AC47" s="354"/>
      <c r="AD47" s="354"/>
      <c r="AE47" s="354"/>
      <c r="AF47" s="354"/>
    </row>
    <row r="48" spans="1:37" ht="19.5" customHeight="1" thickBot="1" x14ac:dyDescent="0.25">
      <c r="A48" s="355"/>
      <c r="B48" s="357"/>
      <c r="C48" s="426" t="s">
        <v>218</v>
      </c>
      <c r="D48" s="1156"/>
      <c r="E48" s="1156"/>
      <c r="F48" s="1157"/>
      <c r="G48" s="428"/>
      <c r="H48" s="1151"/>
      <c r="I48" s="1152"/>
      <c r="J48" s="1152"/>
      <c r="K48" s="1152"/>
      <c r="L48" s="1152"/>
      <c r="M48" s="1152"/>
      <c r="N48" s="1152"/>
      <c r="O48" s="1152"/>
      <c r="P48" s="1152"/>
      <c r="Q48" s="1152"/>
      <c r="R48" s="1152"/>
      <c r="S48" s="1152"/>
      <c r="T48" s="1152"/>
      <c r="U48" s="1152"/>
      <c r="V48" s="1152"/>
      <c r="W48" s="1152"/>
      <c r="X48" s="1153"/>
      <c r="Y48" s="116"/>
      <c r="Z48" s="116"/>
      <c r="AA48" s="116"/>
      <c r="AB48" s="116"/>
      <c r="AC48" s="116"/>
      <c r="AD48" s="116"/>
      <c r="AE48" s="116"/>
      <c r="AF48" s="116"/>
    </row>
    <row r="49" spans="2:32" x14ac:dyDescent="0.2">
      <c r="B49" s="140"/>
      <c r="C49" s="78"/>
      <c r="D49" s="353"/>
      <c r="M49" s="116"/>
      <c r="N49" s="116"/>
      <c r="O49" s="116"/>
      <c r="P49" s="116"/>
      <c r="Q49" s="116"/>
      <c r="R49" s="116"/>
      <c r="S49" s="116"/>
      <c r="Y49" s="116"/>
      <c r="Z49" s="116"/>
      <c r="AA49" s="116"/>
      <c r="AB49" s="116"/>
      <c r="AC49" s="116"/>
      <c r="AD49" s="116"/>
      <c r="AE49" s="116"/>
      <c r="AF49" s="116"/>
    </row>
    <row r="50" spans="2:32" x14ac:dyDescent="0.2">
      <c r="D50" s="353"/>
      <c r="E50" s="353"/>
      <c r="F50" s="358"/>
      <c r="G50" s="359" t="s">
        <v>219</v>
      </c>
      <c r="H50" s="359"/>
      <c r="I50" s="360"/>
      <c r="J50" s="359"/>
      <c r="K50" s="359"/>
      <c r="L50" s="359"/>
      <c r="M50" s="360"/>
      <c r="N50" s="360"/>
      <c r="O50" s="349"/>
      <c r="P50" s="349"/>
      <c r="Q50" s="349"/>
      <c r="R50" s="349"/>
      <c r="S50" s="349"/>
      <c r="Y50" s="116"/>
      <c r="Z50" s="116"/>
      <c r="AA50" s="116"/>
      <c r="AB50" s="116"/>
      <c r="AC50" s="116"/>
      <c r="AD50" s="116"/>
      <c r="AE50" s="116"/>
      <c r="AF50" s="116"/>
    </row>
    <row r="51" spans="2:32" x14ac:dyDescent="0.2">
      <c r="D51" s="353"/>
      <c r="E51" s="353"/>
      <c r="F51" s="361"/>
      <c r="G51" s="359" t="s">
        <v>220</v>
      </c>
      <c r="H51" s="359"/>
      <c r="I51" s="360"/>
      <c r="J51" s="359"/>
      <c r="K51" s="359"/>
      <c r="L51" s="359"/>
      <c r="M51" s="360"/>
      <c r="N51" s="360"/>
      <c r="O51" s="362"/>
      <c r="P51" s="362"/>
      <c r="Q51" s="362"/>
      <c r="R51" s="362"/>
      <c r="S51" s="362"/>
      <c r="Y51" s="116"/>
      <c r="Z51" s="116"/>
      <c r="AA51" s="116"/>
      <c r="AB51" s="116"/>
      <c r="AC51" s="116"/>
      <c r="AD51" s="116"/>
      <c r="AE51" s="116"/>
      <c r="AF51" s="116"/>
    </row>
    <row r="52" spans="2:32" x14ac:dyDescent="0.2">
      <c r="D52" s="353"/>
      <c r="E52" s="353"/>
      <c r="F52" s="362"/>
      <c r="G52" s="359" t="s">
        <v>221</v>
      </c>
      <c r="H52" s="359"/>
      <c r="I52" s="360"/>
      <c r="J52" s="359"/>
      <c r="K52" s="359"/>
      <c r="L52" s="359"/>
      <c r="M52" s="360"/>
      <c r="N52" s="360"/>
      <c r="O52" s="362">
        <v>0.25</v>
      </c>
      <c r="P52" s="362"/>
      <c r="Q52" s="362"/>
      <c r="R52" s="362"/>
      <c r="S52" s="362"/>
      <c r="Y52" s="116"/>
      <c r="Z52" s="116"/>
      <c r="AA52" s="116"/>
      <c r="AB52" s="116"/>
      <c r="AC52" s="116"/>
      <c r="AD52" s="116"/>
      <c r="AE52" s="116"/>
      <c r="AF52" s="116"/>
    </row>
    <row r="53" spans="2:32" x14ac:dyDescent="0.2">
      <c r="D53" s="353"/>
      <c r="E53" s="353"/>
      <c r="F53" s="363"/>
      <c r="G53" s="359" t="s">
        <v>222</v>
      </c>
      <c r="H53" s="359"/>
      <c r="I53" s="360"/>
      <c r="J53" s="359"/>
      <c r="K53" s="359"/>
      <c r="L53" s="359"/>
      <c r="M53" s="360"/>
      <c r="N53" s="360"/>
      <c r="O53" s="362">
        <v>0.15</v>
      </c>
      <c r="P53" s="362"/>
      <c r="Q53" s="362"/>
      <c r="R53" s="362"/>
      <c r="S53" s="362"/>
      <c r="Y53" s="116"/>
      <c r="Z53" s="116"/>
      <c r="AA53" s="116"/>
      <c r="AB53" s="116"/>
      <c r="AC53" s="116"/>
      <c r="AD53" s="116"/>
      <c r="AE53" s="116"/>
      <c r="AF53" s="116"/>
    </row>
    <row r="54" spans="2:32" x14ac:dyDescent="0.2">
      <c r="D54" s="353"/>
      <c r="E54" s="353"/>
      <c r="F54" s="363"/>
      <c r="G54" s="359" t="s">
        <v>223</v>
      </c>
      <c r="H54" s="359"/>
      <c r="I54" s="360"/>
      <c r="J54" s="359"/>
      <c r="K54" s="359"/>
      <c r="L54" s="359"/>
      <c r="M54" s="360"/>
      <c r="N54" s="360"/>
      <c r="O54" s="362">
        <v>0.1</v>
      </c>
      <c r="P54" s="362"/>
      <c r="Q54" s="362"/>
      <c r="R54" s="362"/>
      <c r="S54" s="362"/>
      <c r="Y54" s="116"/>
      <c r="Z54" s="116"/>
      <c r="AA54" s="116"/>
      <c r="AB54" s="116"/>
      <c r="AC54" s="116"/>
      <c r="AD54" s="116"/>
      <c r="AE54" s="116"/>
      <c r="AF54" s="116"/>
    </row>
    <row r="55" spans="2:32" x14ac:dyDescent="0.2">
      <c r="D55" s="353"/>
      <c r="E55" s="353"/>
      <c r="F55" s="362"/>
      <c r="G55" s="359" t="s">
        <v>224</v>
      </c>
      <c r="H55" s="359"/>
      <c r="I55" s="360"/>
      <c r="J55" s="359"/>
      <c r="K55" s="359"/>
      <c r="L55" s="359"/>
      <c r="M55" s="360"/>
      <c r="N55" s="360"/>
      <c r="O55" s="362">
        <v>0.15</v>
      </c>
      <c r="P55" s="362"/>
      <c r="Q55" s="362"/>
      <c r="R55" s="362"/>
      <c r="S55" s="362"/>
      <c r="Y55" s="116"/>
      <c r="Z55" s="116"/>
      <c r="AA55" s="116"/>
      <c r="AB55" s="116"/>
      <c r="AC55" s="116"/>
      <c r="AD55" s="116"/>
      <c r="AE55" s="116"/>
      <c r="AF55" s="116"/>
    </row>
    <row r="56" spans="2:32" x14ac:dyDescent="0.2">
      <c r="D56" s="353"/>
      <c r="E56" s="353"/>
      <c r="F56" s="362"/>
      <c r="G56" s="359" t="s">
        <v>225</v>
      </c>
      <c r="H56" s="359"/>
      <c r="I56" s="360"/>
      <c r="J56" s="359"/>
      <c r="K56" s="359"/>
      <c r="L56" s="359"/>
      <c r="M56" s="360"/>
      <c r="N56" s="360"/>
      <c r="O56" s="362">
        <v>0.1</v>
      </c>
      <c r="P56" s="362"/>
      <c r="Q56" s="362"/>
      <c r="R56" s="362"/>
      <c r="S56" s="362"/>
      <c r="Y56" s="116"/>
      <c r="Z56" s="116"/>
      <c r="AA56" s="116"/>
      <c r="AB56" s="116"/>
      <c r="AC56" s="116"/>
      <c r="AD56" s="116"/>
      <c r="AE56" s="116"/>
      <c r="AF56" s="116"/>
    </row>
    <row r="57" spans="2:32" x14ac:dyDescent="0.2">
      <c r="D57" s="353"/>
      <c r="E57" s="353"/>
      <c r="F57" s="353"/>
      <c r="G57" s="364"/>
      <c r="H57" s="364"/>
      <c r="I57" s="364"/>
      <c r="J57" s="120"/>
      <c r="K57" s="120"/>
      <c r="L57" s="120"/>
      <c r="M57" s="120"/>
      <c r="N57" s="120"/>
      <c r="O57" s="120"/>
      <c r="P57" s="120"/>
      <c r="Q57" s="120"/>
      <c r="R57" s="120"/>
      <c r="S57" s="120"/>
      <c r="Y57" s="116"/>
      <c r="Z57" s="116"/>
      <c r="AA57" s="116"/>
      <c r="AB57" s="116"/>
      <c r="AC57" s="116"/>
      <c r="AD57" s="116"/>
      <c r="AE57" s="116"/>
      <c r="AF57" s="116"/>
    </row>
    <row r="58" spans="2:32" x14ac:dyDescent="0.2">
      <c r="D58" s="353"/>
      <c r="E58" s="353"/>
      <c r="F58" s="353"/>
      <c r="G58" s="364"/>
      <c r="H58" s="364"/>
      <c r="I58" s="364"/>
      <c r="J58" s="120"/>
      <c r="K58" s="120"/>
      <c r="L58" s="120"/>
      <c r="M58" s="120"/>
      <c r="N58" s="120"/>
      <c r="O58" s="120"/>
      <c r="P58" s="120"/>
      <c r="Q58" s="120"/>
      <c r="R58" s="120"/>
      <c r="S58" s="120"/>
      <c r="Y58" s="116"/>
      <c r="Z58" s="116"/>
      <c r="AA58" s="116"/>
      <c r="AB58" s="116"/>
      <c r="AC58" s="116"/>
      <c r="AD58" s="116"/>
      <c r="AE58" s="116"/>
      <c r="AF58" s="116"/>
    </row>
    <row r="59" spans="2:32" x14ac:dyDescent="0.2">
      <c r="D59" s="353"/>
      <c r="E59" s="353"/>
      <c r="F59" s="353"/>
      <c r="G59" s="364"/>
      <c r="H59" s="364"/>
      <c r="I59" s="364"/>
      <c r="J59" s="116"/>
      <c r="K59" s="116"/>
      <c r="L59" s="116"/>
      <c r="M59" s="116"/>
      <c r="N59" s="116"/>
      <c r="O59" s="116"/>
      <c r="P59" s="116"/>
      <c r="Q59" s="116"/>
      <c r="R59" s="116"/>
      <c r="S59" s="116"/>
      <c r="Y59" s="116"/>
      <c r="Z59" s="116"/>
      <c r="AA59" s="116"/>
      <c r="AB59" s="116"/>
      <c r="AC59" s="116"/>
      <c r="AD59" s="116"/>
      <c r="AE59" s="116"/>
      <c r="AF59" s="116"/>
    </row>
    <row r="60" spans="2:32" x14ac:dyDescent="0.2">
      <c r="E60" s="78"/>
      <c r="F60" s="78"/>
      <c r="J60" s="116"/>
      <c r="K60" s="116"/>
      <c r="L60" s="116"/>
      <c r="M60" s="116"/>
      <c r="N60" s="116"/>
      <c r="O60" s="116"/>
      <c r="P60" s="116"/>
      <c r="Q60" s="116"/>
      <c r="R60" s="116"/>
      <c r="S60" s="116"/>
      <c r="Y60" s="116"/>
      <c r="Z60" s="116"/>
      <c r="AA60" s="116"/>
      <c r="AB60" s="116"/>
      <c r="AC60" s="116"/>
      <c r="AD60" s="116"/>
      <c r="AE60" s="116"/>
      <c r="AF60" s="116"/>
    </row>
    <row r="61" spans="2:32" x14ac:dyDescent="0.2">
      <c r="E61" s="78"/>
      <c r="F61" s="78"/>
      <c r="J61" s="116"/>
      <c r="K61" s="116"/>
      <c r="L61" s="116"/>
      <c r="M61" s="116"/>
      <c r="N61" s="116"/>
      <c r="O61" s="116"/>
      <c r="P61" s="116"/>
      <c r="Q61" s="116"/>
      <c r="R61" s="116"/>
      <c r="S61" s="116"/>
      <c r="Y61" s="116"/>
      <c r="Z61" s="116"/>
      <c r="AA61" s="116"/>
      <c r="AB61" s="116"/>
      <c r="AC61" s="116"/>
      <c r="AD61" s="116"/>
      <c r="AE61" s="116"/>
      <c r="AF61" s="116"/>
    </row>
    <row r="62" spans="2:32" x14ac:dyDescent="0.2">
      <c r="E62" s="78"/>
      <c r="F62" s="78"/>
      <c r="J62" s="116"/>
      <c r="K62" s="116"/>
      <c r="L62" s="116"/>
      <c r="M62" s="116"/>
      <c r="N62" s="116"/>
      <c r="O62" s="116"/>
      <c r="P62" s="116"/>
      <c r="Q62" s="116"/>
      <c r="R62" s="116"/>
      <c r="S62" s="116"/>
      <c r="Y62" s="116"/>
      <c r="Z62" s="116"/>
      <c r="AA62" s="116"/>
      <c r="AB62" s="116"/>
      <c r="AC62" s="116"/>
      <c r="AD62" s="116"/>
      <c r="AE62" s="116"/>
      <c r="AF62" s="116"/>
    </row>
    <row r="63" spans="2:32" x14ac:dyDescent="0.2">
      <c r="E63" s="78"/>
      <c r="F63" s="78"/>
      <c r="J63" s="116"/>
      <c r="K63" s="116"/>
      <c r="L63" s="116"/>
      <c r="M63" s="116"/>
      <c r="N63" s="116"/>
      <c r="O63" s="116"/>
      <c r="P63" s="116"/>
      <c r="Q63" s="116"/>
      <c r="R63" s="116"/>
      <c r="S63" s="116"/>
      <c r="Y63" s="116"/>
      <c r="Z63" s="116"/>
      <c r="AA63" s="116"/>
      <c r="AB63" s="116"/>
      <c r="AC63" s="116"/>
      <c r="AD63" s="116"/>
      <c r="AE63" s="116"/>
      <c r="AF63" s="116"/>
    </row>
    <row r="64" spans="2:32" x14ac:dyDescent="0.2">
      <c r="E64" s="78"/>
      <c r="F64" s="78"/>
      <c r="K64" s="116"/>
      <c r="L64" s="116"/>
      <c r="M64" s="116"/>
      <c r="N64" s="116"/>
      <c r="O64" s="116"/>
      <c r="P64" s="116"/>
      <c r="Q64" s="116"/>
      <c r="R64" s="116"/>
      <c r="S64" s="116"/>
      <c r="T64" s="116"/>
      <c r="U64" s="116"/>
      <c r="V64" s="116"/>
      <c r="W64" s="116"/>
      <c r="X64" s="116"/>
      <c r="Y64" s="116"/>
      <c r="Z64" s="116"/>
      <c r="AA64" s="116"/>
      <c r="AB64" s="116"/>
      <c r="AC64" s="116"/>
      <c r="AD64" s="116"/>
      <c r="AE64" s="116"/>
      <c r="AF64" s="116"/>
    </row>
    <row r="65" spans="3:33" x14ac:dyDescent="0.2">
      <c r="E65" s="78"/>
      <c r="F65" s="78"/>
      <c r="K65" s="116"/>
      <c r="L65" s="116"/>
      <c r="M65" s="116"/>
      <c r="N65" s="116"/>
      <c r="O65" s="116"/>
      <c r="P65" s="116"/>
      <c r="Q65" s="116"/>
      <c r="R65" s="116"/>
      <c r="S65" s="116"/>
      <c r="T65" s="116"/>
      <c r="U65" s="116"/>
      <c r="V65" s="116"/>
      <c r="W65" s="116"/>
      <c r="X65" s="116"/>
      <c r="Y65" s="116"/>
      <c r="Z65" s="116"/>
      <c r="AA65" s="116"/>
      <c r="AB65" s="116"/>
      <c r="AC65" s="116"/>
      <c r="AD65" s="116"/>
      <c r="AE65" s="116"/>
      <c r="AF65" s="116"/>
    </row>
    <row r="66" spans="3:33" x14ac:dyDescent="0.2">
      <c r="E66" s="78"/>
      <c r="F66" s="78"/>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365"/>
    </row>
    <row r="67" spans="3:33" x14ac:dyDescent="0.2">
      <c r="C67" s="78"/>
      <c r="E67" s="78"/>
      <c r="F67" s="78"/>
      <c r="J67" s="78"/>
      <c r="K67" s="350"/>
      <c r="L67" s="350"/>
      <c r="M67" s="350"/>
      <c r="N67" s="350"/>
      <c r="O67" s="350"/>
      <c r="P67" s="350"/>
      <c r="Q67" s="350"/>
      <c r="R67" s="350"/>
      <c r="S67" s="350"/>
      <c r="T67" s="350"/>
      <c r="U67" s="350"/>
      <c r="V67" s="350"/>
      <c r="W67" s="350"/>
      <c r="X67" s="350"/>
      <c r="Y67" s="116"/>
      <c r="Z67" s="128"/>
      <c r="AA67" s="128"/>
      <c r="AB67" s="128"/>
      <c r="AC67" s="128"/>
      <c r="AD67" s="128"/>
      <c r="AE67" s="118"/>
      <c r="AF67" s="118"/>
      <c r="AG67" s="119"/>
    </row>
    <row r="68" spans="3:33" x14ac:dyDescent="0.2">
      <c r="C68" s="78"/>
      <c r="E68" s="78"/>
      <c r="F68" s="78"/>
      <c r="J68" s="78"/>
      <c r="K68" s="116"/>
      <c r="L68" s="116"/>
      <c r="M68" s="116"/>
      <c r="N68" s="116"/>
      <c r="O68" s="116"/>
      <c r="P68" s="116"/>
      <c r="Q68" s="116"/>
      <c r="R68" s="116"/>
      <c r="S68" s="116"/>
      <c r="T68" s="116"/>
      <c r="U68" s="116"/>
      <c r="V68" s="116"/>
      <c r="W68" s="116"/>
      <c r="X68" s="116"/>
      <c r="Y68" s="116"/>
      <c r="Z68" s="116"/>
      <c r="AA68" s="116"/>
      <c r="AB68" s="116"/>
      <c r="AC68" s="116"/>
      <c r="AD68" s="116"/>
      <c r="AE68" s="116"/>
      <c r="AF68" s="116"/>
    </row>
    <row r="69" spans="3:33" x14ac:dyDescent="0.2">
      <c r="C69" s="78"/>
      <c r="E69" s="78"/>
      <c r="F69" s="78"/>
      <c r="J69" s="78"/>
      <c r="K69" s="116"/>
      <c r="L69" s="116"/>
      <c r="M69" s="116"/>
      <c r="N69" s="116"/>
      <c r="O69" s="116"/>
      <c r="P69" s="116"/>
      <c r="Q69" s="116"/>
      <c r="R69" s="116"/>
      <c r="S69" s="116"/>
      <c r="T69" s="116"/>
      <c r="U69" s="116"/>
      <c r="V69" s="116"/>
      <c r="W69" s="116"/>
      <c r="X69" s="116"/>
      <c r="Y69" s="116"/>
      <c r="Z69" s="116"/>
      <c r="AA69" s="116"/>
      <c r="AB69" s="116"/>
      <c r="AC69" s="116"/>
      <c r="AD69" s="116"/>
      <c r="AE69" s="116"/>
      <c r="AF69" s="116"/>
    </row>
    <row r="70" spans="3:33" x14ac:dyDescent="0.2">
      <c r="K70" s="116"/>
      <c r="L70" s="116"/>
      <c r="M70" s="116"/>
      <c r="N70" s="116"/>
      <c r="O70" s="116"/>
      <c r="P70" s="116"/>
      <c r="Q70" s="116"/>
      <c r="R70" s="116"/>
      <c r="S70" s="116"/>
      <c r="T70" s="116"/>
      <c r="U70" s="116"/>
      <c r="V70" s="116"/>
      <c r="W70" s="116"/>
      <c r="X70" s="116"/>
      <c r="Y70" s="116"/>
      <c r="Z70" s="116"/>
      <c r="AA70" s="116"/>
      <c r="AB70" s="116"/>
      <c r="AC70" s="116"/>
      <c r="AD70" s="116"/>
      <c r="AE70" s="116"/>
      <c r="AF70" s="116"/>
    </row>
    <row r="71" spans="3:33" x14ac:dyDescent="0.2">
      <c r="K71" s="116"/>
      <c r="L71" s="116"/>
      <c r="M71" s="116"/>
      <c r="N71" s="116"/>
      <c r="O71" s="116"/>
      <c r="P71" s="116"/>
      <c r="Q71" s="116"/>
      <c r="R71" s="116"/>
      <c r="S71" s="116"/>
      <c r="T71" s="116"/>
      <c r="U71" s="116"/>
      <c r="V71" s="116"/>
      <c r="W71" s="116"/>
      <c r="X71" s="116"/>
      <c r="Y71" s="116"/>
      <c r="Z71" s="116"/>
      <c r="AA71" s="116"/>
      <c r="AB71" s="116"/>
      <c r="AC71" s="116"/>
      <c r="AD71" s="116"/>
      <c r="AE71" s="116"/>
      <c r="AF71" s="116"/>
    </row>
    <row r="72" spans="3:33" x14ac:dyDescent="0.2">
      <c r="K72" s="116"/>
      <c r="L72" s="116"/>
      <c r="M72" s="116"/>
      <c r="N72" s="116"/>
      <c r="O72" s="116"/>
      <c r="P72" s="116"/>
      <c r="Q72" s="116"/>
      <c r="R72" s="116"/>
      <c r="S72" s="116"/>
      <c r="T72" s="116"/>
      <c r="U72" s="116"/>
      <c r="V72" s="116"/>
      <c r="W72" s="116"/>
      <c r="X72" s="116"/>
      <c r="Y72" s="116"/>
      <c r="Z72" s="116"/>
      <c r="AA72" s="116"/>
      <c r="AB72" s="116"/>
      <c r="AC72" s="116"/>
      <c r="AD72" s="116"/>
      <c r="AE72" s="116"/>
      <c r="AF72" s="116"/>
    </row>
    <row r="73" spans="3:33" x14ac:dyDescent="0.2">
      <c r="K73" s="116"/>
      <c r="L73" s="116"/>
      <c r="M73" s="116"/>
      <c r="N73" s="116"/>
      <c r="O73" s="116"/>
      <c r="P73" s="116"/>
      <c r="Q73" s="116"/>
      <c r="R73" s="116"/>
      <c r="S73" s="116"/>
      <c r="T73" s="116"/>
      <c r="U73" s="116"/>
      <c r="V73" s="116"/>
      <c r="W73" s="116"/>
      <c r="X73" s="116"/>
      <c r="Y73" s="116"/>
      <c r="Z73" s="116"/>
      <c r="AA73" s="116"/>
      <c r="AB73" s="116"/>
      <c r="AC73" s="116"/>
      <c r="AD73" s="116"/>
      <c r="AE73" s="116"/>
      <c r="AF73" s="116"/>
    </row>
    <row r="74" spans="3:33" x14ac:dyDescent="0.2">
      <c r="K74" s="116"/>
      <c r="L74" s="116"/>
      <c r="M74" s="116"/>
      <c r="N74" s="116"/>
      <c r="O74" s="116"/>
      <c r="P74" s="116"/>
      <c r="Q74" s="116"/>
      <c r="R74" s="116"/>
      <c r="S74" s="116"/>
      <c r="T74" s="116"/>
      <c r="U74" s="116"/>
      <c r="V74" s="116"/>
      <c r="W74" s="116"/>
      <c r="X74" s="116"/>
      <c r="Y74" s="116"/>
      <c r="Z74" s="116"/>
      <c r="AA74" s="116"/>
      <c r="AB74" s="116"/>
      <c r="AC74" s="116"/>
      <c r="AD74" s="116"/>
      <c r="AE74" s="116"/>
      <c r="AF74" s="116"/>
    </row>
    <row r="75" spans="3:33" x14ac:dyDescent="0.2">
      <c r="K75" s="116"/>
      <c r="L75" s="116"/>
      <c r="M75" s="116"/>
      <c r="N75" s="116"/>
      <c r="O75" s="116"/>
      <c r="P75" s="116"/>
      <c r="Q75" s="116"/>
      <c r="R75" s="116"/>
      <c r="S75" s="116"/>
      <c r="T75" s="116"/>
      <c r="U75" s="116"/>
      <c r="V75" s="116"/>
      <c r="W75" s="116"/>
      <c r="X75" s="116"/>
      <c r="Y75" s="116"/>
      <c r="Z75" s="116"/>
      <c r="AA75" s="116"/>
      <c r="AB75" s="116"/>
      <c r="AC75" s="116"/>
      <c r="AD75" s="116"/>
      <c r="AE75" s="116"/>
      <c r="AF75" s="116"/>
    </row>
    <row r="76" spans="3:33" x14ac:dyDescent="0.2">
      <c r="K76" s="116"/>
      <c r="L76" s="116"/>
      <c r="M76" s="116"/>
      <c r="N76" s="116"/>
      <c r="O76" s="116"/>
      <c r="P76" s="116"/>
      <c r="Q76" s="116"/>
      <c r="R76" s="116"/>
      <c r="S76" s="116"/>
      <c r="T76" s="116"/>
      <c r="U76" s="116"/>
      <c r="V76" s="116"/>
      <c r="W76" s="116"/>
      <c r="X76" s="116"/>
      <c r="Y76" s="116"/>
      <c r="Z76" s="116"/>
      <c r="AA76" s="116"/>
      <c r="AB76" s="116"/>
      <c r="AC76" s="116"/>
      <c r="AD76" s="116"/>
      <c r="AE76" s="116"/>
      <c r="AF76" s="116"/>
    </row>
    <row r="77" spans="3:33" x14ac:dyDescent="0.2">
      <c r="K77" s="116"/>
      <c r="L77" s="116"/>
      <c r="M77" s="116"/>
      <c r="N77" s="116"/>
      <c r="O77" s="116"/>
      <c r="P77" s="116"/>
      <c r="Q77" s="116"/>
      <c r="R77" s="116"/>
      <c r="S77" s="116"/>
      <c r="T77" s="116"/>
      <c r="U77" s="116"/>
      <c r="V77" s="116"/>
      <c r="W77" s="116"/>
      <c r="X77" s="116"/>
      <c r="Y77" s="116"/>
      <c r="Z77" s="116"/>
      <c r="AA77" s="116"/>
      <c r="AB77" s="116"/>
      <c r="AC77" s="116"/>
      <c r="AD77" s="116"/>
      <c r="AE77" s="116"/>
      <c r="AF77" s="116"/>
    </row>
    <row r="78" spans="3:33" x14ac:dyDescent="0.2">
      <c r="K78" s="116"/>
      <c r="L78" s="116"/>
      <c r="M78" s="116"/>
      <c r="N78" s="116"/>
      <c r="O78" s="116"/>
      <c r="P78" s="116"/>
      <c r="Q78" s="116"/>
      <c r="R78" s="116"/>
      <c r="S78" s="116"/>
      <c r="T78" s="116"/>
      <c r="U78" s="116"/>
      <c r="V78" s="116"/>
      <c r="W78" s="116"/>
      <c r="X78" s="116"/>
      <c r="Y78" s="116"/>
      <c r="Z78" s="116"/>
      <c r="AA78" s="116"/>
      <c r="AB78" s="116"/>
      <c r="AC78" s="116"/>
      <c r="AD78" s="116"/>
      <c r="AE78" s="116"/>
      <c r="AF78" s="116"/>
    </row>
    <row r="79" spans="3:33" x14ac:dyDescent="0.2">
      <c r="K79" s="116"/>
      <c r="L79" s="116"/>
      <c r="M79" s="116"/>
      <c r="N79" s="116"/>
      <c r="O79" s="116"/>
      <c r="P79" s="116"/>
      <c r="Q79" s="116"/>
      <c r="R79" s="116"/>
      <c r="S79" s="116"/>
      <c r="T79" s="116"/>
      <c r="U79" s="116"/>
      <c r="V79" s="116"/>
      <c r="W79" s="116"/>
      <c r="X79" s="116"/>
      <c r="Y79" s="116"/>
      <c r="Z79" s="116"/>
      <c r="AA79" s="116"/>
      <c r="AB79" s="116"/>
      <c r="AC79" s="116"/>
      <c r="AD79" s="116"/>
      <c r="AE79" s="116"/>
      <c r="AF79" s="116"/>
    </row>
    <row r="80" spans="3:33" x14ac:dyDescent="0.2">
      <c r="K80" s="116"/>
      <c r="L80" s="116"/>
      <c r="M80" s="116"/>
      <c r="N80" s="116"/>
      <c r="O80" s="116"/>
      <c r="P80" s="116"/>
      <c r="Q80" s="116"/>
      <c r="R80" s="116"/>
      <c r="S80" s="116"/>
      <c r="T80" s="116"/>
      <c r="U80" s="116"/>
      <c r="V80" s="116"/>
      <c r="W80" s="116"/>
      <c r="X80" s="116"/>
      <c r="Y80" s="116"/>
      <c r="Z80" s="116"/>
      <c r="AA80" s="116"/>
      <c r="AB80" s="116"/>
      <c r="AC80" s="116"/>
      <c r="AD80" s="116"/>
      <c r="AE80" s="116"/>
      <c r="AF80" s="116"/>
    </row>
    <row r="81" spans="2:32" x14ac:dyDescent="0.2">
      <c r="K81" s="116"/>
      <c r="L81" s="116"/>
      <c r="M81" s="116"/>
      <c r="N81" s="116"/>
      <c r="O81" s="116"/>
      <c r="P81" s="116"/>
      <c r="Q81" s="116"/>
      <c r="R81" s="116"/>
      <c r="S81" s="116"/>
      <c r="T81" s="116"/>
      <c r="U81" s="116"/>
      <c r="V81" s="116"/>
      <c r="W81" s="116"/>
      <c r="X81" s="116"/>
      <c r="Y81" s="116"/>
      <c r="Z81" s="116"/>
      <c r="AA81" s="116"/>
      <c r="AB81" s="116"/>
      <c r="AC81" s="116"/>
      <c r="AD81" s="116"/>
      <c r="AE81" s="116"/>
      <c r="AF81" s="116"/>
    </row>
    <row r="82" spans="2:32" x14ac:dyDescent="0.2">
      <c r="K82" s="116"/>
      <c r="L82" s="116"/>
      <c r="M82" s="116"/>
      <c r="N82" s="116"/>
      <c r="O82" s="116"/>
      <c r="P82" s="116"/>
      <c r="Q82" s="116"/>
      <c r="R82" s="116"/>
      <c r="S82" s="116"/>
      <c r="T82" s="116"/>
      <c r="U82" s="116"/>
      <c r="V82" s="116"/>
      <c r="W82" s="116"/>
      <c r="X82" s="116"/>
      <c r="Y82" s="116"/>
      <c r="Z82" s="116"/>
      <c r="AA82" s="116"/>
      <c r="AB82" s="116"/>
      <c r="AC82" s="116"/>
      <c r="AD82" s="116"/>
      <c r="AE82" s="116"/>
      <c r="AF82" s="116"/>
    </row>
    <row r="83" spans="2:32" x14ac:dyDescent="0.2">
      <c r="K83" s="116"/>
      <c r="L83" s="116"/>
      <c r="M83" s="116"/>
      <c r="N83" s="116"/>
      <c r="O83" s="116"/>
      <c r="P83" s="116"/>
      <c r="Q83" s="116"/>
      <c r="R83" s="116"/>
      <c r="S83" s="116"/>
      <c r="T83" s="116"/>
      <c r="U83" s="116"/>
      <c r="V83" s="116"/>
      <c r="W83" s="116"/>
      <c r="X83" s="116"/>
      <c r="Y83" s="116"/>
      <c r="Z83" s="116"/>
      <c r="AA83" s="116"/>
      <c r="AB83" s="116"/>
      <c r="AC83" s="116"/>
      <c r="AD83" s="116"/>
      <c r="AE83" s="116"/>
      <c r="AF83" s="116"/>
    </row>
    <row r="84" spans="2:32" x14ac:dyDescent="0.2">
      <c r="K84" s="116"/>
      <c r="L84" s="116"/>
      <c r="M84" s="116"/>
      <c r="N84" s="116"/>
      <c r="O84" s="116"/>
      <c r="P84" s="116"/>
      <c r="Q84" s="116"/>
      <c r="R84" s="116"/>
      <c r="S84" s="116"/>
      <c r="T84" s="116"/>
      <c r="U84" s="116"/>
      <c r="V84" s="116"/>
      <c r="W84" s="116"/>
      <c r="X84" s="116"/>
      <c r="Y84" s="116"/>
      <c r="Z84" s="116"/>
      <c r="AA84" s="116"/>
      <c r="AB84" s="116"/>
      <c r="AC84" s="116"/>
      <c r="AD84" s="116"/>
      <c r="AE84" s="116"/>
      <c r="AF84" s="116"/>
    </row>
    <row r="85" spans="2:32" x14ac:dyDescent="0.2">
      <c r="B85" s="1142" t="s">
        <v>226</v>
      </c>
      <c r="C85" s="1142"/>
      <c r="D85" s="366"/>
      <c r="E85" s="692"/>
      <c r="F85" s="692"/>
      <c r="G85" s="367"/>
      <c r="H85" s="367"/>
      <c r="I85" s="367"/>
      <c r="K85" s="116"/>
      <c r="L85" s="116"/>
      <c r="M85" s="116"/>
      <c r="N85" s="116"/>
      <c r="O85" s="116"/>
      <c r="P85" s="116"/>
      <c r="Q85" s="116"/>
      <c r="R85" s="116"/>
      <c r="S85" s="116"/>
      <c r="T85" s="116"/>
      <c r="U85" s="116"/>
      <c r="V85" s="116"/>
      <c r="W85" s="116"/>
      <c r="X85" s="116"/>
      <c r="Y85" s="116"/>
      <c r="Z85" s="116"/>
      <c r="AA85" s="116"/>
      <c r="AB85" s="116"/>
      <c r="AC85" s="116"/>
      <c r="AD85" s="116"/>
      <c r="AE85" s="116"/>
      <c r="AF85" s="116"/>
    </row>
    <row r="86" spans="2:32" x14ac:dyDescent="0.2">
      <c r="K86" s="89"/>
      <c r="L86" s="89"/>
      <c r="M86" s="89"/>
      <c r="N86" s="89"/>
      <c r="O86" s="89"/>
      <c r="P86" s="89"/>
      <c r="Q86" s="89"/>
      <c r="R86" s="89"/>
      <c r="S86" s="89"/>
      <c r="T86" s="89"/>
      <c r="U86" s="89"/>
      <c r="V86" s="89"/>
      <c r="W86" s="89"/>
      <c r="X86" s="89"/>
      <c r="Y86" s="116"/>
      <c r="Z86" s="116"/>
      <c r="AA86" s="116"/>
      <c r="AB86" s="116"/>
      <c r="AC86" s="116"/>
      <c r="AD86" s="116"/>
      <c r="AE86" s="116"/>
      <c r="AF86" s="116"/>
    </row>
    <row r="87" spans="2:32" x14ac:dyDescent="0.2">
      <c r="K87" s="89"/>
      <c r="L87" s="89"/>
      <c r="M87" s="89"/>
      <c r="N87" s="89"/>
      <c r="O87" s="89"/>
      <c r="P87" s="89"/>
      <c r="Q87" s="89"/>
      <c r="R87" s="89"/>
      <c r="S87" s="89"/>
      <c r="T87" s="89"/>
      <c r="U87" s="89"/>
      <c r="V87" s="89"/>
      <c r="W87" s="89"/>
      <c r="X87" s="89"/>
      <c r="Y87" s="116"/>
      <c r="Z87" s="116"/>
      <c r="AA87" s="116"/>
      <c r="AB87" s="116"/>
      <c r="AC87" s="116"/>
      <c r="AD87" s="116"/>
      <c r="AE87" s="116"/>
      <c r="AF87" s="116"/>
    </row>
    <row r="88" spans="2:32" x14ac:dyDescent="0.2">
      <c r="K88" s="89"/>
      <c r="L88" s="89"/>
      <c r="M88" s="89"/>
      <c r="N88" s="89"/>
      <c r="O88" s="89"/>
      <c r="P88" s="89"/>
      <c r="Q88" s="89"/>
      <c r="R88" s="89"/>
      <c r="S88" s="89"/>
      <c r="T88" s="89"/>
      <c r="U88" s="89"/>
      <c r="V88" s="89"/>
      <c r="W88" s="89"/>
      <c r="X88" s="89"/>
      <c r="Y88" s="89"/>
      <c r="Z88" s="116"/>
      <c r="AA88" s="116"/>
      <c r="AB88" s="116"/>
      <c r="AC88" s="116"/>
      <c r="AD88" s="116"/>
      <c r="AE88" s="116"/>
      <c r="AF88" s="116"/>
    </row>
    <row r="89" spans="2:32" x14ac:dyDescent="0.2">
      <c r="K89" s="89"/>
      <c r="L89" s="89"/>
      <c r="M89" s="89"/>
      <c r="N89" s="89"/>
      <c r="O89" s="89"/>
      <c r="P89" s="89"/>
      <c r="Q89" s="89"/>
      <c r="R89" s="89"/>
      <c r="S89" s="89"/>
      <c r="T89" s="89"/>
      <c r="U89" s="89"/>
      <c r="V89" s="89"/>
      <c r="W89" s="89"/>
      <c r="X89" s="89"/>
      <c r="Y89" s="89"/>
      <c r="Z89" s="116"/>
      <c r="AA89" s="116"/>
      <c r="AB89" s="116"/>
      <c r="AC89" s="116"/>
      <c r="AD89" s="116"/>
      <c r="AE89" s="116"/>
      <c r="AF89" s="116"/>
    </row>
    <row r="90" spans="2:32" x14ac:dyDescent="0.2">
      <c r="K90" s="89"/>
      <c r="L90" s="89"/>
      <c r="M90" s="89"/>
      <c r="N90" s="89"/>
      <c r="O90" s="89"/>
      <c r="P90" s="89"/>
      <c r="Q90" s="89"/>
      <c r="R90" s="89"/>
      <c r="S90" s="89"/>
      <c r="T90" s="89"/>
      <c r="U90" s="89"/>
      <c r="V90" s="89"/>
      <c r="W90" s="89"/>
      <c r="X90" s="89"/>
      <c r="Y90" s="89"/>
      <c r="Z90" s="116"/>
      <c r="AA90" s="116"/>
      <c r="AB90" s="116"/>
      <c r="AC90" s="116"/>
      <c r="AD90" s="116"/>
      <c r="AE90" s="116"/>
      <c r="AF90" s="116"/>
    </row>
    <row r="91" spans="2:32" x14ac:dyDescent="0.2">
      <c r="K91" s="89"/>
      <c r="L91" s="89"/>
      <c r="M91" s="89"/>
      <c r="N91" s="89"/>
      <c r="O91" s="89"/>
      <c r="P91" s="89"/>
      <c r="Q91" s="89"/>
      <c r="R91" s="89"/>
      <c r="S91" s="89"/>
      <c r="T91" s="89"/>
      <c r="U91" s="89"/>
      <c r="V91" s="89"/>
      <c r="W91" s="89"/>
      <c r="X91" s="89"/>
      <c r="Y91" s="89"/>
      <c r="Z91" s="116"/>
      <c r="AA91" s="116"/>
      <c r="AB91" s="116"/>
      <c r="AC91" s="116"/>
      <c r="AD91" s="116"/>
      <c r="AE91" s="116"/>
      <c r="AF91" s="116"/>
    </row>
    <row r="92" spans="2:32" x14ac:dyDescent="0.2">
      <c r="Z92" s="365"/>
      <c r="AA92" s="365"/>
      <c r="AB92" s="365"/>
      <c r="AC92" s="365"/>
      <c r="AD92" s="365"/>
      <c r="AE92" s="365"/>
      <c r="AF92" s="365"/>
    </row>
    <row r="93" spans="2:32" x14ac:dyDescent="0.2">
      <c r="Z93" s="365"/>
      <c r="AA93" s="365"/>
      <c r="AB93" s="365"/>
      <c r="AC93" s="365"/>
      <c r="AD93" s="365"/>
      <c r="AE93" s="365"/>
      <c r="AF93" s="365"/>
    </row>
    <row r="94" spans="2:32" x14ac:dyDescent="0.2">
      <c r="Z94" s="365"/>
      <c r="AA94" s="365"/>
      <c r="AB94" s="365"/>
      <c r="AC94" s="365"/>
      <c r="AD94" s="365"/>
      <c r="AE94" s="365"/>
      <c r="AF94" s="365"/>
    </row>
    <row r="95" spans="2:32" x14ac:dyDescent="0.2">
      <c r="Z95" s="365"/>
      <c r="AA95" s="365"/>
      <c r="AB95" s="365"/>
      <c r="AC95" s="365"/>
      <c r="AD95" s="365"/>
      <c r="AE95" s="365"/>
      <c r="AF95" s="365"/>
    </row>
    <row r="96" spans="2:32" x14ac:dyDescent="0.2">
      <c r="Z96" s="365"/>
      <c r="AA96" s="365"/>
      <c r="AB96" s="365"/>
      <c r="AC96" s="365"/>
      <c r="AD96" s="365"/>
      <c r="AE96" s="365"/>
      <c r="AF96" s="365"/>
    </row>
    <row r="97" spans="26:32" x14ac:dyDescent="0.2">
      <c r="Z97" s="365"/>
      <c r="AA97" s="365"/>
      <c r="AB97" s="365"/>
      <c r="AC97" s="365"/>
      <c r="AD97" s="365"/>
      <c r="AE97" s="365"/>
      <c r="AF97" s="365"/>
    </row>
    <row r="98" spans="26:32" x14ac:dyDescent="0.2">
      <c r="Z98" s="365"/>
      <c r="AA98" s="365"/>
      <c r="AB98" s="365"/>
      <c r="AC98" s="365"/>
      <c r="AD98" s="365"/>
      <c r="AE98" s="365"/>
      <c r="AF98" s="365"/>
    </row>
    <row r="99" spans="26:32" x14ac:dyDescent="0.2">
      <c r="Z99" s="365"/>
      <c r="AA99" s="365"/>
      <c r="AB99" s="365"/>
      <c r="AC99" s="365"/>
      <c r="AD99" s="365"/>
      <c r="AE99" s="365"/>
      <c r="AF99" s="365"/>
    </row>
    <row r="100" spans="26:32" x14ac:dyDescent="0.2">
      <c r="Z100" s="365"/>
      <c r="AA100" s="365"/>
      <c r="AB100" s="365"/>
      <c r="AC100" s="365"/>
      <c r="AD100" s="365"/>
      <c r="AE100" s="365"/>
      <c r="AF100" s="365"/>
    </row>
    <row r="101" spans="26:32" x14ac:dyDescent="0.2">
      <c r="Z101" s="365"/>
      <c r="AA101" s="365"/>
      <c r="AB101" s="365"/>
      <c r="AC101" s="365"/>
      <c r="AD101" s="365"/>
      <c r="AE101" s="365"/>
      <c r="AF101" s="365"/>
    </row>
    <row r="102" spans="26:32" x14ac:dyDescent="0.2">
      <c r="Z102" s="365"/>
      <c r="AA102" s="365"/>
      <c r="AB102" s="365"/>
      <c r="AC102" s="365"/>
      <c r="AD102" s="365"/>
      <c r="AE102" s="365"/>
      <c r="AF102" s="365"/>
    </row>
    <row r="103" spans="26:32" x14ac:dyDescent="0.2">
      <c r="Z103" s="365"/>
      <c r="AA103" s="365"/>
      <c r="AB103" s="365"/>
      <c r="AC103" s="365"/>
      <c r="AD103" s="365"/>
      <c r="AE103" s="365"/>
      <c r="AF103" s="365"/>
    </row>
    <row r="104" spans="26:32" x14ac:dyDescent="0.2">
      <c r="Z104" s="365"/>
      <c r="AA104" s="365"/>
      <c r="AB104" s="365"/>
      <c r="AC104" s="365"/>
      <c r="AD104" s="365"/>
      <c r="AE104" s="365"/>
      <c r="AF104" s="365"/>
    </row>
    <row r="105" spans="26:32" x14ac:dyDescent="0.2">
      <c r="Z105" s="365"/>
      <c r="AA105" s="365"/>
      <c r="AB105" s="365"/>
      <c r="AC105" s="365"/>
      <c r="AD105" s="365"/>
      <c r="AE105" s="365"/>
      <c r="AF105" s="365"/>
    </row>
    <row r="106" spans="26:32" x14ac:dyDescent="0.2">
      <c r="Z106" s="365"/>
      <c r="AA106" s="365"/>
      <c r="AB106" s="365"/>
      <c r="AC106" s="365"/>
      <c r="AD106" s="365"/>
      <c r="AE106" s="365"/>
      <c r="AF106" s="365"/>
    </row>
    <row r="107" spans="26:32" x14ac:dyDescent="0.2">
      <c r="Z107" s="365"/>
      <c r="AA107" s="365"/>
      <c r="AB107" s="365"/>
      <c r="AC107" s="365"/>
      <c r="AD107" s="365"/>
      <c r="AE107" s="365"/>
      <c r="AF107" s="365"/>
    </row>
    <row r="108" spans="26:32" x14ac:dyDescent="0.2">
      <c r="Z108" s="365"/>
      <c r="AA108" s="365"/>
      <c r="AB108" s="365"/>
      <c r="AC108" s="365"/>
      <c r="AD108" s="365"/>
      <c r="AE108" s="365"/>
      <c r="AF108" s="365"/>
    </row>
    <row r="109" spans="26:32" x14ac:dyDescent="0.2">
      <c r="Z109" s="365"/>
      <c r="AA109" s="365"/>
      <c r="AB109" s="365"/>
      <c r="AC109" s="365"/>
      <c r="AD109" s="365"/>
      <c r="AE109" s="365"/>
      <c r="AF109" s="365"/>
    </row>
    <row r="110" spans="26:32" x14ac:dyDescent="0.2">
      <c r="Z110" s="365"/>
      <c r="AA110" s="365"/>
      <c r="AB110" s="365"/>
      <c r="AC110" s="365"/>
      <c r="AD110" s="365"/>
      <c r="AE110" s="365"/>
      <c r="AF110" s="365"/>
    </row>
    <row r="111" spans="26:32" x14ac:dyDescent="0.2">
      <c r="Z111" s="365"/>
      <c r="AA111" s="365"/>
      <c r="AB111" s="365"/>
      <c r="AC111" s="365"/>
      <c r="AD111" s="365"/>
      <c r="AE111" s="365"/>
      <c r="AF111" s="365"/>
    </row>
    <row r="112" spans="26:32" x14ac:dyDescent="0.2">
      <c r="Z112" s="365"/>
      <c r="AA112" s="365"/>
      <c r="AB112" s="365"/>
      <c r="AC112" s="365"/>
      <c r="AD112" s="365"/>
      <c r="AE112" s="365"/>
      <c r="AF112" s="365"/>
    </row>
    <row r="113" spans="26:32" x14ac:dyDescent="0.2">
      <c r="Z113" s="365"/>
      <c r="AA113" s="365"/>
      <c r="AB113" s="365"/>
      <c r="AC113" s="365"/>
      <c r="AD113" s="365"/>
      <c r="AE113" s="365"/>
      <c r="AF113" s="365"/>
    </row>
    <row r="114" spans="26:32" x14ac:dyDescent="0.2">
      <c r="Z114" s="365"/>
      <c r="AA114" s="365"/>
      <c r="AB114" s="365"/>
      <c r="AC114" s="365"/>
      <c r="AD114" s="365"/>
      <c r="AE114" s="365"/>
      <c r="AF114" s="365"/>
    </row>
    <row r="115" spans="26:32" x14ac:dyDescent="0.2">
      <c r="Z115" s="365"/>
      <c r="AA115" s="365"/>
      <c r="AB115" s="365"/>
      <c r="AC115" s="365"/>
      <c r="AD115" s="365"/>
      <c r="AE115" s="365"/>
      <c r="AF115" s="365"/>
    </row>
    <row r="116" spans="26:32" x14ac:dyDescent="0.2">
      <c r="Z116" s="365"/>
      <c r="AA116" s="365"/>
      <c r="AB116" s="365"/>
      <c r="AC116" s="365"/>
      <c r="AD116" s="365"/>
      <c r="AE116" s="365"/>
      <c r="AF116" s="365"/>
    </row>
    <row r="117" spans="26:32" x14ac:dyDescent="0.2">
      <c r="Z117" s="365"/>
      <c r="AA117" s="365"/>
      <c r="AB117" s="365"/>
      <c r="AC117" s="365"/>
      <c r="AD117" s="365"/>
      <c r="AE117" s="365"/>
      <c r="AF117" s="365"/>
    </row>
    <row r="118" spans="26:32" x14ac:dyDescent="0.2">
      <c r="Z118" s="365"/>
      <c r="AA118" s="365"/>
      <c r="AB118" s="365"/>
      <c r="AC118" s="365"/>
      <c r="AD118" s="365"/>
      <c r="AE118" s="365"/>
      <c r="AF118" s="365"/>
    </row>
    <row r="119" spans="26:32" x14ac:dyDescent="0.2">
      <c r="Z119" s="365"/>
      <c r="AA119" s="365"/>
      <c r="AB119" s="365"/>
      <c r="AC119" s="365"/>
      <c r="AD119" s="365"/>
      <c r="AE119" s="365"/>
      <c r="AF119" s="365"/>
    </row>
    <row r="120" spans="26:32" x14ac:dyDescent="0.2">
      <c r="Z120" s="365"/>
      <c r="AA120" s="365"/>
      <c r="AB120" s="365"/>
      <c r="AC120" s="365"/>
      <c r="AD120" s="365"/>
      <c r="AE120" s="365"/>
      <c r="AF120" s="365"/>
    </row>
    <row r="121" spans="26:32" x14ac:dyDescent="0.2">
      <c r="Z121" s="365"/>
      <c r="AA121" s="365"/>
      <c r="AB121" s="365"/>
      <c r="AC121" s="365"/>
      <c r="AD121" s="365"/>
      <c r="AE121" s="365"/>
      <c r="AF121" s="365"/>
    </row>
    <row r="122" spans="26:32" x14ac:dyDescent="0.2">
      <c r="Z122" s="365"/>
      <c r="AA122" s="365"/>
      <c r="AB122" s="365"/>
      <c r="AC122" s="365"/>
      <c r="AD122" s="365"/>
      <c r="AE122" s="365"/>
      <c r="AF122" s="365"/>
    </row>
    <row r="123" spans="26:32" x14ac:dyDescent="0.2">
      <c r="Z123" s="365"/>
      <c r="AA123" s="365"/>
      <c r="AB123" s="365"/>
      <c r="AC123" s="365"/>
      <c r="AD123" s="365"/>
      <c r="AE123" s="365"/>
      <c r="AF123" s="365"/>
    </row>
    <row r="124" spans="26:32" x14ac:dyDescent="0.2">
      <c r="Z124" s="365"/>
      <c r="AA124" s="365"/>
      <c r="AB124" s="365"/>
      <c r="AC124" s="365"/>
      <c r="AD124" s="365"/>
      <c r="AE124" s="365"/>
      <c r="AF124" s="365"/>
    </row>
    <row r="125" spans="26:32" x14ac:dyDescent="0.2">
      <c r="Z125" s="365"/>
      <c r="AA125" s="365"/>
      <c r="AB125" s="365"/>
      <c r="AC125" s="365"/>
      <c r="AD125" s="365"/>
      <c r="AE125" s="365"/>
      <c r="AF125" s="365"/>
    </row>
    <row r="126" spans="26:32" x14ac:dyDescent="0.2">
      <c r="Z126" s="365"/>
      <c r="AA126" s="365"/>
      <c r="AB126" s="365"/>
      <c r="AC126" s="365"/>
      <c r="AD126" s="365"/>
      <c r="AE126" s="365"/>
      <c r="AF126" s="365"/>
    </row>
    <row r="127" spans="26:32" x14ac:dyDescent="0.2">
      <c r="Z127" s="365"/>
      <c r="AA127" s="365"/>
      <c r="AB127" s="365"/>
      <c r="AC127" s="365"/>
      <c r="AD127" s="365"/>
      <c r="AE127" s="365"/>
      <c r="AF127" s="365"/>
    </row>
    <row r="128" spans="26:32" x14ac:dyDescent="0.2">
      <c r="Z128" s="365"/>
      <c r="AA128" s="365"/>
      <c r="AB128" s="365"/>
      <c r="AC128" s="365"/>
      <c r="AD128" s="365"/>
      <c r="AE128" s="365"/>
      <c r="AF128" s="365"/>
    </row>
    <row r="129" spans="26:32" x14ac:dyDescent="0.2">
      <c r="Z129" s="365"/>
      <c r="AA129" s="365"/>
      <c r="AB129" s="365"/>
      <c r="AC129" s="365"/>
      <c r="AD129" s="365"/>
      <c r="AE129" s="365"/>
      <c r="AF129" s="365"/>
    </row>
    <row r="130" spans="26:32" x14ac:dyDescent="0.2">
      <c r="Z130" s="365"/>
      <c r="AA130" s="365"/>
      <c r="AB130" s="365"/>
      <c r="AC130" s="365"/>
      <c r="AD130" s="365"/>
      <c r="AE130" s="365"/>
      <c r="AF130" s="365"/>
    </row>
    <row r="131" spans="26:32" x14ac:dyDescent="0.2">
      <c r="Z131" s="365"/>
      <c r="AA131" s="365"/>
      <c r="AB131" s="365"/>
      <c r="AC131" s="365"/>
      <c r="AD131" s="365"/>
      <c r="AE131" s="365"/>
      <c r="AF131" s="365"/>
    </row>
    <row r="132" spans="26:32" x14ac:dyDescent="0.2">
      <c r="Z132" s="365"/>
      <c r="AA132" s="365"/>
      <c r="AB132" s="365"/>
      <c r="AC132" s="365"/>
      <c r="AD132" s="365"/>
      <c r="AE132" s="365"/>
      <c r="AF132" s="365"/>
    </row>
    <row r="133" spans="26:32" x14ac:dyDescent="0.2">
      <c r="Z133" s="365"/>
      <c r="AA133" s="365"/>
      <c r="AB133" s="365"/>
      <c r="AC133" s="365"/>
      <c r="AD133" s="365"/>
      <c r="AE133" s="365"/>
      <c r="AF133" s="365"/>
    </row>
    <row r="134" spans="26:32" x14ac:dyDescent="0.2">
      <c r="Z134" s="365"/>
      <c r="AA134" s="365"/>
      <c r="AB134" s="365"/>
      <c r="AC134" s="365"/>
      <c r="AD134" s="365"/>
      <c r="AE134" s="365"/>
      <c r="AF134" s="365"/>
    </row>
    <row r="135" spans="26:32" x14ac:dyDescent="0.2">
      <c r="Z135" s="365"/>
      <c r="AA135" s="365"/>
      <c r="AB135" s="365"/>
      <c r="AC135" s="365"/>
      <c r="AD135" s="365"/>
      <c r="AE135" s="365"/>
      <c r="AF135" s="365"/>
    </row>
    <row r="136" spans="26:32" x14ac:dyDescent="0.2">
      <c r="Z136" s="365"/>
      <c r="AA136" s="365"/>
      <c r="AB136" s="365"/>
      <c r="AC136" s="365"/>
      <c r="AD136" s="365"/>
      <c r="AE136" s="365"/>
      <c r="AF136" s="365"/>
    </row>
    <row r="137" spans="26:32" x14ac:dyDescent="0.2">
      <c r="Z137" s="365"/>
      <c r="AA137" s="365"/>
      <c r="AB137" s="365"/>
      <c r="AC137" s="365"/>
      <c r="AD137" s="365"/>
      <c r="AE137" s="365"/>
      <c r="AF137" s="365"/>
    </row>
    <row r="138" spans="26:32" x14ac:dyDescent="0.2">
      <c r="Z138" s="365"/>
      <c r="AA138" s="365"/>
      <c r="AB138" s="365"/>
      <c r="AC138" s="365"/>
      <c r="AD138" s="365"/>
      <c r="AE138" s="365"/>
      <c r="AF138" s="365"/>
    </row>
    <row r="139" spans="26:32" x14ac:dyDescent="0.2">
      <c r="Z139" s="365"/>
      <c r="AA139" s="365"/>
      <c r="AB139" s="365"/>
      <c r="AC139" s="365"/>
      <c r="AD139" s="365"/>
      <c r="AE139" s="365"/>
      <c r="AF139" s="365"/>
    </row>
    <row r="140" spans="26:32" x14ac:dyDescent="0.2">
      <c r="Z140" s="365"/>
      <c r="AA140" s="365"/>
      <c r="AB140" s="365"/>
      <c r="AC140" s="365"/>
      <c r="AD140" s="365"/>
      <c r="AE140" s="365"/>
      <c r="AF140" s="365"/>
    </row>
    <row r="141" spans="26:32" x14ac:dyDescent="0.2">
      <c r="Z141" s="365"/>
      <c r="AA141" s="365"/>
      <c r="AB141" s="365"/>
      <c r="AC141" s="365"/>
      <c r="AD141" s="365"/>
      <c r="AE141" s="365"/>
      <c r="AF141" s="365"/>
    </row>
    <row r="142" spans="26:32" x14ac:dyDescent="0.2">
      <c r="Z142" s="365"/>
      <c r="AA142" s="365"/>
      <c r="AB142" s="365"/>
      <c r="AC142" s="365"/>
      <c r="AD142" s="365"/>
      <c r="AE142" s="365"/>
      <c r="AF142" s="365"/>
    </row>
    <row r="143" spans="26:32" x14ac:dyDescent="0.2">
      <c r="Z143" s="365"/>
      <c r="AA143" s="365"/>
      <c r="AB143" s="365"/>
      <c r="AC143" s="365"/>
      <c r="AD143" s="365"/>
      <c r="AE143" s="365"/>
      <c r="AF143" s="365"/>
    </row>
    <row r="144" spans="26:32" x14ac:dyDescent="0.2">
      <c r="Z144" s="365"/>
      <c r="AA144" s="365"/>
      <c r="AB144" s="365"/>
      <c r="AC144" s="365"/>
      <c r="AD144" s="365"/>
      <c r="AE144" s="365"/>
      <c r="AF144" s="365"/>
    </row>
    <row r="145" spans="26:32" x14ac:dyDescent="0.2">
      <c r="Z145" s="365"/>
      <c r="AA145" s="365"/>
      <c r="AB145" s="365"/>
      <c r="AC145" s="365"/>
      <c r="AD145" s="365"/>
      <c r="AE145" s="365"/>
      <c r="AF145" s="365"/>
    </row>
    <row r="146" spans="26:32" x14ac:dyDescent="0.2">
      <c r="Z146" s="365"/>
      <c r="AA146" s="365"/>
      <c r="AB146" s="365"/>
      <c r="AC146" s="365"/>
      <c r="AD146" s="365"/>
      <c r="AE146" s="365"/>
      <c r="AF146" s="365"/>
    </row>
    <row r="147" spans="26:32" x14ac:dyDescent="0.2">
      <c r="Z147" s="365"/>
      <c r="AA147" s="365"/>
      <c r="AB147" s="365"/>
      <c r="AC147" s="365"/>
      <c r="AD147" s="365"/>
      <c r="AE147" s="365"/>
      <c r="AF147" s="365"/>
    </row>
    <row r="148" spans="26:32" x14ac:dyDescent="0.2">
      <c r="Z148" s="365"/>
      <c r="AA148" s="365"/>
      <c r="AB148" s="365"/>
      <c r="AC148" s="365"/>
      <c r="AD148" s="365"/>
      <c r="AE148" s="365"/>
      <c r="AF148" s="365"/>
    </row>
    <row r="149" spans="26:32" x14ac:dyDescent="0.2">
      <c r="Z149" s="365"/>
      <c r="AA149" s="365"/>
      <c r="AB149" s="365"/>
      <c r="AC149" s="365"/>
      <c r="AD149" s="365"/>
      <c r="AE149" s="365"/>
      <c r="AF149" s="365"/>
    </row>
    <row r="150" spans="26:32" x14ac:dyDescent="0.2">
      <c r="Z150" s="365"/>
      <c r="AA150" s="365"/>
      <c r="AB150" s="365"/>
      <c r="AC150" s="365"/>
      <c r="AD150" s="365"/>
      <c r="AE150" s="365"/>
      <c r="AF150" s="365"/>
    </row>
    <row r="151" spans="26:32" x14ac:dyDescent="0.2">
      <c r="Z151" s="365"/>
      <c r="AA151" s="365"/>
      <c r="AB151" s="365"/>
      <c r="AC151" s="365"/>
      <c r="AD151" s="365"/>
      <c r="AE151" s="365"/>
      <c r="AF151" s="365"/>
    </row>
    <row r="152" spans="26:32" x14ac:dyDescent="0.2">
      <c r="Z152" s="365"/>
      <c r="AA152" s="365"/>
      <c r="AB152" s="365"/>
      <c r="AC152" s="365"/>
      <c r="AD152" s="365"/>
      <c r="AE152" s="365"/>
      <c r="AF152" s="365"/>
    </row>
    <row r="153" spans="26:32" x14ac:dyDescent="0.2">
      <c r="Z153" s="365"/>
      <c r="AA153" s="365"/>
      <c r="AB153" s="365"/>
      <c r="AC153" s="365"/>
      <c r="AD153" s="365"/>
      <c r="AE153" s="365"/>
      <c r="AF153" s="365"/>
    </row>
    <row r="154" spans="26:32" x14ac:dyDescent="0.2">
      <c r="Z154" s="365"/>
      <c r="AA154" s="365"/>
      <c r="AB154" s="365"/>
      <c r="AC154" s="365"/>
      <c r="AD154" s="365"/>
      <c r="AE154" s="365"/>
      <c r="AF154" s="365"/>
    </row>
    <row r="155" spans="26:32" x14ac:dyDescent="0.2">
      <c r="Z155" s="365"/>
      <c r="AA155" s="365"/>
      <c r="AB155" s="365"/>
      <c r="AC155" s="365"/>
      <c r="AD155" s="365"/>
      <c r="AE155" s="365"/>
      <c r="AF155" s="365"/>
    </row>
    <row r="156" spans="26:32" x14ac:dyDescent="0.2">
      <c r="Z156" s="365"/>
      <c r="AA156" s="365"/>
      <c r="AB156" s="365"/>
      <c r="AC156" s="365"/>
      <c r="AD156" s="365"/>
      <c r="AE156" s="365"/>
      <c r="AF156" s="365"/>
    </row>
    <row r="157" spans="26:32" x14ac:dyDescent="0.2">
      <c r="Z157" s="365"/>
      <c r="AA157" s="365"/>
      <c r="AB157" s="365"/>
      <c r="AC157" s="365"/>
      <c r="AD157" s="365"/>
      <c r="AE157" s="365"/>
      <c r="AF157" s="365"/>
    </row>
    <row r="158" spans="26:32" x14ac:dyDescent="0.2">
      <c r="Z158" s="365"/>
      <c r="AA158" s="365"/>
      <c r="AB158" s="365"/>
      <c r="AC158" s="365"/>
      <c r="AD158" s="365"/>
      <c r="AE158" s="365"/>
      <c r="AF158" s="365"/>
    </row>
    <row r="159" spans="26:32" x14ac:dyDescent="0.2">
      <c r="Z159" s="365"/>
      <c r="AA159" s="365"/>
      <c r="AB159" s="365"/>
      <c r="AC159" s="365"/>
      <c r="AD159" s="365"/>
      <c r="AE159" s="365"/>
      <c r="AF159" s="365"/>
    </row>
    <row r="160" spans="26:32" x14ac:dyDescent="0.2">
      <c r="Z160" s="365"/>
      <c r="AA160" s="365"/>
      <c r="AB160" s="365"/>
      <c r="AC160" s="365"/>
      <c r="AD160" s="365"/>
      <c r="AE160" s="365"/>
      <c r="AF160" s="365"/>
    </row>
    <row r="161" spans="26:32" x14ac:dyDescent="0.2">
      <c r="Z161" s="365"/>
      <c r="AA161" s="365"/>
      <c r="AB161" s="365"/>
      <c r="AC161" s="365"/>
      <c r="AD161" s="365"/>
      <c r="AE161" s="365"/>
      <c r="AF161" s="365"/>
    </row>
    <row r="162" spans="26:32" x14ac:dyDescent="0.2">
      <c r="Z162" s="365"/>
      <c r="AA162" s="365"/>
      <c r="AB162" s="365"/>
      <c r="AC162" s="365"/>
      <c r="AD162" s="365"/>
      <c r="AE162" s="365"/>
      <c r="AF162" s="365"/>
    </row>
    <row r="163" spans="26:32" x14ac:dyDescent="0.2">
      <c r="Z163" s="365"/>
      <c r="AA163" s="365"/>
      <c r="AB163" s="365"/>
      <c r="AC163" s="365"/>
      <c r="AD163" s="365"/>
      <c r="AE163" s="365"/>
      <c r="AF163" s="365"/>
    </row>
    <row r="164" spans="26:32" x14ac:dyDescent="0.2">
      <c r="Z164" s="365"/>
      <c r="AA164" s="365"/>
      <c r="AB164" s="365"/>
      <c r="AC164" s="365"/>
      <c r="AD164" s="365"/>
      <c r="AE164" s="365"/>
      <c r="AF164" s="365"/>
    </row>
    <row r="165" spans="26:32" x14ac:dyDescent="0.2">
      <c r="Z165" s="365"/>
      <c r="AA165" s="365"/>
      <c r="AB165" s="365"/>
      <c r="AC165" s="365"/>
      <c r="AD165" s="365"/>
      <c r="AE165" s="365"/>
      <c r="AF165" s="365"/>
    </row>
    <row r="166" spans="26:32" x14ac:dyDescent="0.2">
      <c r="Z166" s="365"/>
      <c r="AA166" s="365"/>
      <c r="AB166" s="365"/>
      <c r="AC166" s="365"/>
      <c r="AD166" s="365"/>
      <c r="AE166" s="365"/>
      <c r="AF166" s="365"/>
    </row>
    <row r="167" spans="26:32" x14ac:dyDescent="0.2">
      <c r="Z167" s="365"/>
      <c r="AA167" s="365"/>
      <c r="AB167" s="365"/>
      <c r="AC167" s="365"/>
      <c r="AD167" s="365"/>
      <c r="AE167" s="365"/>
      <c r="AF167" s="365"/>
    </row>
    <row r="168" spans="26:32" x14ac:dyDescent="0.2">
      <c r="Z168" s="365"/>
      <c r="AA168" s="365"/>
      <c r="AB168" s="365"/>
      <c r="AC168" s="365"/>
      <c r="AD168" s="365"/>
      <c r="AE168" s="365"/>
      <c r="AF168" s="365"/>
    </row>
    <row r="169" spans="26:32" x14ac:dyDescent="0.2">
      <c r="Z169" s="365"/>
      <c r="AA169" s="365"/>
      <c r="AB169" s="365"/>
      <c r="AC169" s="365"/>
      <c r="AD169" s="365"/>
      <c r="AE169" s="365"/>
      <c r="AF169" s="365"/>
    </row>
    <row r="170" spans="26:32" x14ac:dyDescent="0.2">
      <c r="Z170" s="365"/>
      <c r="AA170" s="365"/>
      <c r="AB170" s="365"/>
      <c r="AC170" s="365"/>
      <c r="AD170" s="365"/>
      <c r="AE170" s="365"/>
      <c r="AF170" s="365"/>
    </row>
    <row r="171" spans="26:32" x14ac:dyDescent="0.2">
      <c r="Z171" s="365"/>
      <c r="AA171" s="365"/>
      <c r="AB171" s="365"/>
      <c r="AC171" s="365"/>
      <c r="AD171" s="365"/>
      <c r="AE171" s="365"/>
      <c r="AF171" s="365"/>
    </row>
    <row r="172" spans="26:32" x14ac:dyDescent="0.2">
      <c r="Z172" s="365"/>
      <c r="AA172" s="365"/>
      <c r="AB172" s="365"/>
      <c r="AC172" s="365"/>
      <c r="AD172" s="365"/>
      <c r="AE172" s="365"/>
      <c r="AF172" s="365"/>
    </row>
    <row r="173" spans="26:32" x14ac:dyDescent="0.2">
      <c r="Z173" s="365"/>
      <c r="AA173" s="365"/>
      <c r="AB173" s="365"/>
      <c r="AC173" s="365"/>
      <c r="AD173" s="365"/>
      <c r="AE173" s="365"/>
      <c r="AF173" s="365"/>
    </row>
    <row r="174" spans="26:32" x14ac:dyDescent="0.2">
      <c r="Z174" s="365"/>
      <c r="AA174" s="365"/>
      <c r="AB174" s="365"/>
      <c r="AC174" s="365"/>
      <c r="AD174" s="365"/>
      <c r="AE174" s="365"/>
      <c r="AF174" s="365"/>
    </row>
    <row r="175" spans="26:32" x14ac:dyDescent="0.2">
      <c r="Z175" s="365"/>
      <c r="AA175" s="365"/>
      <c r="AB175" s="365"/>
      <c r="AC175" s="365"/>
      <c r="AD175" s="365"/>
      <c r="AE175" s="365"/>
      <c r="AF175" s="365"/>
    </row>
    <row r="176" spans="26:32" x14ac:dyDescent="0.2">
      <c r="Z176" s="365"/>
      <c r="AA176" s="365"/>
      <c r="AB176" s="365"/>
      <c r="AC176" s="365"/>
      <c r="AD176" s="365"/>
      <c r="AE176" s="365"/>
      <c r="AF176" s="365"/>
    </row>
    <row r="177" spans="26:32" x14ac:dyDescent="0.2">
      <c r="Z177" s="365"/>
      <c r="AA177" s="365"/>
      <c r="AB177" s="365"/>
      <c r="AC177" s="365"/>
      <c r="AD177" s="365"/>
      <c r="AE177" s="365"/>
      <c r="AF177" s="365"/>
    </row>
    <row r="178" spans="26:32" x14ac:dyDescent="0.2">
      <c r="Z178" s="365"/>
      <c r="AA178" s="365"/>
      <c r="AB178" s="365"/>
      <c r="AC178" s="365"/>
      <c r="AD178" s="365"/>
      <c r="AE178" s="365"/>
      <c r="AF178" s="365"/>
    </row>
    <row r="179" spans="26:32" x14ac:dyDescent="0.2">
      <c r="Z179" s="365"/>
      <c r="AA179" s="365"/>
      <c r="AB179" s="365"/>
      <c r="AC179" s="365"/>
      <c r="AD179" s="365"/>
      <c r="AE179" s="365"/>
      <c r="AF179" s="365"/>
    </row>
    <row r="180" spans="26:32" x14ac:dyDescent="0.2">
      <c r="Z180" s="365"/>
      <c r="AA180" s="365"/>
      <c r="AB180" s="365"/>
      <c r="AC180" s="365"/>
      <c r="AD180" s="365"/>
      <c r="AE180" s="365"/>
      <c r="AF180" s="365"/>
    </row>
    <row r="181" spans="26:32" x14ac:dyDescent="0.2">
      <c r="Z181" s="365"/>
      <c r="AA181" s="365"/>
      <c r="AB181" s="365"/>
      <c r="AC181" s="365"/>
      <c r="AD181" s="365"/>
      <c r="AE181" s="365"/>
      <c r="AF181" s="365"/>
    </row>
    <row r="182" spans="26:32" x14ac:dyDescent="0.2">
      <c r="Z182" s="365"/>
      <c r="AA182" s="365"/>
      <c r="AB182" s="365"/>
      <c r="AC182" s="365"/>
      <c r="AD182" s="365"/>
      <c r="AE182" s="365"/>
      <c r="AF182" s="365"/>
    </row>
    <row r="183" spans="26:32" x14ac:dyDescent="0.2">
      <c r="Z183" s="365"/>
      <c r="AA183" s="365"/>
      <c r="AB183" s="365"/>
      <c r="AC183" s="365"/>
      <c r="AD183" s="365"/>
      <c r="AE183" s="365"/>
      <c r="AF183" s="365"/>
    </row>
    <row r="184" spans="26:32" x14ac:dyDescent="0.2">
      <c r="Z184" s="365"/>
      <c r="AA184" s="365"/>
      <c r="AB184" s="365"/>
      <c r="AC184" s="365"/>
      <c r="AD184" s="365"/>
      <c r="AE184" s="365"/>
      <c r="AF184" s="365"/>
    </row>
    <row r="185" spans="26:32" x14ac:dyDescent="0.2">
      <c r="Z185" s="365"/>
      <c r="AA185" s="365"/>
      <c r="AB185" s="365"/>
      <c r="AC185" s="365"/>
      <c r="AD185" s="365"/>
      <c r="AE185" s="365"/>
      <c r="AF185" s="365"/>
    </row>
    <row r="186" spans="26:32" x14ac:dyDescent="0.2">
      <c r="Z186" s="365"/>
      <c r="AA186" s="365"/>
      <c r="AB186" s="365"/>
      <c r="AC186" s="365"/>
      <c r="AD186" s="365"/>
      <c r="AE186" s="365"/>
      <c r="AF186" s="365"/>
    </row>
    <row r="187" spans="26:32" x14ac:dyDescent="0.2">
      <c r="Z187" s="365"/>
      <c r="AA187" s="365"/>
      <c r="AB187" s="365"/>
      <c r="AC187" s="365"/>
      <c r="AD187" s="365"/>
      <c r="AE187" s="365"/>
      <c r="AF187" s="365"/>
    </row>
    <row r="188" spans="26:32" x14ac:dyDescent="0.2">
      <c r="Z188" s="365"/>
      <c r="AA188" s="365"/>
      <c r="AB188" s="365"/>
      <c r="AC188" s="365"/>
      <c r="AD188" s="365"/>
      <c r="AE188" s="365"/>
      <c r="AF188" s="365"/>
    </row>
    <row r="189" spans="26:32" x14ac:dyDescent="0.2">
      <c r="Z189" s="365"/>
      <c r="AA189" s="365"/>
      <c r="AB189" s="365"/>
      <c r="AC189" s="365"/>
      <c r="AD189" s="365"/>
      <c r="AE189" s="365"/>
      <c r="AF189" s="365"/>
    </row>
  </sheetData>
  <sheetProtection sheet="1" objects="1" scenarios="1"/>
  <dataConsolidate link="1"/>
  <mergeCells count="57">
    <mergeCell ref="AH5:AK5"/>
    <mergeCell ref="AE4:AF5"/>
    <mergeCell ref="AB4:AC5"/>
    <mergeCell ref="X4:X6"/>
    <mergeCell ref="G4:V6"/>
    <mergeCell ref="B29:B30"/>
    <mergeCell ref="G29:V29"/>
    <mergeCell ref="G30:V30"/>
    <mergeCell ref="D43:F43"/>
    <mergeCell ref="H43:X43"/>
    <mergeCell ref="G32:V32"/>
    <mergeCell ref="G33:V33"/>
    <mergeCell ref="G40:V40"/>
    <mergeCell ref="G41:V41"/>
    <mergeCell ref="G42:V42"/>
    <mergeCell ref="G31:V31"/>
    <mergeCell ref="G34:V34"/>
    <mergeCell ref="G35:V35"/>
    <mergeCell ref="G36:V36"/>
    <mergeCell ref="G37:V37"/>
    <mergeCell ref="G38:V38"/>
    <mergeCell ref="B85:C85"/>
    <mergeCell ref="D44:F44"/>
    <mergeCell ref="H44:X48"/>
    <mergeCell ref="D45:F45"/>
    <mergeCell ref="D46:F46"/>
    <mergeCell ref="D47:F47"/>
    <mergeCell ref="D48:F48"/>
    <mergeCell ref="G22:V22"/>
    <mergeCell ref="G23:V23"/>
    <mergeCell ref="G24:V24"/>
    <mergeCell ref="G25:V25"/>
    <mergeCell ref="G39:V39"/>
    <mergeCell ref="G26:V26"/>
    <mergeCell ref="G27:V27"/>
    <mergeCell ref="G28:V28"/>
    <mergeCell ref="G15:V15"/>
    <mergeCell ref="G16:V16"/>
    <mergeCell ref="G17:V17"/>
    <mergeCell ref="G18:V18"/>
    <mergeCell ref="G19:V19"/>
    <mergeCell ref="G21:V21"/>
    <mergeCell ref="C1:J1"/>
    <mergeCell ref="C2:D2"/>
    <mergeCell ref="G2:I2"/>
    <mergeCell ref="B7:B8"/>
    <mergeCell ref="G7:V7"/>
    <mergeCell ref="G8:V8"/>
    <mergeCell ref="F4:F6"/>
    <mergeCell ref="E4:E6"/>
    <mergeCell ref="G20:V20"/>
    <mergeCell ref="G9:V9"/>
    <mergeCell ref="G10:V10"/>
    <mergeCell ref="G11:V11"/>
    <mergeCell ref="G12:V12"/>
    <mergeCell ref="G13:V13"/>
    <mergeCell ref="G14:V14"/>
  </mergeCells>
  <conditionalFormatting sqref="F50">
    <cfRule type="expression" dxfId="1493" priority="51" stopIfTrue="1">
      <formula>$K42&lt;0</formula>
    </cfRule>
    <cfRule type="expression" dxfId="1492" priority="52" stopIfTrue="1">
      <formula>$K42&gt;9</formula>
    </cfRule>
  </conditionalFormatting>
  <conditionalFormatting sqref="F7:F42">
    <cfRule type="expression" dxfId="1491" priority="53" stopIfTrue="1">
      <formula>$G7&gt;0</formula>
    </cfRule>
  </conditionalFormatting>
  <conditionalFormatting sqref="C9:C20">
    <cfRule type="expression" dxfId="1490" priority="48" stopIfTrue="1">
      <formula>B9=3</formula>
    </cfRule>
    <cfRule type="expression" dxfId="1489" priority="49" stopIfTrue="1">
      <formula>B9=4</formula>
    </cfRule>
    <cfRule type="expression" dxfId="1488" priority="50" stopIfTrue="1">
      <formula>B9=5</formula>
    </cfRule>
  </conditionalFormatting>
  <conditionalFormatting sqref="C9:C20">
    <cfRule type="cellIs" dxfId="1487" priority="44" operator="equal">
      <formula>""</formula>
    </cfRule>
    <cfRule type="expression" dxfId="1486" priority="45" stopIfTrue="1">
      <formula>B9=8</formula>
    </cfRule>
    <cfRule type="expression" dxfId="1485" priority="46" stopIfTrue="1">
      <formula>B9=7</formula>
    </cfRule>
    <cfRule type="expression" dxfId="1484" priority="47" stopIfTrue="1">
      <formula>B9=6</formula>
    </cfRule>
  </conditionalFormatting>
  <conditionalFormatting sqref="C31:C42">
    <cfRule type="expression" dxfId="1483" priority="41" stopIfTrue="1">
      <formula>B31=3</formula>
    </cfRule>
    <cfRule type="expression" dxfId="1482" priority="42" stopIfTrue="1">
      <formula>B31=4</formula>
    </cfRule>
    <cfRule type="expression" dxfId="1481" priority="43" stopIfTrue="1">
      <formula>B31=5</formula>
    </cfRule>
  </conditionalFormatting>
  <conditionalFormatting sqref="C31:C42">
    <cfRule type="cellIs" dxfId="1480" priority="37" operator="equal">
      <formula>""</formula>
    </cfRule>
    <cfRule type="expression" dxfId="1479" priority="38" stopIfTrue="1">
      <formula>B31=8</formula>
    </cfRule>
    <cfRule type="expression" dxfId="1478" priority="39" stopIfTrue="1">
      <formula>B31=7</formula>
    </cfRule>
    <cfRule type="expression" dxfId="1477" priority="40" stopIfTrue="1">
      <formula>B31=6</formula>
    </cfRule>
  </conditionalFormatting>
  <conditionalFormatting sqref="C44:C48">
    <cfRule type="cellIs" dxfId="1476" priority="36" operator="notEqual">
      <formula>""</formula>
    </cfRule>
  </conditionalFormatting>
  <conditionalFormatting sqref="G8:V11 G23:V42">
    <cfRule type="expression" dxfId="1475" priority="24">
      <formula>$Z8=TRUE</formula>
    </cfRule>
  </conditionalFormatting>
  <conditionalFormatting sqref="AH7:AK42">
    <cfRule type="cellIs" dxfId="1474" priority="21" stopIfTrue="1" operator="equal">
      <formula>1</formula>
    </cfRule>
    <cfRule type="cellIs" dxfId="1473" priority="22" stopIfTrue="1" operator="equal">
      <formula>2</formula>
    </cfRule>
    <cfRule type="cellIs" dxfId="1472" priority="23" stopIfTrue="1" operator="equal">
      <formula>3</formula>
    </cfRule>
  </conditionalFormatting>
  <conditionalFormatting sqref="AE7:AF42">
    <cfRule type="cellIs" dxfId="1471" priority="18" operator="equal">
      <formula>"?"</formula>
    </cfRule>
    <cfRule type="cellIs" dxfId="1470" priority="19" operator="equal">
      <formula>"n"</formula>
    </cfRule>
    <cfRule type="cellIs" dxfId="1469" priority="20" operator="equal">
      <formula>"j"</formula>
    </cfRule>
  </conditionalFormatting>
  <conditionalFormatting sqref="G7:V7">
    <cfRule type="expression" dxfId="1468" priority="16">
      <formula>$Z7=TRUE</formula>
    </cfRule>
  </conditionalFormatting>
  <conditionalFormatting sqref="G12:V22">
    <cfRule type="expression" dxfId="1467" priority="15">
      <formula>$Z12=TRUE</formula>
    </cfRule>
  </conditionalFormatting>
  <conditionalFormatting sqref="X7">
    <cfRule type="expression" dxfId="1466" priority="14">
      <formula>$Z$7=TRUE</formula>
    </cfRule>
  </conditionalFormatting>
  <conditionalFormatting sqref="X8">
    <cfRule type="expression" dxfId="1465" priority="13">
      <formula>$Z$8=TRUE</formula>
    </cfRule>
  </conditionalFormatting>
  <conditionalFormatting sqref="X9">
    <cfRule type="expression" dxfId="1464" priority="12">
      <formula>$Z$9=TRUE</formula>
    </cfRule>
  </conditionalFormatting>
  <conditionalFormatting sqref="X10">
    <cfRule type="expression" dxfId="1463" priority="11">
      <formula>$Z$10=TRUE</formula>
    </cfRule>
  </conditionalFormatting>
  <conditionalFormatting sqref="X11">
    <cfRule type="expression" dxfId="1462" priority="10">
      <formula>$Z$11=TRUE</formula>
    </cfRule>
  </conditionalFormatting>
  <conditionalFormatting sqref="X12">
    <cfRule type="expression" dxfId="1461" priority="9">
      <formula>$Z$12=TRUE</formula>
    </cfRule>
  </conditionalFormatting>
  <conditionalFormatting sqref="X13">
    <cfRule type="expression" dxfId="1460" priority="8">
      <formula>$Z$13=TRUE</formula>
    </cfRule>
  </conditionalFormatting>
  <conditionalFormatting sqref="X14">
    <cfRule type="expression" dxfId="1459" priority="7">
      <formula>$Z$14=TRUE</formula>
    </cfRule>
  </conditionalFormatting>
  <conditionalFormatting sqref="X15:X24">
    <cfRule type="expression" dxfId="1458" priority="6">
      <formula>$Z15=TRUE</formula>
    </cfRule>
  </conditionalFormatting>
  <conditionalFormatting sqref="X25:X42">
    <cfRule type="expression" dxfId="1457" priority="5">
      <formula>$Z25=TRUE</formula>
    </cfRule>
  </conditionalFormatting>
  <conditionalFormatting sqref="AB7:AB42">
    <cfRule type="cellIs" dxfId="1456" priority="3" operator="equal">
      <formula>"xx"</formula>
    </cfRule>
    <cfRule type="cellIs" dxfId="1455" priority="4" operator="equal">
      <formula>"x"</formula>
    </cfRule>
  </conditionalFormatting>
  <conditionalFormatting sqref="AC7:AC42">
    <cfRule type="cellIs" dxfId="1454" priority="1" operator="equal">
      <formula>"xx"</formula>
    </cfRule>
    <cfRule type="cellIs" dxfId="1453" priority="2" operator="equal">
      <formula>"x"</formula>
    </cfRule>
  </conditionalFormatting>
  <dataValidations count="14">
    <dataValidation allowBlank="1" showInputMessage="1" showErrorMessage="1" promptTitle="Pulldown menu" prompt="groeps  HP: -_x000a_indiv.    HP:#_x000a_hele groep: $" sqref="C20 C42" xr:uid="{00000000-0002-0000-2100-000000000000}"/>
    <dataValidation allowBlank="1" showInputMessage="1" showErrorMessage="1" promptTitle="Pulldown venster" prompt="groeps  HP: -_x000a_indiv.    HP:#_x000a_hele groep: $" sqref="C9:C19 C31:C41" xr:uid="{00000000-0002-0000-2100-000001000000}"/>
    <dataValidation allowBlank="1" showInputMessage="1" showErrorMessage="1" promptTitle="Nieuwe regel:" prompt="druk op: Alt-Enter" sqref="W29:X32 W34:X37 W39:X42 W19:X22 W24:X27" xr:uid="{00000000-0002-0000-2100-000002000000}"/>
    <dataValidation type="list" allowBlank="1" showInputMessage="1" showErrorMessage="1" sqref="B9:B20 B31:B42" xr:uid="{00000000-0002-0000-2100-000003000000}">
      <formula1>"3,4,5,6,7,8,"</formula1>
    </dataValidation>
    <dataValidation type="list" allowBlank="1" showInputMessage="1" showErrorMessage="1" sqref="C44" xr:uid="{00000000-0002-0000-2100-000004000000}">
      <formula1>"maandag,"</formula1>
    </dataValidation>
    <dataValidation type="list" allowBlank="1" showInputMessage="1" showErrorMessage="1" sqref="C45" xr:uid="{00000000-0002-0000-2100-000005000000}">
      <formula1>"dinsdag,"</formula1>
    </dataValidation>
    <dataValidation type="list" allowBlank="1" showInputMessage="1" showErrorMessage="1" sqref="C46" xr:uid="{00000000-0002-0000-2100-000006000000}">
      <formula1>"woensdag,"</formula1>
    </dataValidation>
    <dataValidation type="list" allowBlank="1" showInputMessage="1" showErrorMessage="1" sqref="C47" xr:uid="{00000000-0002-0000-2100-000007000000}">
      <formula1>"donderdag,"</formula1>
    </dataValidation>
    <dataValidation type="list" allowBlank="1" showInputMessage="1" showErrorMessage="1" sqref="C48" xr:uid="{00000000-0002-0000-2100-000008000000}">
      <formula1>"vrijdag,"</formula1>
    </dataValidation>
    <dataValidation type="list" allowBlank="1" showInputMessage="1" showErrorMessage="1" promptTitle="Kanjervagenlijst - leerlingen" prompt="1 = positief_x000a_2 = opvallend_x000a_3 = zorgwekkend_x000a__x000a_Alleen 2 en 3 noteren" sqref="AH7:AK42" xr:uid="{00000000-0002-0000-2100-000009000000}">
      <formula1>"1,2,3,"</formula1>
    </dataValidation>
    <dataValidation type="list" allowBlank="1" showInputMessage="1" showErrorMessage="1" sqref="AF7:AF42" xr:uid="{00000000-0002-0000-2100-00000A000000}">
      <formula1>"j,n,?,"</formula1>
    </dataValidation>
    <dataValidation type="list" allowBlank="1" showInputMessage="1" showErrorMessage="1" promptTitle="LijV 4-5" prompt="Opvallend is_x000a_veel ????" sqref="AE7:AE42" xr:uid="{00000000-0002-0000-2100-00000D000000}">
      <formula1>"j,n,?,"</formula1>
    </dataValidation>
    <dataValidation type="list" allowBlank="1" showInputMessage="1" showErrorMessage="1" prompt="x = veel gekozen _x000a_( &gt;= 15x ) _x000a_xx = meest gekozen_x000a_(&gt;= 20x )_x000a__x000a_" sqref="AB7:AB42" xr:uid="{18CBC924-E544-4975-B554-C423AF646D2E}">
      <formula1>"x,xx,"</formula1>
    </dataValidation>
    <dataValidation type="list" allowBlank="1" showInputMessage="1" showErrorMessage="1" prompt="xx = minst gekozen _x000a_( 0x - 1x - 2x )_x000a_x = weinig gekozen_x000a_( 3x - 4x )_x000a_" sqref="AC7:AC42" xr:uid="{4A8E32BC-85AF-4324-A309-3A8F7AECC31B}">
      <formula1>"x,xx"</formula1>
    </dataValidation>
  </dataValidations>
  <pageMargins left="0.26" right="0.14000000000000001" top="0.82" bottom="0.33" header="0.33" footer="0.21"/>
  <pageSetup paperSize="9" scale="71" orientation="portrait" r:id="rId1"/>
  <headerFooter alignWithMargins="0">
    <oddFooter>&amp;R© www.meesterharrie.nl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23</xdr:col>
                    <xdr:colOff>38100</xdr:colOff>
                    <xdr:row>9</xdr:row>
                    <xdr:rowOff>9525</xdr:rowOff>
                  </from>
                  <to>
                    <xdr:col>23</xdr:col>
                    <xdr:colOff>371475</xdr:colOff>
                    <xdr:row>9</xdr:row>
                    <xdr:rowOff>228600</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23</xdr:col>
                    <xdr:colOff>38100</xdr:colOff>
                    <xdr:row>8</xdr:row>
                    <xdr:rowOff>9525</xdr:rowOff>
                  </from>
                  <to>
                    <xdr:col>23</xdr:col>
                    <xdr:colOff>371475</xdr:colOff>
                    <xdr:row>8</xdr:row>
                    <xdr:rowOff>228600</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23</xdr:col>
                    <xdr:colOff>38100</xdr:colOff>
                    <xdr:row>10</xdr:row>
                    <xdr:rowOff>19050</xdr:rowOff>
                  </from>
                  <to>
                    <xdr:col>23</xdr:col>
                    <xdr:colOff>371475</xdr:colOff>
                    <xdr:row>10</xdr:row>
                    <xdr:rowOff>238125</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23</xdr:col>
                    <xdr:colOff>38100</xdr:colOff>
                    <xdr:row>11</xdr:row>
                    <xdr:rowOff>19050</xdr:rowOff>
                  </from>
                  <to>
                    <xdr:col>23</xdr:col>
                    <xdr:colOff>371475</xdr:colOff>
                    <xdr:row>11</xdr:row>
                    <xdr:rowOff>238125</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23</xdr:col>
                    <xdr:colOff>38100</xdr:colOff>
                    <xdr:row>13</xdr:row>
                    <xdr:rowOff>19050</xdr:rowOff>
                  </from>
                  <to>
                    <xdr:col>23</xdr:col>
                    <xdr:colOff>371475</xdr:colOff>
                    <xdr:row>13</xdr:row>
                    <xdr:rowOff>238125</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23</xdr:col>
                    <xdr:colOff>38100</xdr:colOff>
                    <xdr:row>12</xdr:row>
                    <xdr:rowOff>19050</xdr:rowOff>
                  </from>
                  <to>
                    <xdr:col>23</xdr:col>
                    <xdr:colOff>371475</xdr:colOff>
                    <xdr:row>13</xdr:row>
                    <xdr:rowOff>0</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23</xdr:col>
                    <xdr:colOff>38100</xdr:colOff>
                    <xdr:row>14</xdr:row>
                    <xdr:rowOff>19050</xdr:rowOff>
                  </from>
                  <to>
                    <xdr:col>23</xdr:col>
                    <xdr:colOff>371475</xdr:colOff>
                    <xdr:row>14</xdr:row>
                    <xdr:rowOff>238125</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23</xdr:col>
                    <xdr:colOff>38100</xdr:colOff>
                    <xdr:row>15</xdr:row>
                    <xdr:rowOff>19050</xdr:rowOff>
                  </from>
                  <to>
                    <xdr:col>23</xdr:col>
                    <xdr:colOff>371475</xdr:colOff>
                    <xdr:row>15</xdr:row>
                    <xdr:rowOff>238125</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23</xdr:col>
                    <xdr:colOff>38100</xdr:colOff>
                    <xdr:row>17</xdr:row>
                    <xdr:rowOff>9525</xdr:rowOff>
                  </from>
                  <to>
                    <xdr:col>23</xdr:col>
                    <xdr:colOff>371475</xdr:colOff>
                    <xdr:row>17</xdr:row>
                    <xdr:rowOff>228600</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23</xdr:col>
                    <xdr:colOff>38100</xdr:colOff>
                    <xdr:row>16</xdr:row>
                    <xdr:rowOff>9525</xdr:rowOff>
                  </from>
                  <to>
                    <xdr:col>23</xdr:col>
                    <xdr:colOff>371475</xdr:colOff>
                    <xdr:row>16</xdr:row>
                    <xdr:rowOff>228600</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23</xdr:col>
                    <xdr:colOff>38100</xdr:colOff>
                    <xdr:row>18</xdr:row>
                    <xdr:rowOff>19050</xdr:rowOff>
                  </from>
                  <to>
                    <xdr:col>23</xdr:col>
                    <xdr:colOff>371475</xdr:colOff>
                    <xdr:row>18</xdr:row>
                    <xdr:rowOff>238125</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23</xdr:col>
                    <xdr:colOff>38100</xdr:colOff>
                    <xdr:row>19</xdr:row>
                    <xdr:rowOff>19050</xdr:rowOff>
                  </from>
                  <to>
                    <xdr:col>23</xdr:col>
                    <xdr:colOff>371475</xdr:colOff>
                    <xdr:row>19</xdr:row>
                    <xdr:rowOff>238125</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23</xdr:col>
                    <xdr:colOff>38100</xdr:colOff>
                    <xdr:row>21</xdr:row>
                    <xdr:rowOff>19050</xdr:rowOff>
                  </from>
                  <to>
                    <xdr:col>23</xdr:col>
                    <xdr:colOff>371475</xdr:colOff>
                    <xdr:row>21</xdr:row>
                    <xdr:rowOff>238125</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23</xdr:col>
                    <xdr:colOff>38100</xdr:colOff>
                    <xdr:row>20</xdr:row>
                    <xdr:rowOff>19050</xdr:rowOff>
                  </from>
                  <to>
                    <xdr:col>23</xdr:col>
                    <xdr:colOff>371475</xdr:colOff>
                    <xdr:row>20</xdr:row>
                    <xdr:rowOff>238125</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23</xdr:col>
                    <xdr:colOff>38100</xdr:colOff>
                    <xdr:row>22</xdr:row>
                    <xdr:rowOff>19050</xdr:rowOff>
                  </from>
                  <to>
                    <xdr:col>23</xdr:col>
                    <xdr:colOff>371475</xdr:colOff>
                    <xdr:row>22</xdr:row>
                    <xdr:rowOff>238125</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23</xdr:col>
                    <xdr:colOff>38100</xdr:colOff>
                    <xdr:row>23</xdr:row>
                    <xdr:rowOff>19050</xdr:rowOff>
                  </from>
                  <to>
                    <xdr:col>23</xdr:col>
                    <xdr:colOff>371475</xdr:colOff>
                    <xdr:row>23</xdr:row>
                    <xdr:rowOff>238125</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23</xdr:col>
                    <xdr:colOff>38100</xdr:colOff>
                    <xdr:row>25</xdr:row>
                    <xdr:rowOff>9525</xdr:rowOff>
                  </from>
                  <to>
                    <xdr:col>23</xdr:col>
                    <xdr:colOff>371475</xdr:colOff>
                    <xdr:row>25</xdr:row>
                    <xdr:rowOff>228600</xdr:rowOff>
                  </to>
                </anchor>
              </controlPr>
            </control>
          </mc:Choice>
        </mc:AlternateContent>
        <mc:AlternateContent xmlns:mc="http://schemas.openxmlformats.org/markup-compatibility/2006">
          <mc:Choice Requires="x14">
            <control shapeId="38930" r:id="rId21" name="Check Box 18">
              <controlPr defaultSize="0" autoFill="0" autoLine="0" autoPict="0">
                <anchor moveWithCells="1">
                  <from>
                    <xdr:col>23</xdr:col>
                    <xdr:colOff>38100</xdr:colOff>
                    <xdr:row>24</xdr:row>
                    <xdr:rowOff>9525</xdr:rowOff>
                  </from>
                  <to>
                    <xdr:col>23</xdr:col>
                    <xdr:colOff>371475</xdr:colOff>
                    <xdr:row>24</xdr:row>
                    <xdr:rowOff>228600</xdr:rowOff>
                  </to>
                </anchor>
              </controlPr>
            </control>
          </mc:Choice>
        </mc:AlternateContent>
        <mc:AlternateContent xmlns:mc="http://schemas.openxmlformats.org/markup-compatibility/2006">
          <mc:Choice Requires="x14">
            <control shapeId="38931" r:id="rId22" name="Check Box 19">
              <controlPr defaultSize="0" autoFill="0" autoLine="0" autoPict="0">
                <anchor moveWithCells="1">
                  <from>
                    <xdr:col>23</xdr:col>
                    <xdr:colOff>38100</xdr:colOff>
                    <xdr:row>26</xdr:row>
                    <xdr:rowOff>19050</xdr:rowOff>
                  </from>
                  <to>
                    <xdr:col>23</xdr:col>
                    <xdr:colOff>371475</xdr:colOff>
                    <xdr:row>26</xdr:row>
                    <xdr:rowOff>238125</xdr:rowOff>
                  </to>
                </anchor>
              </controlPr>
            </control>
          </mc:Choice>
        </mc:AlternateContent>
        <mc:AlternateContent xmlns:mc="http://schemas.openxmlformats.org/markup-compatibility/2006">
          <mc:Choice Requires="x14">
            <control shapeId="38932" r:id="rId23" name="Check Box 20">
              <controlPr defaultSize="0" autoFill="0" autoLine="0" autoPict="0">
                <anchor moveWithCells="1">
                  <from>
                    <xdr:col>23</xdr:col>
                    <xdr:colOff>38100</xdr:colOff>
                    <xdr:row>27</xdr:row>
                    <xdr:rowOff>19050</xdr:rowOff>
                  </from>
                  <to>
                    <xdr:col>23</xdr:col>
                    <xdr:colOff>371475</xdr:colOff>
                    <xdr:row>27</xdr:row>
                    <xdr:rowOff>238125</xdr:rowOff>
                  </to>
                </anchor>
              </controlPr>
            </control>
          </mc:Choice>
        </mc:AlternateContent>
        <mc:AlternateContent xmlns:mc="http://schemas.openxmlformats.org/markup-compatibility/2006">
          <mc:Choice Requires="x14">
            <control shapeId="38933" r:id="rId24" name="Check Box 21">
              <controlPr defaultSize="0" autoFill="0" autoLine="0" autoPict="0">
                <anchor moveWithCells="1">
                  <from>
                    <xdr:col>23</xdr:col>
                    <xdr:colOff>38100</xdr:colOff>
                    <xdr:row>29</xdr:row>
                    <xdr:rowOff>19050</xdr:rowOff>
                  </from>
                  <to>
                    <xdr:col>23</xdr:col>
                    <xdr:colOff>371475</xdr:colOff>
                    <xdr:row>29</xdr:row>
                    <xdr:rowOff>238125</xdr:rowOff>
                  </to>
                </anchor>
              </controlPr>
            </control>
          </mc:Choice>
        </mc:AlternateContent>
        <mc:AlternateContent xmlns:mc="http://schemas.openxmlformats.org/markup-compatibility/2006">
          <mc:Choice Requires="x14">
            <control shapeId="38934" r:id="rId25" name="Check Box 22">
              <controlPr defaultSize="0" autoFill="0" autoLine="0" autoPict="0">
                <anchor moveWithCells="1">
                  <from>
                    <xdr:col>23</xdr:col>
                    <xdr:colOff>38100</xdr:colOff>
                    <xdr:row>28</xdr:row>
                    <xdr:rowOff>19050</xdr:rowOff>
                  </from>
                  <to>
                    <xdr:col>23</xdr:col>
                    <xdr:colOff>371475</xdr:colOff>
                    <xdr:row>28</xdr:row>
                    <xdr:rowOff>238125</xdr:rowOff>
                  </to>
                </anchor>
              </controlPr>
            </control>
          </mc:Choice>
        </mc:AlternateContent>
        <mc:AlternateContent xmlns:mc="http://schemas.openxmlformats.org/markup-compatibility/2006">
          <mc:Choice Requires="x14">
            <control shapeId="38935" r:id="rId26" name="Check Box 23">
              <controlPr defaultSize="0" autoFill="0" autoLine="0" autoPict="0">
                <anchor moveWithCells="1">
                  <from>
                    <xdr:col>23</xdr:col>
                    <xdr:colOff>38100</xdr:colOff>
                    <xdr:row>30</xdr:row>
                    <xdr:rowOff>19050</xdr:rowOff>
                  </from>
                  <to>
                    <xdr:col>23</xdr:col>
                    <xdr:colOff>371475</xdr:colOff>
                    <xdr:row>30</xdr:row>
                    <xdr:rowOff>238125</xdr:rowOff>
                  </to>
                </anchor>
              </controlPr>
            </control>
          </mc:Choice>
        </mc:AlternateContent>
        <mc:AlternateContent xmlns:mc="http://schemas.openxmlformats.org/markup-compatibility/2006">
          <mc:Choice Requires="x14">
            <control shapeId="38936" r:id="rId27" name="Check Box 24">
              <controlPr defaultSize="0" autoFill="0" autoLine="0" autoPict="0">
                <anchor moveWithCells="1">
                  <from>
                    <xdr:col>23</xdr:col>
                    <xdr:colOff>38100</xdr:colOff>
                    <xdr:row>31</xdr:row>
                    <xdr:rowOff>19050</xdr:rowOff>
                  </from>
                  <to>
                    <xdr:col>23</xdr:col>
                    <xdr:colOff>371475</xdr:colOff>
                    <xdr:row>31</xdr:row>
                    <xdr:rowOff>238125</xdr:rowOff>
                  </to>
                </anchor>
              </controlPr>
            </control>
          </mc:Choice>
        </mc:AlternateContent>
        <mc:AlternateContent xmlns:mc="http://schemas.openxmlformats.org/markup-compatibility/2006">
          <mc:Choice Requires="x14">
            <control shapeId="38937" r:id="rId28" name="Check Box 25">
              <controlPr defaultSize="0" autoFill="0" autoLine="0" autoPict="0">
                <anchor moveWithCells="1">
                  <from>
                    <xdr:col>23</xdr:col>
                    <xdr:colOff>38100</xdr:colOff>
                    <xdr:row>33</xdr:row>
                    <xdr:rowOff>9525</xdr:rowOff>
                  </from>
                  <to>
                    <xdr:col>23</xdr:col>
                    <xdr:colOff>371475</xdr:colOff>
                    <xdr:row>33</xdr:row>
                    <xdr:rowOff>228600</xdr:rowOff>
                  </to>
                </anchor>
              </controlPr>
            </control>
          </mc:Choice>
        </mc:AlternateContent>
        <mc:AlternateContent xmlns:mc="http://schemas.openxmlformats.org/markup-compatibility/2006">
          <mc:Choice Requires="x14">
            <control shapeId="38938" r:id="rId29" name="Check Box 26">
              <controlPr defaultSize="0" autoFill="0" autoLine="0" autoPict="0">
                <anchor moveWithCells="1">
                  <from>
                    <xdr:col>23</xdr:col>
                    <xdr:colOff>38100</xdr:colOff>
                    <xdr:row>32</xdr:row>
                    <xdr:rowOff>9525</xdr:rowOff>
                  </from>
                  <to>
                    <xdr:col>23</xdr:col>
                    <xdr:colOff>371475</xdr:colOff>
                    <xdr:row>32</xdr:row>
                    <xdr:rowOff>228600</xdr:rowOff>
                  </to>
                </anchor>
              </controlPr>
            </control>
          </mc:Choice>
        </mc:AlternateContent>
        <mc:AlternateContent xmlns:mc="http://schemas.openxmlformats.org/markup-compatibility/2006">
          <mc:Choice Requires="x14">
            <control shapeId="38939" r:id="rId30" name="Check Box 27">
              <controlPr defaultSize="0" autoFill="0" autoLine="0" autoPict="0">
                <anchor moveWithCells="1">
                  <from>
                    <xdr:col>23</xdr:col>
                    <xdr:colOff>38100</xdr:colOff>
                    <xdr:row>34</xdr:row>
                    <xdr:rowOff>19050</xdr:rowOff>
                  </from>
                  <to>
                    <xdr:col>23</xdr:col>
                    <xdr:colOff>371475</xdr:colOff>
                    <xdr:row>34</xdr:row>
                    <xdr:rowOff>238125</xdr:rowOff>
                  </to>
                </anchor>
              </controlPr>
            </control>
          </mc:Choice>
        </mc:AlternateContent>
        <mc:AlternateContent xmlns:mc="http://schemas.openxmlformats.org/markup-compatibility/2006">
          <mc:Choice Requires="x14">
            <control shapeId="38940" r:id="rId31" name="Check Box 28">
              <controlPr defaultSize="0" autoFill="0" autoLine="0" autoPict="0">
                <anchor moveWithCells="1">
                  <from>
                    <xdr:col>23</xdr:col>
                    <xdr:colOff>38100</xdr:colOff>
                    <xdr:row>35</xdr:row>
                    <xdr:rowOff>19050</xdr:rowOff>
                  </from>
                  <to>
                    <xdr:col>23</xdr:col>
                    <xdr:colOff>371475</xdr:colOff>
                    <xdr:row>35</xdr:row>
                    <xdr:rowOff>238125</xdr:rowOff>
                  </to>
                </anchor>
              </controlPr>
            </control>
          </mc:Choice>
        </mc:AlternateContent>
        <mc:AlternateContent xmlns:mc="http://schemas.openxmlformats.org/markup-compatibility/2006">
          <mc:Choice Requires="x14">
            <control shapeId="38941" r:id="rId32" name="Check Box 29">
              <controlPr defaultSize="0" autoFill="0" autoLine="0" autoPict="0">
                <anchor moveWithCells="1">
                  <from>
                    <xdr:col>23</xdr:col>
                    <xdr:colOff>38100</xdr:colOff>
                    <xdr:row>37</xdr:row>
                    <xdr:rowOff>19050</xdr:rowOff>
                  </from>
                  <to>
                    <xdr:col>23</xdr:col>
                    <xdr:colOff>371475</xdr:colOff>
                    <xdr:row>37</xdr:row>
                    <xdr:rowOff>238125</xdr:rowOff>
                  </to>
                </anchor>
              </controlPr>
            </control>
          </mc:Choice>
        </mc:AlternateContent>
        <mc:AlternateContent xmlns:mc="http://schemas.openxmlformats.org/markup-compatibility/2006">
          <mc:Choice Requires="x14">
            <control shapeId="38942" r:id="rId33" name="Check Box 30">
              <controlPr defaultSize="0" autoFill="0" autoLine="0" autoPict="0">
                <anchor moveWithCells="1">
                  <from>
                    <xdr:col>23</xdr:col>
                    <xdr:colOff>38100</xdr:colOff>
                    <xdr:row>36</xdr:row>
                    <xdr:rowOff>19050</xdr:rowOff>
                  </from>
                  <to>
                    <xdr:col>23</xdr:col>
                    <xdr:colOff>371475</xdr:colOff>
                    <xdr:row>36</xdr:row>
                    <xdr:rowOff>238125</xdr:rowOff>
                  </to>
                </anchor>
              </controlPr>
            </control>
          </mc:Choice>
        </mc:AlternateContent>
        <mc:AlternateContent xmlns:mc="http://schemas.openxmlformats.org/markup-compatibility/2006">
          <mc:Choice Requires="x14">
            <control shapeId="38943" r:id="rId34" name="Check Box 31">
              <controlPr defaultSize="0" autoFill="0" autoLine="0" autoPict="0">
                <anchor moveWithCells="1">
                  <from>
                    <xdr:col>23</xdr:col>
                    <xdr:colOff>38100</xdr:colOff>
                    <xdr:row>38</xdr:row>
                    <xdr:rowOff>19050</xdr:rowOff>
                  </from>
                  <to>
                    <xdr:col>23</xdr:col>
                    <xdr:colOff>371475</xdr:colOff>
                    <xdr:row>38</xdr:row>
                    <xdr:rowOff>238125</xdr:rowOff>
                  </to>
                </anchor>
              </controlPr>
            </control>
          </mc:Choice>
        </mc:AlternateContent>
        <mc:AlternateContent xmlns:mc="http://schemas.openxmlformats.org/markup-compatibility/2006">
          <mc:Choice Requires="x14">
            <control shapeId="38944" r:id="rId35" name="Check Box 32">
              <controlPr defaultSize="0" autoFill="0" autoLine="0" autoPict="0">
                <anchor moveWithCells="1">
                  <from>
                    <xdr:col>23</xdr:col>
                    <xdr:colOff>38100</xdr:colOff>
                    <xdr:row>39</xdr:row>
                    <xdr:rowOff>19050</xdr:rowOff>
                  </from>
                  <to>
                    <xdr:col>23</xdr:col>
                    <xdr:colOff>371475</xdr:colOff>
                    <xdr:row>39</xdr:row>
                    <xdr:rowOff>238125</xdr:rowOff>
                  </to>
                </anchor>
              </controlPr>
            </control>
          </mc:Choice>
        </mc:AlternateContent>
        <mc:AlternateContent xmlns:mc="http://schemas.openxmlformats.org/markup-compatibility/2006">
          <mc:Choice Requires="x14">
            <control shapeId="38945" r:id="rId36" name="Check Box 33">
              <controlPr defaultSize="0" autoFill="0" autoLine="0" autoPict="0">
                <anchor moveWithCells="1">
                  <from>
                    <xdr:col>23</xdr:col>
                    <xdr:colOff>38100</xdr:colOff>
                    <xdr:row>41</xdr:row>
                    <xdr:rowOff>9525</xdr:rowOff>
                  </from>
                  <to>
                    <xdr:col>23</xdr:col>
                    <xdr:colOff>371475</xdr:colOff>
                    <xdr:row>41</xdr:row>
                    <xdr:rowOff>228600</xdr:rowOff>
                  </to>
                </anchor>
              </controlPr>
            </control>
          </mc:Choice>
        </mc:AlternateContent>
        <mc:AlternateContent xmlns:mc="http://schemas.openxmlformats.org/markup-compatibility/2006">
          <mc:Choice Requires="x14">
            <control shapeId="38946" r:id="rId37" name="Check Box 34">
              <controlPr defaultSize="0" autoFill="0" autoLine="0" autoPict="0">
                <anchor moveWithCells="1">
                  <from>
                    <xdr:col>23</xdr:col>
                    <xdr:colOff>38100</xdr:colOff>
                    <xdr:row>40</xdr:row>
                    <xdr:rowOff>9525</xdr:rowOff>
                  </from>
                  <to>
                    <xdr:col>23</xdr:col>
                    <xdr:colOff>371475</xdr:colOff>
                    <xdr:row>40</xdr:row>
                    <xdr:rowOff>228600</xdr:rowOff>
                  </to>
                </anchor>
              </controlPr>
            </control>
          </mc:Choice>
        </mc:AlternateContent>
        <mc:AlternateContent xmlns:mc="http://schemas.openxmlformats.org/markup-compatibility/2006">
          <mc:Choice Requires="x14">
            <control shapeId="38947" r:id="rId38" name="Check Box 35">
              <controlPr defaultSize="0" autoFill="0" autoLine="0" autoPict="0">
                <anchor moveWithCells="1">
                  <from>
                    <xdr:col>23</xdr:col>
                    <xdr:colOff>38100</xdr:colOff>
                    <xdr:row>6</xdr:row>
                    <xdr:rowOff>9525</xdr:rowOff>
                  </from>
                  <to>
                    <xdr:col>23</xdr:col>
                    <xdr:colOff>371475</xdr:colOff>
                    <xdr:row>6</xdr:row>
                    <xdr:rowOff>228600</xdr:rowOff>
                  </to>
                </anchor>
              </controlPr>
            </control>
          </mc:Choice>
        </mc:AlternateContent>
        <mc:AlternateContent xmlns:mc="http://schemas.openxmlformats.org/markup-compatibility/2006">
          <mc:Choice Requires="x14">
            <control shapeId="38948" r:id="rId39" name="Check Box 36">
              <controlPr defaultSize="0" autoFill="0" autoLine="0" autoPict="0">
                <anchor moveWithCells="1">
                  <from>
                    <xdr:col>23</xdr:col>
                    <xdr:colOff>38100</xdr:colOff>
                    <xdr:row>7</xdr:row>
                    <xdr:rowOff>9525</xdr:rowOff>
                  </from>
                  <to>
                    <xdr:col>23</xdr:col>
                    <xdr:colOff>371475</xdr:colOff>
                    <xdr:row>7</xdr:row>
                    <xdr:rowOff>228600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59"/>
  <sheetViews>
    <sheetView showGridLines="0" showRowColHeaders="0" zoomScaleNormal="100" workbookViewId="0"/>
  </sheetViews>
  <sheetFormatPr defaultRowHeight="12.75" x14ac:dyDescent="0.2"/>
  <sheetData>
    <row r="2" spans="1:3" ht="36.75" customHeight="1" x14ac:dyDescent="0.2">
      <c r="A2" s="24"/>
      <c r="B2" s="31" t="s">
        <v>1</v>
      </c>
    </row>
    <row r="3" spans="1:3" ht="18" x14ac:dyDescent="0.2">
      <c r="C3" s="30" t="s">
        <v>2</v>
      </c>
    </row>
    <row r="4" spans="1:3" ht="15" x14ac:dyDescent="0.2">
      <c r="C4" s="25" t="s">
        <v>3</v>
      </c>
    </row>
    <row r="5" spans="1:3" ht="15" x14ac:dyDescent="0.2">
      <c r="C5" s="25" t="s">
        <v>4</v>
      </c>
    </row>
    <row r="6" spans="1:3" ht="15" x14ac:dyDescent="0.2">
      <c r="C6" s="25" t="s">
        <v>5</v>
      </c>
    </row>
    <row r="7" spans="1:3" ht="15" x14ac:dyDescent="0.2">
      <c r="C7" s="25"/>
    </row>
    <row r="8" spans="1:3" ht="15" x14ac:dyDescent="0.2">
      <c r="A8" s="25" t="s">
        <v>6</v>
      </c>
    </row>
    <row r="10" spans="1:3" ht="263.45" customHeight="1" x14ac:dyDescent="0.2">
      <c r="A10" s="25"/>
    </row>
    <row r="11" spans="1:3" ht="15" x14ac:dyDescent="0.2">
      <c r="A11" s="26" t="s">
        <v>7</v>
      </c>
      <c r="C11" s="9"/>
    </row>
    <row r="12" spans="1:3" ht="15" x14ac:dyDescent="0.2">
      <c r="A12" s="24" t="s">
        <v>8</v>
      </c>
    </row>
    <row r="13" spans="1:3" ht="263.25" customHeight="1" x14ac:dyDescent="0.2">
      <c r="A13" s="24"/>
    </row>
    <row r="14" spans="1:3" ht="18" x14ac:dyDescent="0.2">
      <c r="C14" s="30" t="s">
        <v>9</v>
      </c>
    </row>
    <row r="15" spans="1:3" ht="15" x14ac:dyDescent="0.2">
      <c r="C15" s="25" t="s">
        <v>10</v>
      </c>
    </row>
    <row r="16" spans="1:3" ht="15" x14ac:dyDescent="0.2">
      <c r="C16" s="25" t="s">
        <v>11</v>
      </c>
    </row>
    <row r="17" spans="1:3" ht="15" x14ac:dyDescent="0.2">
      <c r="C17" s="25" t="s">
        <v>12</v>
      </c>
    </row>
    <row r="18" spans="1:3" ht="15" x14ac:dyDescent="0.2">
      <c r="A18" s="24" t="s">
        <v>13</v>
      </c>
    </row>
    <row r="19" spans="1:3" ht="218.25" customHeight="1" x14ac:dyDescent="0.2"/>
    <row r="20" spans="1:3" ht="15" x14ac:dyDescent="0.2">
      <c r="A20" s="26" t="s">
        <v>14</v>
      </c>
      <c r="C20" s="9"/>
    </row>
    <row r="21" spans="1:3" ht="15" x14ac:dyDescent="0.2">
      <c r="A21" s="24" t="s">
        <v>15</v>
      </c>
    </row>
    <row r="22" spans="1:3" ht="15" x14ac:dyDescent="0.2">
      <c r="A22" s="24"/>
    </row>
    <row r="23" spans="1:3" ht="15" x14ac:dyDescent="0.2">
      <c r="A23" s="24"/>
    </row>
    <row r="24" spans="1:3" ht="15" x14ac:dyDescent="0.2">
      <c r="A24" s="24"/>
    </row>
    <row r="25" spans="1:3" ht="15" x14ac:dyDescent="0.2">
      <c r="A25" s="24" t="s">
        <v>8</v>
      </c>
    </row>
    <row r="26" spans="1:3" ht="15" x14ac:dyDescent="0.2">
      <c r="A26" s="24"/>
    </row>
    <row r="27" spans="1:3" ht="15" x14ac:dyDescent="0.2">
      <c r="A27" s="24"/>
    </row>
    <row r="29" spans="1:3" ht="15" x14ac:dyDescent="0.2">
      <c r="A29" s="24"/>
    </row>
    <row r="30" spans="1:3" ht="15" x14ac:dyDescent="0.2">
      <c r="A30" s="24"/>
    </row>
    <row r="31" spans="1:3" ht="63.75" customHeight="1" x14ac:dyDescent="0.2">
      <c r="A31" s="24"/>
    </row>
    <row r="32" spans="1:3" ht="15" x14ac:dyDescent="0.2">
      <c r="A32" s="26" t="s">
        <v>16</v>
      </c>
    </row>
    <row r="34" spans="1:3" ht="15" x14ac:dyDescent="0.2">
      <c r="A34" s="26" t="s">
        <v>17</v>
      </c>
    </row>
    <row r="35" spans="1:3" ht="183.75" customHeight="1" x14ac:dyDescent="0.2">
      <c r="A35" s="26"/>
    </row>
    <row r="37" spans="1:3" ht="15" x14ac:dyDescent="0.2">
      <c r="A37" s="26"/>
    </row>
    <row r="38" spans="1:3" ht="15" x14ac:dyDescent="0.2">
      <c r="A38" s="26"/>
    </row>
    <row r="40" spans="1:3" ht="15" x14ac:dyDescent="0.2">
      <c r="A40" s="24"/>
    </row>
    <row r="41" spans="1:3" ht="78" customHeight="1" x14ac:dyDescent="0.2">
      <c r="A41" s="24"/>
    </row>
    <row r="42" spans="1:3" ht="18" x14ac:dyDescent="0.2">
      <c r="C42" s="30" t="s">
        <v>18</v>
      </c>
    </row>
    <row r="43" spans="1:3" ht="15" x14ac:dyDescent="0.2">
      <c r="C43" s="25" t="s">
        <v>19</v>
      </c>
    </row>
    <row r="44" spans="1:3" ht="15" x14ac:dyDescent="0.2">
      <c r="C44" s="25" t="s">
        <v>20</v>
      </c>
    </row>
    <row r="45" spans="1:3" ht="15" x14ac:dyDescent="0.2">
      <c r="C45" s="25" t="s">
        <v>21</v>
      </c>
    </row>
    <row r="46" spans="1:3" ht="15" x14ac:dyDescent="0.2">
      <c r="C46" s="25"/>
    </row>
    <row r="47" spans="1:3" ht="15" x14ac:dyDescent="0.2">
      <c r="A47" s="26" t="s">
        <v>22</v>
      </c>
    </row>
    <row r="49" spans="1:3" ht="401.25" customHeight="1" x14ac:dyDescent="0.2">
      <c r="A49" s="24"/>
    </row>
    <row r="50" spans="1:3" ht="18" x14ac:dyDescent="0.2">
      <c r="C50" s="30" t="s">
        <v>23</v>
      </c>
    </row>
    <row r="51" spans="1:3" ht="15" x14ac:dyDescent="0.2">
      <c r="C51" s="27" t="s">
        <v>24</v>
      </c>
    </row>
    <row r="52" spans="1:3" ht="15" x14ac:dyDescent="0.2">
      <c r="C52" s="28" t="s">
        <v>25</v>
      </c>
    </row>
    <row r="53" spans="1:3" ht="15" x14ac:dyDescent="0.2">
      <c r="C53" s="28" t="s">
        <v>26</v>
      </c>
    </row>
    <row r="54" spans="1:3" ht="15" x14ac:dyDescent="0.2">
      <c r="A54" s="28"/>
    </row>
    <row r="55" spans="1:3" ht="15" x14ac:dyDescent="0.2">
      <c r="A55" s="29"/>
    </row>
    <row r="56" spans="1:3" ht="15" x14ac:dyDescent="0.2">
      <c r="A56" s="29"/>
    </row>
    <row r="57" spans="1:3" ht="15" x14ac:dyDescent="0.2">
      <c r="A57" s="27"/>
    </row>
    <row r="58" spans="1:3" ht="15" x14ac:dyDescent="0.2">
      <c r="A58" s="27"/>
    </row>
    <row r="59" spans="1:3" ht="15" x14ac:dyDescent="0.2">
      <c r="A59" s="24"/>
    </row>
  </sheetData>
  <sheetProtection sheet="1" objects="1" scenarios="1"/>
  <pageMargins left="0.70866141732283472" right="0.70866141732283472" top="0.74803149606299213" bottom="0.74803149606299213" header="0.31496062992125984" footer="0.31496062992125984"/>
  <pageSetup paperSize="9" scale="54" orientation="landscape" horizontalDpi="4294967293" r:id="rId1"/>
  <rowBreaks count="3" manualBreakCount="3">
    <brk id="13" max="16383" man="1"/>
    <brk id="41" max="16383" man="1"/>
    <brk id="79"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66CCFF"/>
  </sheetPr>
  <dimension ref="B1:AS186"/>
  <sheetViews>
    <sheetView showGridLines="0" showRowColHeaders="0" showWhiteSpace="0" zoomScale="75" zoomScaleNormal="75" zoomScaleSheetLayoutView="85" workbookViewId="0">
      <pane xSplit="3" topLeftCell="D1" activePane="topRight" state="frozen"/>
      <selection pane="topRight" activeCell="E4" sqref="E4"/>
    </sheetView>
  </sheetViews>
  <sheetFormatPr defaultColWidth="9.140625" defaultRowHeight="12.75" x14ac:dyDescent="0.2"/>
  <cols>
    <col min="1" max="1" width="3.140625" style="187" customWidth="1"/>
    <col min="2" max="2" width="4" style="6" bestFit="1" customWidth="1"/>
    <col min="3" max="3" width="25.85546875" style="449" customWidth="1"/>
    <col min="4" max="4" width="2.85546875" style="449" customWidth="1"/>
    <col min="5" max="5" width="11.85546875" style="449" customWidth="1"/>
    <col min="6" max="6" width="2.85546875" style="449" customWidth="1"/>
    <col min="7" max="7" width="11.85546875" style="449" customWidth="1"/>
    <col min="8" max="9" width="5.85546875" style="449" customWidth="1"/>
    <col min="10" max="10" width="2.85546875" style="449" customWidth="1"/>
    <col min="11" max="11" width="11.85546875" style="449" customWidth="1"/>
    <col min="12" max="13" width="5.85546875" style="449" customWidth="1"/>
    <col min="14" max="14" width="5.85546875" style="396" customWidth="1"/>
    <col min="15" max="15" width="2.85546875" style="456" customWidth="1"/>
    <col min="16" max="17" width="5.85546875" style="449" customWidth="1"/>
    <col min="18" max="19" width="11.85546875" style="449" customWidth="1"/>
    <col min="20" max="20" width="2.85546875" style="457" customWidth="1"/>
    <col min="21" max="21" width="4.85546875" style="449" customWidth="1"/>
    <col min="22" max="22" width="5.42578125" style="449" bestFit="1" customWidth="1"/>
    <col min="23" max="23" width="4.85546875" style="449" customWidth="1"/>
    <col min="24" max="24" width="2.85546875" style="449" customWidth="1"/>
    <col min="25" max="25" width="4.85546875" style="449" customWidth="1"/>
    <col min="26" max="26" width="5.42578125" style="449" bestFit="1" customWidth="1"/>
    <col min="27" max="27" width="4.85546875" style="449" customWidth="1"/>
    <col min="28" max="28" width="2.85546875" style="449" customWidth="1"/>
    <col min="29" max="29" width="4.85546875" style="449" customWidth="1"/>
    <col min="30" max="30" width="5.42578125" style="449" bestFit="1" customWidth="1"/>
    <col min="31" max="31" width="4.85546875" style="449" customWidth="1"/>
    <col min="32" max="32" width="3.85546875" style="458" customWidth="1"/>
    <col min="33" max="33" width="11.85546875" style="449" customWidth="1"/>
    <col min="34" max="34" width="5.85546875" style="69" customWidth="1"/>
    <col min="35" max="36" width="6.85546875" style="69" hidden="1" customWidth="1"/>
    <col min="37" max="37" width="9.140625" style="187"/>
    <col min="38" max="39" width="13.140625" style="187" bestFit="1" customWidth="1"/>
    <col min="40" max="40" width="9" style="187" bestFit="1" customWidth="1"/>
    <col min="41" max="42" width="7.85546875" style="187" bestFit="1" customWidth="1"/>
    <col min="43" max="44" width="8.140625" style="187" bestFit="1" customWidth="1"/>
    <col min="45" max="16384" width="9.140625" style="187"/>
  </cols>
  <sheetData>
    <row r="1" spans="2:45" s="368" customFormat="1" ht="15.75" x14ac:dyDescent="0.25">
      <c r="B1" s="697"/>
      <c r="C1" s="450" t="s">
        <v>227</v>
      </c>
      <c r="D1" s="253"/>
      <c r="E1" s="1176" t="s">
        <v>228</v>
      </c>
      <c r="F1" s="1176"/>
      <c r="G1" s="1176"/>
      <c r="H1" s="1176"/>
      <c r="I1" s="1176"/>
      <c r="J1" s="459"/>
      <c r="K1" s="1177" t="s">
        <v>229</v>
      </c>
      <c r="L1" s="1177"/>
      <c r="M1" s="1177"/>
      <c r="N1" s="1177"/>
      <c r="O1" s="1177"/>
      <c r="P1" s="1177"/>
      <c r="Q1" s="1177"/>
      <c r="R1" s="1177"/>
      <c r="S1" s="1177"/>
      <c r="T1" s="177"/>
      <c r="U1" s="1177" t="s">
        <v>230</v>
      </c>
      <c r="V1" s="1177"/>
      <c r="W1" s="1177"/>
      <c r="X1" s="1177"/>
      <c r="Y1" s="1177"/>
      <c r="Z1" s="1177"/>
      <c r="AA1" s="1177"/>
      <c r="AB1" s="1177"/>
      <c r="AC1" s="1177"/>
      <c r="AD1" s="1177"/>
      <c r="AE1" s="1177"/>
      <c r="AF1" s="460"/>
      <c r="AG1" s="1178" t="s">
        <v>231</v>
      </c>
      <c r="AH1" s="1178"/>
      <c r="AI1" s="1178"/>
      <c r="AJ1" s="1178"/>
      <c r="AK1" s="1178"/>
      <c r="AL1" s="1178"/>
      <c r="AM1" s="1178"/>
      <c r="AN1" s="1178"/>
      <c r="AO1" s="1178"/>
      <c r="AP1" s="1178"/>
      <c r="AQ1" s="1178"/>
      <c r="AR1" s="1178"/>
      <c r="AS1" s="1178"/>
    </row>
    <row r="2" spans="2:45" ht="13.5" thickBot="1" x14ac:dyDescent="0.25">
      <c r="B2" s="697"/>
      <c r="E2" s="461"/>
      <c r="F2" s="461"/>
      <c r="G2" s="461"/>
      <c r="H2" s="461"/>
      <c r="I2" s="461"/>
      <c r="J2" s="461"/>
      <c r="K2" s="461"/>
      <c r="L2" s="461"/>
      <c r="M2" s="461"/>
      <c r="N2" s="369"/>
      <c r="P2" s="461"/>
      <c r="Q2" s="461"/>
      <c r="R2" s="461"/>
      <c r="S2" s="461"/>
      <c r="T2" s="462"/>
      <c r="U2" s="1188" t="s">
        <v>232</v>
      </c>
      <c r="V2" s="1188"/>
      <c r="W2" s="1188"/>
      <c r="X2" s="461"/>
      <c r="Y2" s="1188" t="s">
        <v>233</v>
      </c>
      <c r="Z2" s="1188"/>
      <c r="AA2" s="1188"/>
      <c r="AB2" s="461"/>
      <c r="AC2" s="1188" t="s">
        <v>234</v>
      </c>
      <c r="AD2" s="1188"/>
      <c r="AE2" s="1188"/>
      <c r="AF2" s="463"/>
      <c r="AG2" s="461"/>
      <c r="AH2" s="77"/>
    </row>
    <row r="3" spans="2:45" ht="117" customHeight="1" x14ac:dyDescent="0.2">
      <c r="B3" s="717"/>
      <c r="C3" s="451"/>
      <c r="E3" s="486" t="s">
        <v>235</v>
      </c>
      <c r="F3" s="464"/>
      <c r="G3" s="486" t="s">
        <v>236</v>
      </c>
      <c r="H3" s="465" t="s">
        <v>237</v>
      </c>
      <c r="I3" s="466" t="s">
        <v>238</v>
      </c>
      <c r="J3" s="464"/>
      <c r="K3" s="487" t="s">
        <v>239</v>
      </c>
      <c r="L3" s="465" t="s">
        <v>240</v>
      </c>
      <c r="M3" s="466" t="s">
        <v>241</v>
      </c>
      <c r="N3" s="467" t="s">
        <v>242</v>
      </c>
      <c r="P3" s="468" t="s">
        <v>243</v>
      </c>
      <c r="Q3" s="469" t="s">
        <v>244</v>
      </c>
      <c r="R3" s="470" t="s">
        <v>245</v>
      </c>
      <c r="S3" s="471" t="s">
        <v>246</v>
      </c>
      <c r="T3" s="472"/>
      <c r="U3" s="473" t="s">
        <v>247</v>
      </c>
      <c r="V3" s="474" t="s">
        <v>248</v>
      </c>
      <c r="W3" s="471" t="s">
        <v>249</v>
      </c>
      <c r="X3" s="472"/>
      <c r="Y3" s="473" t="s">
        <v>247</v>
      </c>
      <c r="Z3" s="474" t="s">
        <v>248</v>
      </c>
      <c r="AA3" s="471" t="s">
        <v>249</v>
      </c>
      <c r="AB3" s="472"/>
      <c r="AC3" s="473" t="s">
        <v>247</v>
      </c>
      <c r="AD3" s="474" t="s">
        <v>248</v>
      </c>
      <c r="AE3" s="471" t="s">
        <v>250</v>
      </c>
      <c r="AF3" s="475"/>
      <c r="AG3" s="488" t="s">
        <v>251</v>
      </c>
      <c r="AH3" s="489" t="s">
        <v>252</v>
      </c>
    </row>
    <row r="4" spans="2:45" ht="19.5" customHeight="1" x14ac:dyDescent="0.2">
      <c r="B4" s="399">
        <v>1</v>
      </c>
      <c r="C4" s="452" t="str">
        <f>BEGINBLAD!C4</f>
        <v>leelring 1</v>
      </c>
      <c r="E4" s="476"/>
      <c r="F4" s="477"/>
      <c r="G4" s="476"/>
      <c r="H4" s="371" t="str">
        <f t="shared" ref="H4:H39" si="0">IF(G4="","",IF(G4="VWO",547,IF(G4="HAVO/VWO",542,IF(G4="HAVO",538,IF(G4="TL/HAVO",535,IF(G4="TL",530,IF(G4="KB/TL",527,IF(G4="KB",524,IF(G4="BB/KB",521,IF(G4="BB",515,IF(G4="PRO/BB",505)))))))))))</f>
        <v/>
      </c>
      <c r="I4" s="370" t="str">
        <f t="shared" ref="I4:I39" si="1">IF(G4="","",IF(G4="VWO",93,IF(G4="HAVO/VWO",87,IF(G4="HAVO",82,IF(G4="TL/HAVO",77,IF(G4="TL",71,IF(G4="KB/TL",66,IF(G4="KB",62,IF(G4="BB/KB",55,IF(G4="BB",50,IF(G4="PRO/BB",40)))))))))))</f>
        <v/>
      </c>
      <c r="J4" s="477"/>
      <c r="K4" s="476"/>
      <c r="L4" s="371" t="str">
        <f>IF(K4="","",IF(K4="VWO",547,IF(K4="HAVO/VWO",542,IF(K4="HAVO",538,IF(K4="TL/HAVO",535,IF(K4="TL",530,IF(K4="KB/TL",527,IF(K4="KB",524,IF(K4="BB/KB",521,IF(K4="BB",515,IF(K4="PRO/BB",505)))))))))))</f>
        <v/>
      </c>
      <c r="M4" s="370" t="str">
        <f>IF(K4="","",IF(K4="VWO",93,IF(K4="HAVO/VWO",87,IF(K4="HAVO",82,IF(K4="TL/HAVO",77,IF(K4="TL",71,IF(K4="KB/TL",66,IF(K4="KB",62,IF(K4="BB/KB",55,IF(K4="BB",50,IF(K4="PRO/BB",40)))))))))))</f>
        <v/>
      </c>
      <c r="N4" s="372"/>
      <c r="P4" s="373"/>
      <c r="Q4" s="374"/>
      <c r="R4" s="375" t="str">
        <f>IF(P4="","",IF(P4&gt;=545,"VWO",IF(P4&gt;=540,"HAVO/VWO",IF(P4&gt;=537,"HAVO",IF(P4&gt;=533,"TL/HAVO",IF(P4&gt;=529,"TL",IF(P4&gt;=526,"KB/TL",IF(P4&gt;=523,"KB",IF(P4&gt;=519,"BB/KB",IF(P4&gt;=509,"BB",IF(P4&gt;=501,"PRO/BB")))))))))))</f>
        <v/>
      </c>
      <c r="S4" s="370" t="str">
        <f>IF(Q4="","",IF(Q4&gt;=92,"VWO",IF(Q4&gt;=86,"HAVO/VWO",IF(Q4&gt;=78,"TL/HAVO",IF(Q4&gt;=69,"KB/TL",IF(Q4&gt;=55,"BB/KB",IF(Q4&gt;=40,"PRO/BB")))))))</f>
        <v/>
      </c>
      <c r="T4" s="376"/>
      <c r="U4" s="373"/>
      <c r="V4" s="377"/>
      <c r="W4" s="374"/>
      <c r="X4" s="376"/>
      <c r="Y4" s="490"/>
      <c r="Z4" s="377"/>
      <c r="AA4" s="374"/>
      <c r="AB4" s="376"/>
      <c r="AC4" s="373"/>
      <c r="AD4" s="377"/>
      <c r="AE4" s="374"/>
      <c r="AF4" s="398"/>
      <c r="AG4" s="718"/>
      <c r="AH4" s="421"/>
      <c r="AJ4" s="432" t="b">
        <v>0</v>
      </c>
      <c r="AL4" s="378" t="s">
        <v>253</v>
      </c>
      <c r="AM4" s="378" t="s">
        <v>253</v>
      </c>
      <c r="AN4" s="379" t="s">
        <v>254</v>
      </c>
      <c r="AO4" s="380" t="s">
        <v>229</v>
      </c>
      <c r="AP4" s="380" t="s">
        <v>229</v>
      </c>
      <c r="AQ4" s="380" t="s">
        <v>255</v>
      </c>
      <c r="AR4" s="380" t="s">
        <v>255</v>
      </c>
    </row>
    <row r="5" spans="2:45" ht="19.5" customHeight="1" x14ac:dyDescent="0.2">
      <c r="B5" s="399">
        <v>2</v>
      </c>
      <c r="C5" s="452" t="str">
        <f>BEGINBLAD!C5</f>
        <v>leerling 2</v>
      </c>
      <c r="E5" s="476"/>
      <c r="F5" s="477"/>
      <c r="G5" s="476"/>
      <c r="H5" s="371" t="str">
        <f t="shared" si="0"/>
        <v/>
      </c>
      <c r="I5" s="370" t="str">
        <f t="shared" si="1"/>
        <v/>
      </c>
      <c r="J5" s="477"/>
      <c r="K5" s="476"/>
      <c r="L5" s="371" t="str">
        <f t="shared" ref="L5:L39" si="2">IF(K5="","",IF(K5="VWO",547,IF(K5="HAVO/VWO",542,IF(K5="HAVO",538,IF(K5="TL/HAVO",535,IF(K5="TL",530,IF(K5="KB/TL",527,IF(K5="KB",524,IF(K5="BB/KB",521,IF(K5="BB",515,IF(K5="PRO/BB",505)))))))))))</f>
        <v/>
      </c>
      <c r="M5" s="370" t="str">
        <f t="shared" ref="M5:M39" si="3">IF(K5="","",IF(K5="VWO",93,IF(K5="HAVO/VWO",87,IF(K5="HAVO",82,IF(K5="TL/HAVO",77,IF(K5="TL",71,IF(K5="KB/TL",66,IF(K5="KB",62,IF(K5="BB/KB",55,IF(K5="BB",50,IF(K5="PRO/BB",40)))))))))))</f>
        <v/>
      </c>
      <c r="N5" s="372"/>
      <c r="P5" s="373"/>
      <c r="Q5" s="374"/>
      <c r="R5" s="375" t="str">
        <f t="shared" ref="R5:R39" si="4">IF(P5="","",IF(P5&gt;=545,"VWO",IF(P5&gt;=540,"HAVO/VWO",IF(P5&gt;=537,"HAVO",IF(P5&gt;=533,"TL/HAVO",IF(P5&gt;=529,"TL",IF(P5&gt;=526,"KB/TL",IF(P5&gt;=523,"KB",IF(P5&gt;=519,"BB/KB",IF(P5&gt;=509,"BB",IF(P5&gt;=501,"PRO/BB")))))))))))</f>
        <v/>
      </c>
      <c r="S5" s="370" t="str">
        <f t="shared" ref="S5:S39" si="5">IF(Q5="","",IF(Q5&gt;=92,"VWO",IF(Q5&gt;=86,"HAVO/VWO",IF(Q5&gt;=78,"TL/HAVO",IF(Q5&gt;=69,"KB/TL",IF(Q5&gt;=55,"BB/KB",IF(Q5&gt;=40,"PRO/BB")))))))</f>
        <v/>
      </c>
      <c r="T5" s="376"/>
      <c r="U5" s="373"/>
      <c r="V5" s="377"/>
      <c r="W5" s="374"/>
      <c r="X5" s="376"/>
      <c r="Y5" s="373"/>
      <c r="Z5" s="377"/>
      <c r="AA5" s="374"/>
      <c r="AB5" s="376"/>
      <c r="AC5" s="373"/>
      <c r="AD5" s="377"/>
      <c r="AE5" s="374"/>
      <c r="AF5" s="398"/>
      <c r="AG5" s="718"/>
      <c r="AH5" s="421"/>
      <c r="AJ5" s="432" t="b">
        <v>0</v>
      </c>
      <c r="AK5" s="187">
        <v>1</v>
      </c>
      <c r="AL5" s="381" t="s">
        <v>101</v>
      </c>
      <c r="AM5" s="1181" t="s">
        <v>256</v>
      </c>
      <c r="AN5" s="722">
        <f>COUNTIF($AG4:$AG39,"PRO")</f>
        <v>0</v>
      </c>
      <c r="AO5" s="721" t="str">
        <f>IF(AN5=0,"0%",IF(AN5&gt;0,AN5/$AN$16))</f>
        <v>0%</v>
      </c>
      <c r="AP5" s="1180">
        <f>AO5+AO6</f>
        <v>0</v>
      </c>
      <c r="AQ5" s="721">
        <v>0.01</v>
      </c>
      <c r="AR5" s="1180">
        <f>AQ5+AQ6</f>
        <v>0.08</v>
      </c>
    </row>
    <row r="6" spans="2:45" ht="19.5" customHeight="1" x14ac:dyDescent="0.2">
      <c r="B6" s="399">
        <v>3</v>
      </c>
      <c r="C6" s="452" t="str">
        <f>BEGINBLAD!C6</f>
        <v>leerling 3</v>
      </c>
      <c r="E6" s="476"/>
      <c r="F6" s="477"/>
      <c r="G6" s="476"/>
      <c r="H6" s="371" t="str">
        <f t="shared" si="0"/>
        <v/>
      </c>
      <c r="I6" s="370" t="str">
        <f t="shared" si="1"/>
        <v/>
      </c>
      <c r="J6" s="477"/>
      <c r="K6" s="476"/>
      <c r="L6" s="371" t="str">
        <f t="shared" si="2"/>
        <v/>
      </c>
      <c r="M6" s="370" t="str">
        <f t="shared" si="3"/>
        <v/>
      </c>
      <c r="N6" s="372"/>
      <c r="P6" s="373"/>
      <c r="Q6" s="374"/>
      <c r="R6" s="375" t="str">
        <f t="shared" si="4"/>
        <v/>
      </c>
      <c r="S6" s="370" t="str">
        <f t="shared" si="5"/>
        <v/>
      </c>
      <c r="T6" s="376"/>
      <c r="U6" s="373"/>
      <c r="V6" s="377"/>
      <c r="W6" s="374"/>
      <c r="X6" s="376"/>
      <c r="Y6" s="373"/>
      <c r="Z6" s="377"/>
      <c r="AA6" s="374"/>
      <c r="AB6" s="376"/>
      <c r="AC6" s="373"/>
      <c r="AD6" s="377"/>
      <c r="AE6" s="374"/>
      <c r="AF6" s="398"/>
      <c r="AG6" s="718"/>
      <c r="AH6" s="422"/>
      <c r="AJ6" s="432" t="b">
        <v>0</v>
      </c>
      <c r="AK6" s="187">
        <v>2</v>
      </c>
      <c r="AL6" s="381" t="s">
        <v>257</v>
      </c>
      <c r="AM6" s="1181"/>
      <c r="AN6" s="722">
        <f>COUNTIF($AG5:$AG40,"BB")</f>
        <v>0</v>
      </c>
      <c r="AO6" s="721" t="str">
        <f t="shared" ref="AO6:AO15" si="6">IF(AN6=0,"0%",IF(AN6&gt;0,AN6/$AN$16))</f>
        <v>0%</v>
      </c>
      <c r="AP6" s="1180"/>
      <c r="AQ6" s="721">
        <v>7.0000000000000007E-2</v>
      </c>
      <c r="AR6" s="1180"/>
    </row>
    <row r="7" spans="2:45" ht="19.5" customHeight="1" x14ac:dyDescent="0.2">
      <c r="B7" s="399">
        <v>4</v>
      </c>
      <c r="C7" s="452" t="str">
        <f>BEGINBLAD!C7</f>
        <v>leerling 4</v>
      </c>
      <c r="E7" s="476"/>
      <c r="F7" s="477"/>
      <c r="G7" s="476"/>
      <c r="H7" s="371" t="str">
        <f t="shared" si="0"/>
        <v/>
      </c>
      <c r="I7" s="370" t="str">
        <f t="shared" si="1"/>
        <v/>
      </c>
      <c r="J7" s="477"/>
      <c r="K7" s="476"/>
      <c r="L7" s="371" t="str">
        <f t="shared" si="2"/>
        <v/>
      </c>
      <c r="M7" s="370" t="str">
        <f t="shared" si="3"/>
        <v/>
      </c>
      <c r="N7" s="372"/>
      <c r="P7" s="373"/>
      <c r="Q7" s="374"/>
      <c r="R7" s="375" t="str">
        <f t="shared" si="4"/>
        <v/>
      </c>
      <c r="S7" s="370" t="str">
        <f t="shared" si="5"/>
        <v/>
      </c>
      <c r="T7" s="376"/>
      <c r="U7" s="373"/>
      <c r="V7" s="377"/>
      <c r="W7" s="374"/>
      <c r="X7" s="376"/>
      <c r="Y7" s="373"/>
      <c r="Z7" s="377"/>
      <c r="AA7" s="374"/>
      <c r="AB7" s="376"/>
      <c r="AC7" s="373"/>
      <c r="AD7" s="377"/>
      <c r="AE7" s="374"/>
      <c r="AF7" s="398"/>
      <c r="AG7" s="718"/>
      <c r="AH7" s="422"/>
      <c r="AJ7" s="432" t="b">
        <v>0</v>
      </c>
      <c r="AK7" s="187">
        <v>3</v>
      </c>
      <c r="AL7" s="381" t="s">
        <v>258</v>
      </c>
      <c r="AM7" s="1181" t="s">
        <v>258</v>
      </c>
      <c r="AN7" s="722">
        <f>COUNTIF($AG6:$AG41,"BB/KB")</f>
        <v>0</v>
      </c>
      <c r="AO7" s="721" t="str">
        <f t="shared" si="6"/>
        <v>0%</v>
      </c>
      <c r="AP7" s="1180">
        <f>AO7+AO8</f>
        <v>0</v>
      </c>
      <c r="AQ7" s="721">
        <v>0.03</v>
      </c>
      <c r="AR7" s="1180">
        <f>AQ7+AQ8</f>
        <v>0.13</v>
      </c>
    </row>
    <row r="8" spans="2:45" ht="19.5" customHeight="1" x14ac:dyDescent="0.2">
      <c r="B8" s="399">
        <v>5</v>
      </c>
      <c r="C8" s="452" t="str">
        <f>BEGINBLAD!C8</f>
        <v>leerling 5</v>
      </c>
      <c r="E8" s="476"/>
      <c r="F8" s="477"/>
      <c r="G8" s="476"/>
      <c r="H8" s="371" t="str">
        <f t="shared" si="0"/>
        <v/>
      </c>
      <c r="I8" s="370" t="str">
        <f t="shared" si="1"/>
        <v/>
      </c>
      <c r="J8" s="477"/>
      <c r="K8" s="476"/>
      <c r="L8" s="371" t="str">
        <f t="shared" si="2"/>
        <v/>
      </c>
      <c r="M8" s="370" t="str">
        <f t="shared" si="3"/>
        <v/>
      </c>
      <c r="N8" s="372"/>
      <c r="P8" s="373"/>
      <c r="Q8" s="374"/>
      <c r="R8" s="375" t="str">
        <f t="shared" si="4"/>
        <v/>
      </c>
      <c r="S8" s="370" t="str">
        <f t="shared" si="5"/>
        <v/>
      </c>
      <c r="T8" s="376"/>
      <c r="U8" s="373"/>
      <c r="V8" s="377"/>
      <c r="W8" s="374"/>
      <c r="X8" s="376"/>
      <c r="Y8" s="373"/>
      <c r="Z8" s="377"/>
      <c r="AA8" s="374"/>
      <c r="AB8" s="376"/>
      <c r="AC8" s="373"/>
      <c r="AD8" s="377"/>
      <c r="AE8" s="374"/>
      <c r="AF8" s="398"/>
      <c r="AG8" s="718"/>
      <c r="AH8" s="422"/>
      <c r="AJ8" s="432" t="b">
        <v>0</v>
      </c>
      <c r="AK8" s="187">
        <v>4</v>
      </c>
      <c r="AL8" s="381" t="s">
        <v>259</v>
      </c>
      <c r="AM8" s="1181"/>
      <c r="AN8" s="722">
        <f>COUNTIF($AG7:$AG42,"KB")</f>
        <v>0</v>
      </c>
      <c r="AO8" s="721" t="str">
        <f t="shared" si="6"/>
        <v>0%</v>
      </c>
      <c r="AP8" s="1180"/>
      <c r="AQ8" s="721">
        <v>0.1</v>
      </c>
      <c r="AR8" s="1180"/>
    </row>
    <row r="9" spans="2:45" ht="19.5" customHeight="1" x14ac:dyDescent="0.2">
      <c r="B9" s="399">
        <v>6</v>
      </c>
      <c r="C9" s="452" t="str">
        <f>BEGINBLAD!C9</f>
        <v>leerling 6</v>
      </c>
      <c r="E9" s="476"/>
      <c r="F9" s="477"/>
      <c r="G9" s="476"/>
      <c r="H9" s="371" t="str">
        <f t="shared" si="0"/>
        <v/>
      </c>
      <c r="I9" s="370" t="str">
        <f t="shared" si="1"/>
        <v/>
      </c>
      <c r="J9" s="477"/>
      <c r="K9" s="476"/>
      <c r="L9" s="371" t="str">
        <f t="shared" si="2"/>
        <v/>
      </c>
      <c r="M9" s="370" t="str">
        <f t="shared" si="3"/>
        <v/>
      </c>
      <c r="N9" s="372"/>
      <c r="P9" s="373"/>
      <c r="Q9" s="374"/>
      <c r="R9" s="375" t="str">
        <f t="shared" si="4"/>
        <v/>
      </c>
      <c r="S9" s="370" t="str">
        <f t="shared" si="5"/>
        <v/>
      </c>
      <c r="T9" s="376"/>
      <c r="U9" s="373"/>
      <c r="V9" s="377"/>
      <c r="W9" s="374"/>
      <c r="X9" s="376"/>
      <c r="Y9" s="373"/>
      <c r="Z9" s="377"/>
      <c r="AA9" s="374"/>
      <c r="AB9" s="376"/>
      <c r="AC9" s="373"/>
      <c r="AD9" s="377"/>
      <c r="AE9" s="374"/>
      <c r="AF9" s="398"/>
      <c r="AG9" s="718"/>
      <c r="AH9" s="422"/>
      <c r="AJ9" s="432" t="b">
        <v>0</v>
      </c>
      <c r="AK9" s="187">
        <v>5</v>
      </c>
      <c r="AL9" s="383" t="s">
        <v>260</v>
      </c>
      <c r="AM9" s="1179" t="s">
        <v>260</v>
      </c>
      <c r="AN9" s="722">
        <f>COUNTIF($AG8:$AG43,"KB/TL")</f>
        <v>1</v>
      </c>
      <c r="AO9" s="721">
        <f t="shared" si="6"/>
        <v>0.16666666666666666</v>
      </c>
      <c r="AP9" s="1180">
        <f>AO9+AO10</f>
        <v>0.16666666666666666</v>
      </c>
      <c r="AQ9" s="721">
        <v>0.03</v>
      </c>
      <c r="AR9" s="1180">
        <f>AQ9+AQ10</f>
        <v>0.24</v>
      </c>
    </row>
    <row r="10" spans="2:45" ht="19.5" customHeight="1" x14ac:dyDescent="0.2">
      <c r="B10" s="399">
        <v>7</v>
      </c>
      <c r="C10" s="452" t="str">
        <f>BEGINBLAD!C10</f>
        <v>leerling 7</v>
      </c>
      <c r="E10" s="476"/>
      <c r="F10" s="477"/>
      <c r="G10" s="476"/>
      <c r="H10" s="371" t="str">
        <f t="shared" si="0"/>
        <v/>
      </c>
      <c r="I10" s="370" t="str">
        <f t="shared" si="1"/>
        <v/>
      </c>
      <c r="J10" s="477"/>
      <c r="K10" s="476"/>
      <c r="L10" s="371" t="str">
        <f t="shared" si="2"/>
        <v/>
      </c>
      <c r="M10" s="370" t="str">
        <f t="shared" si="3"/>
        <v/>
      </c>
      <c r="N10" s="372"/>
      <c r="P10" s="373"/>
      <c r="Q10" s="374"/>
      <c r="R10" s="375" t="str">
        <f t="shared" si="4"/>
        <v/>
      </c>
      <c r="S10" s="370" t="str">
        <f t="shared" si="5"/>
        <v/>
      </c>
      <c r="T10" s="376"/>
      <c r="U10" s="373"/>
      <c r="V10" s="377"/>
      <c r="W10" s="374"/>
      <c r="X10" s="376"/>
      <c r="Y10" s="373"/>
      <c r="Z10" s="377"/>
      <c r="AA10" s="374"/>
      <c r="AB10" s="376"/>
      <c r="AC10" s="373"/>
      <c r="AD10" s="377"/>
      <c r="AE10" s="374"/>
      <c r="AF10" s="398"/>
      <c r="AG10" s="718"/>
      <c r="AH10" s="422"/>
      <c r="AJ10" s="432" t="b">
        <v>0</v>
      </c>
      <c r="AK10" s="187">
        <v>6</v>
      </c>
      <c r="AL10" s="383" t="s">
        <v>93</v>
      </c>
      <c r="AM10" s="1179"/>
      <c r="AN10" s="722">
        <f>COUNTIF($AG9:$AG44,"TL")</f>
        <v>0</v>
      </c>
      <c r="AO10" s="721" t="str">
        <f t="shared" si="6"/>
        <v>0%</v>
      </c>
      <c r="AP10" s="1180"/>
      <c r="AQ10" s="721">
        <v>0.21</v>
      </c>
      <c r="AR10" s="1180"/>
    </row>
    <row r="11" spans="2:45" ht="19.5" customHeight="1" x14ac:dyDescent="0.2">
      <c r="B11" s="399">
        <v>8</v>
      </c>
      <c r="C11" s="452" t="str">
        <f>BEGINBLAD!C11</f>
        <v>leerling 8</v>
      </c>
      <c r="E11" s="476"/>
      <c r="F11" s="477"/>
      <c r="G11" s="476"/>
      <c r="H11" s="371" t="str">
        <f t="shared" si="0"/>
        <v/>
      </c>
      <c r="I11" s="370" t="str">
        <f t="shared" si="1"/>
        <v/>
      </c>
      <c r="J11" s="477"/>
      <c r="K11" s="476"/>
      <c r="L11" s="371" t="str">
        <f t="shared" si="2"/>
        <v/>
      </c>
      <c r="M11" s="370" t="str">
        <f t="shared" si="3"/>
        <v/>
      </c>
      <c r="N11" s="372"/>
      <c r="P11" s="373"/>
      <c r="Q11" s="374"/>
      <c r="R11" s="375" t="str">
        <f t="shared" si="4"/>
        <v/>
      </c>
      <c r="S11" s="370" t="str">
        <f t="shared" si="5"/>
        <v/>
      </c>
      <c r="T11" s="376"/>
      <c r="U11" s="373"/>
      <c r="V11" s="377"/>
      <c r="W11" s="374"/>
      <c r="X11" s="376"/>
      <c r="Y11" s="373"/>
      <c r="Z11" s="377"/>
      <c r="AA11" s="374"/>
      <c r="AB11" s="376"/>
      <c r="AC11" s="373"/>
      <c r="AD11" s="377"/>
      <c r="AE11" s="374"/>
      <c r="AF11" s="398"/>
      <c r="AG11" s="718"/>
      <c r="AH11" s="422"/>
      <c r="AJ11" s="432" t="b">
        <v>0</v>
      </c>
      <c r="AK11" s="187">
        <v>7</v>
      </c>
      <c r="AL11" s="383" t="s">
        <v>261</v>
      </c>
      <c r="AM11" s="1179" t="s">
        <v>261</v>
      </c>
      <c r="AN11" s="722">
        <f>COUNTIF($AG10:$AG45,"TL/HAVO")</f>
        <v>0</v>
      </c>
      <c r="AO11" s="721" t="str">
        <f t="shared" si="6"/>
        <v>0%</v>
      </c>
      <c r="AP11" s="1180">
        <f>AO11+AO12</f>
        <v>0</v>
      </c>
      <c r="AQ11" s="721">
        <v>7.0000000000000007E-2</v>
      </c>
      <c r="AR11" s="1180">
        <f>AQ11+AQ12</f>
        <v>0.27</v>
      </c>
    </row>
    <row r="12" spans="2:45" ht="19.5" customHeight="1" x14ac:dyDescent="0.2">
      <c r="B12" s="399">
        <v>9</v>
      </c>
      <c r="C12" s="452" t="str">
        <f>BEGINBLAD!C12</f>
        <v>leerling 9</v>
      </c>
      <c r="E12" s="476"/>
      <c r="F12" s="477"/>
      <c r="G12" s="476"/>
      <c r="H12" s="371" t="str">
        <f t="shared" si="0"/>
        <v/>
      </c>
      <c r="I12" s="370" t="str">
        <f t="shared" si="1"/>
        <v/>
      </c>
      <c r="J12" s="477"/>
      <c r="K12" s="476"/>
      <c r="L12" s="371" t="str">
        <f t="shared" si="2"/>
        <v/>
      </c>
      <c r="M12" s="370" t="str">
        <f t="shared" si="3"/>
        <v/>
      </c>
      <c r="N12" s="372"/>
      <c r="P12" s="373"/>
      <c r="Q12" s="374"/>
      <c r="R12" s="375" t="str">
        <f t="shared" si="4"/>
        <v/>
      </c>
      <c r="S12" s="370" t="str">
        <f t="shared" si="5"/>
        <v/>
      </c>
      <c r="T12" s="376"/>
      <c r="U12" s="373"/>
      <c r="V12" s="377"/>
      <c r="W12" s="374"/>
      <c r="X12" s="376"/>
      <c r="Y12" s="373"/>
      <c r="Z12" s="377"/>
      <c r="AA12" s="374"/>
      <c r="AB12" s="376"/>
      <c r="AC12" s="373"/>
      <c r="AD12" s="377"/>
      <c r="AE12" s="374"/>
      <c r="AF12" s="398"/>
      <c r="AG12" s="718"/>
      <c r="AH12" s="422"/>
      <c r="AJ12" s="432" t="b">
        <v>0</v>
      </c>
      <c r="AK12" s="187">
        <v>8</v>
      </c>
      <c r="AL12" s="383" t="s">
        <v>105</v>
      </c>
      <c r="AM12" s="1179"/>
      <c r="AN12" s="722">
        <f>COUNTIF($AG11:$AG46,"HAVO")</f>
        <v>0</v>
      </c>
      <c r="AO12" s="721" t="str">
        <f t="shared" si="6"/>
        <v>0%</v>
      </c>
      <c r="AP12" s="1180"/>
      <c r="AQ12" s="721">
        <v>0.2</v>
      </c>
      <c r="AR12" s="1180"/>
    </row>
    <row r="13" spans="2:45" ht="19.5" customHeight="1" x14ac:dyDescent="0.2">
      <c r="B13" s="399">
        <v>10</v>
      </c>
      <c r="C13" s="452" t="str">
        <f>BEGINBLAD!C13</f>
        <v>leerling 10</v>
      </c>
      <c r="E13" s="476"/>
      <c r="F13" s="477"/>
      <c r="G13" s="476"/>
      <c r="H13" s="371" t="str">
        <f t="shared" si="0"/>
        <v/>
      </c>
      <c r="I13" s="370" t="str">
        <f t="shared" si="1"/>
        <v/>
      </c>
      <c r="J13" s="477"/>
      <c r="K13" s="476"/>
      <c r="L13" s="371" t="str">
        <f t="shared" si="2"/>
        <v/>
      </c>
      <c r="M13" s="370" t="str">
        <f t="shared" si="3"/>
        <v/>
      </c>
      <c r="N13" s="372"/>
      <c r="P13" s="373"/>
      <c r="Q13" s="374"/>
      <c r="R13" s="375" t="str">
        <f t="shared" si="4"/>
        <v/>
      </c>
      <c r="S13" s="370" t="str">
        <f t="shared" si="5"/>
        <v/>
      </c>
      <c r="T13" s="376"/>
      <c r="U13" s="373"/>
      <c r="V13" s="377"/>
      <c r="W13" s="374"/>
      <c r="X13" s="376"/>
      <c r="Y13" s="373"/>
      <c r="Z13" s="377"/>
      <c r="AA13" s="374"/>
      <c r="AB13" s="376"/>
      <c r="AC13" s="373"/>
      <c r="AD13" s="377"/>
      <c r="AE13" s="374"/>
      <c r="AF13" s="398"/>
      <c r="AG13" s="718"/>
      <c r="AH13" s="422"/>
      <c r="AJ13" s="432" t="b">
        <v>0</v>
      </c>
      <c r="AK13" s="187">
        <v>9</v>
      </c>
      <c r="AL13" s="383" t="s">
        <v>262</v>
      </c>
      <c r="AM13" s="1182" t="s">
        <v>262</v>
      </c>
      <c r="AN13" s="722">
        <f>COUNTIF($AG12:$AG47,"HAVO/VWO")</f>
        <v>3</v>
      </c>
      <c r="AO13" s="721">
        <f t="shared" si="6"/>
        <v>0.5</v>
      </c>
      <c r="AP13" s="1185">
        <f>AO13+AO14+AO15</f>
        <v>0.83333333333333326</v>
      </c>
      <c r="AQ13" s="721">
        <v>0.08</v>
      </c>
      <c r="AR13" s="1185">
        <f>AQ13+AQ14</f>
        <v>0.28000000000000003</v>
      </c>
    </row>
    <row r="14" spans="2:45" ht="19.5" customHeight="1" x14ac:dyDescent="0.2">
      <c r="B14" s="399">
        <v>11</v>
      </c>
      <c r="C14" s="452" t="str">
        <f>BEGINBLAD!C14</f>
        <v>leerling 11</v>
      </c>
      <c r="E14" s="476"/>
      <c r="F14" s="477"/>
      <c r="G14" s="476"/>
      <c r="H14" s="371" t="str">
        <f t="shared" si="0"/>
        <v/>
      </c>
      <c r="I14" s="370" t="str">
        <f t="shared" si="1"/>
        <v/>
      </c>
      <c r="J14" s="477"/>
      <c r="K14" s="476"/>
      <c r="L14" s="371" t="str">
        <f t="shared" si="2"/>
        <v/>
      </c>
      <c r="M14" s="370" t="str">
        <f t="shared" si="3"/>
        <v/>
      </c>
      <c r="N14" s="372"/>
      <c r="P14" s="373"/>
      <c r="Q14" s="374"/>
      <c r="R14" s="375" t="str">
        <f t="shared" si="4"/>
        <v/>
      </c>
      <c r="S14" s="370" t="str">
        <f t="shared" si="5"/>
        <v/>
      </c>
      <c r="T14" s="376"/>
      <c r="U14" s="373"/>
      <c r="V14" s="377"/>
      <c r="W14" s="374"/>
      <c r="X14" s="376"/>
      <c r="Y14" s="373"/>
      <c r="Z14" s="377"/>
      <c r="AA14" s="374"/>
      <c r="AB14" s="376"/>
      <c r="AC14" s="373"/>
      <c r="AD14" s="377"/>
      <c r="AE14" s="374"/>
      <c r="AF14" s="398"/>
      <c r="AG14" s="718"/>
      <c r="AH14" s="422"/>
      <c r="AJ14" s="432" t="b">
        <v>0</v>
      </c>
      <c r="AK14" s="187">
        <v>10</v>
      </c>
      <c r="AL14" s="383" t="s">
        <v>106</v>
      </c>
      <c r="AM14" s="1183"/>
      <c r="AN14" s="722">
        <f>COUNTIF($AG13:$AG48,"VWO")</f>
        <v>2</v>
      </c>
      <c r="AO14" s="721">
        <f t="shared" si="6"/>
        <v>0.33333333333333331</v>
      </c>
      <c r="AP14" s="1186"/>
      <c r="AQ14" s="1185">
        <v>0.2</v>
      </c>
      <c r="AR14" s="1186"/>
    </row>
    <row r="15" spans="2:45" ht="19.5" customHeight="1" x14ac:dyDescent="0.2">
      <c r="B15" s="399">
        <v>12</v>
      </c>
      <c r="C15" s="452" t="str">
        <f>BEGINBLAD!C15</f>
        <v>leerling 12</v>
      </c>
      <c r="E15" s="476"/>
      <c r="F15" s="477"/>
      <c r="G15" s="476"/>
      <c r="H15" s="371" t="str">
        <f t="shared" si="0"/>
        <v/>
      </c>
      <c r="I15" s="370" t="str">
        <f t="shared" si="1"/>
        <v/>
      </c>
      <c r="J15" s="477"/>
      <c r="K15" s="476"/>
      <c r="L15" s="371" t="str">
        <f t="shared" si="2"/>
        <v/>
      </c>
      <c r="M15" s="370" t="str">
        <f t="shared" si="3"/>
        <v/>
      </c>
      <c r="N15" s="372"/>
      <c r="P15" s="373"/>
      <c r="Q15" s="374"/>
      <c r="R15" s="375" t="str">
        <f t="shared" si="4"/>
        <v/>
      </c>
      <c r="S15" s="370" t="str">
        <f t="shared" si="5"/>
        <v/>
      </c>
      <c r="T15" s="376"/>
      <c r="U15" s="373"/>
      <c r="V15" s="377"/>
      <c r="W15" s="374"/>
      <c r="X15" s="376"/>
      <c r="Y15" s="373"/>
      <c r="Z15" s="377"/>
      <c r="AA15" s="374"/>
      <c r="AB15" s="376"/>
      <c r="AC15" s="373"/>
      <c r="AD15" s="377"/>
      <c r="AE15" s="374"/>
      <c r="AF15" s="398"/>
      <c r="AG15" s="718" t="s">
        <v>260</v>
      </c>
      <c r="AH15" s="422"/>
      <c r="AJ15" s="432" t="b">
        <v>0</v>
      </c>
      <c r="AK15" s="187">
        <v>11</v>
      </c>
      <c r="AL15" s="383" t="s">
        <v>448</v>
      </c>
      <c r="AM15" s="1184"/>
      <c r="AN15" s="722">
        <f>COUNTIF($AG14:$AG49,"VWO+")</f>
        <v>0</v>
      </c>
      <c r="AO15" s="721" t="str">
        <f t="shared" si="6"/>
        <v>0%</v>
      </c>
      <c r="AP15" s="1187"/>
      <c r="AQ15" s="1187"/>
      <c r="AR15" s="1187"/>
    </row>
    <row r="16" spans="2:45" ht="19.5" customHeight="1" x14ac:dyDescent="0.2">
      <c r="B16" s="399">
        <v>13</v>
      </c>
      <c r="C16" s="452" t="str">
        <f>BEGINBLAD!C16</f>
        <v>leerling 13</v>
      </c>
      <c r="E16" s="476"/>
      <c r="F16" s="477"/>
      <c r="G16" s="476"/>
      <c r="H16" s="371" t="str">
        <f t="shared" si="0"/>
        <v/>
      </c>
      <c r="I16" s="370" t="str">
        <f t="shared" si="1"/>
        <v/>
      </c>
      <c r="J16" s="477"/>
      <c r="K16" s="476"/>
      <c r="L16" s="371" t="str">
        <f t="shared" si="2"/>
        <v/>
      </c>
      <c r="M16" s="370" t="str">
        <f t="shared" si="3"/>
        <v/>
      </c>
      <c r="N16" s="372"/>
      <c r="P16" s="373"/>
      <c r="Q16" s="374"/>
      <c r="R16" s="375" t="str">
        <f t="shared" si="4"/>
        <v/>
      </c>
      <c r="S16" s="370" t="str">
        <f t="shared" si="5"/>
        <v/>
      </c>
      <c r="T16" s="376"/>
      <c r="U16" s="373"/>
      <c r="V16" s="377"/>
      <c r="W16" s="374"/>
      <c r="X16" s="376"/>
      <c r="Y16" s="373"/>
      <c r="Z16" s="377"/>
      <c r="AA16" s="374"/>
      <c r="AB16" s="376"/>
      <c r="AC16" s="373"/>
      <c r="AD16" s="377"/>
      <c r="AE16" s="374"/>
      <c r="AF16" s="398"/>
      <c r="AG16" s="718" t="s">
        <v>106</v>
      </c>
      <c r="AH16" s="422"/>
      <c r="AJ16" s="432" t="b">
        <v>0</v>
      </c>
      <c r="AL16" s="384" t="s">
        <v>107</v>
      </c>
      <c r="AM16" s="725"/>
      <c r="AN16" s="723">
        <f>SUM(AN6:AN15)</f>
        <v>6</v>
      </c>
      <c r="AO16" s="724">
        <f>IF(AN16=0,"0%",IF(AN16&gt;0,AN16/$AN$16))</f>
        <v>1</v>
      </c>
      <c r="AP16" s="724"/>
      <c r="AQ16" s="724">
        <f>SUM(AQ6:AQ15)</f>
        <v>0.99</v>
      </c>
      <c r="AR16" s="724">
        <f>SUM(AR5:AR15)</f>
        <v>1</v>
      </c>
    </row>
    <row r="17" spans="2:36" ht="19.5" customHeight="1" x14ac:dyDescent="0.2">
      <c r="B17" s="399">
        <v>14</v>
      </c>
      <c r="C17" s="452" t="str">
        <f>BEGINBLAD!C17</f>
        <v>leerling 14</v>
      </c>
      <c r="E17" s="476"/>
      <c r="F17" s="477"/>
      <c r="G17" s="476"/>
      <c r="H17" s="371" t="str">
        <f t="shared" si="0"/>
        <v/>
      </c>
      <c r="I17" s="370" t="str">
        <f t="shared" si="1"/>
        <v/>
      </c>
      <c r="J17" s="477"/>
      <c r="K17" s="476"/>
      <c r="L17" s="371" t="str">
        <f t="shared" si="2"/>
        <v/>
      </c>
      <c r="M17" s="370" t="str">
        <f t="shared" si="3"/>
        <v/>
      </c>
      <c r="N17" s="372"/>
      <c r="P17" s="373"/>
      <c r="Q17" s="374"/>
      <c r="R17" s="375" t="str">
        <f t="shared" si="4"/>
        <v/>
      </c>
      <c r="S17" s="370" t="str">
        <f t="shared" si="5"/>
        <v/>
      </c>
      <c r="T17" s="376"/>
      <c r="U17" s="373"/>
      <c r="V17" s="377"/>
      <c r="W17" s="374"/>
      <c r="X17" s="376"/>
      <c r="Y17" s="373"/>
      <c r="Z17" s="377"/>
      <c r="AA17" s="374"/>
      <c r="AB17" s="376"/>
      <c r="AC17" s="373"/>
      <c r="AD17" s="377"/>
      <c r="AE17" s="374"/>
      <c r="AF17" s="398"/>
      <c r="AG17" s="718" t="s">
        <v>262</v>
      </c>
      <c r="AH17" s="422"/>
      <c r="AJ17" s="432" t="b">
        <v>0</v>
      </c>
    </row>
    <row r="18" spans="2:36" ht="19.5" customHeight="1" x14ac:dyDescent="0.2">
      <c r="B18" s="399">
        <v>15</v>
      </c>
      <c r="C18" s="452" t="str">
        <f>BEGINBLAD!C18</f>
        <v>leerling 15</v>
      </c>
      <c r="E18" s="476"/>
      <c r="F18" s="477"/>
      <c r="G18" s="476"/>
      <c r="H18" s="371" t="str">
        <f t="shared" si="0"/>
        <v/>
      </c>
      <c r="I18" s="370" t="str">
        <f t="shared" si="1"/>
        <v/>
      </c>
      <c r="J18" s="477"/>
      <c r="K18" s="476"/>
      <c r="L18" s="371" t="str">
        <f t="shared" si="2"/>
        <v/>
      </c>
      <c r="M18" s="370" t="str">
        <f t="shared" si="3"/>
        <v/>
      </c>
      <c r="N18" s="372"/>
      <c r="P18" s="373"/>
      <c r="Q18" s="374"/>
      <c r="R18" s="375" t="str">
        <f t="shared" si="4"/>
        <v/>
      </c>
      <c r="S18" s="370" t="str">
        <f t="shared" si="5"/>
        <v/>
      </c>
      <c r="T18" s="376"/>
      <c r="U18" s="373"/>
      <c r="V18" s="377"/>
      <c r="W18" s="374"/>
      <c r="X18" s="376"/>
      <c r="Y18" s="373"/>
      <c r="Z18" s="377"/>
      <c r="AA18" s="374"/>
      <c r="AB18" s="376"/>
      <c r="AC18" s="373"/>
      <c r="AD18" s="377"/>
      <c r="AE18" s="374"/>
      <c r="AF18" s="398"/>
      <c r="AG18" s="718" t="s">
        <v>262</v>
      </c>
      <c r="AH18" s="422"/>
      <c r="AI18" s="89"/>
      <c r="AJ18" s="433" t="b">
        <v>0</v>
      </c>
    </row>
    <row r="19" spans="2:36" ht="19.5" customHeight="1" x14ac:dyDescent="0.2">
      <c r="B19" s="399">
        <v>16</v>
      </c>
      <c r="C19" s="452" t="str">
        <f>BEGINBLAD!C19</f>
        <v>leerling 16</v>
      </c>
      <c r="E19" s="476"/>
      <c r="F19" s="477"/>
      <c r="G19" s="476"/>
      <c r="H19" s="371" t="str">
        <f t="shared" si="0"/>
        <v/>
      </c>
      <c r="I19" s="370" t="str">
        <f t="shared" si="1"/>
        <v/>
      </c>
      <c r="J19" s="477"/>
      <c r="K19" s="476"/>
      <c r="L19" s="371" t="str">
        <f t="shared" si="2"/>
        <v/>
      </c>
      <c r="M19" s="370" t="str">
        <f t="shared" si="3"/>
        <v/>
      </c>
      <c r="N19" s="372"/>
      <c r="P19" s="373"/>
      <c r="Q19" s="374"/>
      <c r="R19" s="375" t="str">
        <f t="shared" si="4"/>
        <v/>
      </c>
      <c r="S19" s="370" t="str">
        <f t="shared" si="5"/>
        <v/>
      </c>
      <c r="T19" s="376"/>
      <c r="U19" s="373"/>
      <c r="V19" s="377"/>
      <c r="W19" s="374"/>
      <c r="X19" s="376"/>
      <c r="Y19" s="373"/>
      <c r="Z19" s="377"/>
      <c r="AA19" s="374"/>
      <c r="AB19" s="376"/>
      <c r="AC19" s="373"/>
      <c r="AD19" s="377"/>
      <c r="AE19" s="374"/>
      <c r="AF19" s="398"/>
      <c r="AG19" s="718" t="s">
        <v>262</v>
      </c>
      <c r="AH19" s="422"/>
      <c r="AI19" s="116"/>
      <c r="AJ19" s="434" t="b">
        <v>0</v>
      </c>
    </row>
    <row r="20" spans="2:36" ht="19.5" customHeight="1" x14ac:dyDescent="0.2">
      <c r="B20" s="399">
        <v>17</v>
      </c>
      <c r="C20" s="452" t="str">
        <f>BEGINBLAD!C20</f>
        <v>leerling 17</v>
      </c>
      <c r="E20" s="476"/>
      <c r="F20" s="477"/>
      <c r="G20" s="476"/>
      <c r="H20" s="371" t="str">
        <f t="shared" si="0"/>
        <v/>
      </c>
      <c r="I20" s="370" t="str">
        <f t="shared" si="1"/>
        <v/>
      </c>
      <c r="J20" s="477"/>
      <c r="K20" s="476"/>
      <c r="L20" s="371" t="str">
        <f t="shared" si="2"/>
        <v/>
      </c>
      <c r="M20" s="370" t="str">
        <f t="shared" si="3"/>
        <v/>
      </c>
      <c r="N20" s="372"/>
      <c r="P20" s="373"/>
      <c r="Q20" s="374"/>
      <c r="R20" s="375" t="str">
        <f t="shared" si="4"/>
        <v/>
      </c>
      <c r="S20" s="370" t="str">
        <f t="shared" si="5"/>
        <v/>
      </c>
      <c r="T20" s="376"/>
      <c r="U20" s="373"/>
      <c r="V20" s="377"/>
      <c r="W20" s="374"/>
      <c r="X20" s="376"/>
      <c r="Y20" s="373"/>
      <c r="Z20" s="377"/>
      <c r="AA20" s="374"/>
      <c r="AB20" s="376"/>
      <c r="AC20" s="373"/>
      <c r="AD20" s="377"/>
      <c r="AE20" s="374"/>
      <c r="AF20" s="398"/>
      <c r="AG20" s="718" t="s">
        <v>106</v>
      </c>
      <c r="AH20" s="422"/>
      <c r="AI20" s="116"/>
      <c r="AJ20" s="433" t="b">
        <v>0</v>
      </c>
    </row>
    <row r="21" spans="2:36" ht="19.5" customHeight="1" x14ac:dyDescent="0.2">
      <c r="B21" s="399">
        <v>18</v>
      </c>
      <c r="C21" s="452" t="str">
        <f>BEGINBLAD!C21</f>
        <v>leerling 18</v>
      </c>
      <c r="E21" s="476"/>
      <c r="F21" s="477"/>
      <c r="G21" s="476"/>
      <c r="H21" s="371" t="str">
        <f t="shared" si="0"/>
        <v/>
      </c>
      <c r="I21" s="370" t="str">
        <f t="shared" si="1"/>
        <v/>
      </c>
      <c r="J21" s="477"/>
      <c r="K21" s="476"/>
      <c r="L21" s="371" t="str">
        <f t="shared" si="2"/>
        <v/>
      </c>
      <c r="M21" s="370" t="str">
        <f t="shared" si="3"/>
        <v/>
      </c>
      <c r="N21" s="372"/>
      <c r="P21" s="373"/>
      <c r="Q21" s="374"/>
      <c r="R21" s="375" t="str">
        <f t="shared" si="4"/>
        <v/>
      </c>
      <c r="S21" s="370" t="str">
        <f t="shared" si="5"/>
        <v/>
      </c>
      <c r="T21" s="376"/>
      <c r="U21" s="373"/>
      <c r="V21" s="377"/>
      <c r="W21" s="374"/>
      <c r="X21" s="376"/>
      <c r="Y21" s="373"/>
      <c r="Z21" s="377"/>
      <c r="AA21" s="374"/>
      <c r="AB21" s="376"/>
      <c r="AC21" s="373"/>
      <c r="AD21" s="377"/>
      <c r="AE21" s="374"/>
      <c r="AF21" s="398"/>
      <c r="AG21" s="718"/>
      <c r="AH21" s="422"/>
      <c r="AI21" s="116"/>
      <c r="AJ21" s="433" t="b">
        <v>0</v>
      </c>
    </row>
    <row r="22" spans="2:36" ht="19.5" customHeight="1" x14ac:dyDescent="0.2">
      <c r="B22" s="399">
        <v>19</v>
      </c>
      <c r="C22" s="452" t="str">
        <f>BEGINBLAD!C22</f>
        <v>leerling 19</v>
      </c>
      <c r="E22" s="476"/>
      <c r="F22" s="477"/>
      <c r="G22" s="476"/>
      <c r="H22" s="371" t="str">
        <f t="shared" si="0"/>
        <v/>
      </c>
      <c r="I22" s="370" t="str">
        <f t="shared" si="1"/>
        <v/>
      </c>
      <c r="J22" s="477"/>
      <c r="K22" s="476"/>
      <c r="L22" s="371" t="str">
        <f t="shared" si="2"/>
        <v/>
      </c>
      <c r="M22" s="370" t="str">
        <f t="shared" si="3"/>
        <v/>
      </c>
      <c r="N22" s="372"/>
      <c r="P22" s="373"/>
      <c r="Q22" s="374"/>
      <c r="R22" s="375" t="str">
        <f t="shared" si="4"/>
        <v/>
      </c>
      <c r="S22" s="370" t="str">
        <f t="shared" si="5"/>
        <v/>
      </c>
      <c r="T22" s="376"/>
      <c r="U22" s="373"/>
      <c r="V22" s="377"/>
      <c r="W22" s="374"/>
      <c r="X22" s="376"/>
      <c r="Y22" s="373"/>
      <c r="Z22" s="377"/>
      <c r="AA22" s="374"/>
      <c r="AB22" s="376"/>
      <c r="AC22" s="373"/>
      <c r="AD22" s="377"/>
      <c r="AE22" s="374"/>
      <c r="AF22" s="398"/>
      <c r="AG22" s="718"/>
      <c r="AH22" s="422"/>
      <c r="AI22" s="116"/>
      <c r="AJ22" s="433" t="b">
        <v>0</v>
      </c>
    </row>
    <row r="23" spans="2:36" ht="19.5" customHeight="1" x14ac:dyDescent="0.2">
      <c r="B23" s="399">
        <v>20</v>
      </c>
      <c r="C23" s="452" t="str">
        <f>BEGINBLAD!C23</f>
        <v>leerling 20</v>
      </c>
      <c r="E23" s="476"/>
      <c r="F23" s="477"/>
      <c r="G23" s="476"/>
      <c r="H23" s="371" t="str">
        <f t="shared" si="0"/>
        <v/>
      </c>
      <c r="I23" s="370" t="str">
        <f t="shared" si="1"/>
        <v/>
      </c>
      <c r="J23" s="477"/>
      <c r="K23" s="476"/>
      <c r="L23" s="371" t="str">
        <f t="shared" si="2"/>
        <v/>
      </c>
      <c r="M23" s="370" t="str">
        <f t="shared" si="3"/>
        <v/>
      </c>
      <c r="N23" s="372"/>
      <c r="P23" s="373"/>
      <c r="Q23" s="374"/>
      <c r="R23" s="375" t="str">
        <f t="shared" si="4"/>
        <v/>
      </c>
      <c r="S23" s="370" t="str">
        <f t="shared" si="5"/>
        <v/>
      </c>
      <c r="T23" s="376"/>
      <c r="U23" s="373"/>
      <c r="V23" s="377"/>
      <c r="W23" s="374"/>
      <c r="X23" s="376"/>
      <c r="Y23" s="373"/>
      <c r="Z23" s="377"/>
      <c r="AA23" s="374"/>
      <c r="AB23" s="376"/>
      <c r="AC23" s="373"/>
      <c r="AD23" s="377"/>
      <c r="AE23" s="374"/>
      <c r="AF23" s="398"/>
      <c r="AG23" s="718"/>
      <c r="AH23" s="422"/>
      <c r="AI23" s="116"/>
      <c r="AJ23" s="433" t="b">
        <v>0</v>
      </c>
    </row>
    <row r="24" spans="2:36" ht="19.5" customHeight="1" x14ac:dyDescent="0.2">
      <c r="B24" s="399">
        <v>21</v>
      </c>
      <c r="C24" s="452" t="str">
        <f>BEGINBLAD!C24</f>
        <v>leerling 21</v>
      </c>
      <c r="E24" s="476"/>
      <c r="F24" s="477"/>
      <c r="G24" s="476"/>
      <c r="H24" s="371" t="str">
        <f t="shared" si="0"/>
        <v/>
      </c>
      <c r="I24" s="370" t="str">
        <f t="shared" si="1"/>
        <v/>
      </c>
      <c r="J24" s="477"/>
      <c r="K24" s="476"/>
      <c r="L24" s="371" t="str">
        <f t="shared" si="2"/>
        <v/>
      </c>
      <c r="M24" s="370" t="str">
        <f t="shared" si="3"/>
        <v/>
      </c>
      <c r="N24" s="372"/>
      <c r="P24" s="373"/>
      <c r="Q24" s="374"/>
      <c r="R24" s="375" t="str">
        <f t="shared" si="4"/>
        <v/>
      </c>
      <c r="S24" s="370" t="str">
        <f t="shared" si="5"/>
        <v/>
      </c>
      <c r="T24" s="376"/>
      <c r="U24" s="373"/>
      <c r="V24" s="377"/>
      <c r="W24" s="374"/>
      <c r="X24" s="376"/>
      <c r="Y24" s="373"/>
      <c r="Z24" s="377"/>
      <c r="AA24" s="374"/>
      <c r="AB24" s="376"/>
      <c r="AC24" s="373"/>
      <c r="AD24" s="377"/>
      <c r="AE24" s="374"/>
      <c r="AF24" s="398"/>
      <c r="AG24" s="718"/>
      <c r="AH24" s="422"/>
      <c r="AI24" s="116"/>
      <c r="AJ24" s="433" t="b">
        <v>0</v>
      </c>
    </row>
    <row r="25" spans="2:36" ht="19.5" customHeight="1" x14ac:dyDescent="0.2">
      <c r="B25" s="399">
        <v>22</v>
      </c>
      <c r="C25" s="452" t="str">
        <f>BEGINBLAD!C25</f>
        <v>leerling 22</v>
      </c>
      <c r="E25" s="476"/>
      <c r="F25" s="477"/>
      <c r="G25" s="476"/>
      <c r="H25" s="371" t="str">
        <f t="shared" si="0"/>
        <v/>
      </c>
      <c r="I25" s="370" t="str">
        <f t="shared" si="1"/>
        <v/>
      </c>
      <c r="J25" s="477"/>
      <c r="K25" s="476"/>
      <c r="L25" s="371" t="str">
        <f t="shared" si="2"/>
        <v/>
      </c>
      <c r="M25" s="370" t="str">
        <f t="shared" si="3"/>
        <v/>
      </c>
      <c r="N25" s="372"/>
      <c r="P25" s="373"/>
      <c r="Q25" s="374"/>
      <c r="R25" s="375" t="str">
        <f t="shared" si="4"/>
        <v/>
      </c>
      <c r="S25" s="370" t="str">
        <f t="shared" si="5"/>
        <v/>
      </c>
      <c r="T25" s="376"/>
      <c r="U25" s="373"/>
      <c r="V25" s="377"/>
      <c r="W25" s="374"/>
      <c r="X25" s="376"/>
      <c r="Y25" s="373"/>
      <c r="Z25" s="377"/>
      <c r="AA25" s="374"/>
      <c r="AB25" s="376"/>
      <c r="AC25" s="373"/>
      <c r="AD25" s="377"/>
      <c r="AE25" s="374"/>
      <c r="AF25" s="398"/>
      <c r="AG25" s="718"/>
      <c r="AH25" s="422"/>
      <c r="AI25" s="89"/>
      <c r="AJ25" s="433" t="b">
        <v>0</v>
      </c>
    </row>
    <row r="26" spans="2:36" ht="19.5" customHeight="1" x14ac:dyDescent="0.4">
      <c r="B26" s="399">
        <v>23</v>
      </c>
      <c r="C26" s="452" t="str">
        <f>BEGINBLAD!C26</f>
        <v>leerling 23</v>
      </c>
      <c r="E26" s="476"/>
      <c r="F26" s="477"/>
      <c r="G26" s="476"/>
      <c r="H26" s="371" t="str">
        <f t="shared" si="0"/>
        <v/>
      </c>
      <c r="I26" s="370" t="str">
        <f t="shared" si="1"/>
        <v/>
      </c>
      <c r="J26" s="477"/>
      <c r="K26" s="476"/>
      <c r="L26" s="371" t="str">
        <f t="shared" si="2"/>
        <v/>
      </c>
      <c r="M26" s="370" t="str">
        <f t="shared" si="3"/>
        <v/>
      </c>
      <c r="N26" s="372"/>
      <c r="P26" s="373"/>
      <c r="Q26" s="374"/>
      <c r="R26" s="375" t="str">
        <f t="shared" si="4"/>
        <v/>
      </c>
      <c r="S26" s="370" t="str">
        <f t="shared" si="5"/>
        <v/>
      </c>
      <c r="T26" s="376"/>
      <c r="U26" s="373"/>
      <c r="V26" s="377"/>
      <c r="W26" s="374"/>
      <c r="X26" s="376"/>
      <c r="Y26" s="373"/>
      <c r="Z26" s="377"/>
      <c r="AA26" s="374"/>
      <c r="AB26" s="376"/>
      <c r="AC26" s="373"/>
      <c r="AD26" s="377"/>
      <c r="AE26" s="374"/>
      <c r="AF26" s="398"/>
      <c r="AG26" s="718"/>
      <c r="AH26" s="422"/>
      <c r="AI26" s="125"/>
      <c r="AJ26" s="433" t="b">
        <v>0</v>
      </c>
    </row>
    <row r="27" spans="2:36" ht="19.5" customHeight="1" x14ac:dyDescent="0.2">
      <c r="B27" s="399">
        <v>24</v>
      </c>
      <c r="C27" s="452" t="str">
        <f>BEGINBLAD!C27</f>
        <v>leerling 24</v>
      </c>
      <c r="E27" s="476"/>
      <c r="F27" s="477"/>
      <c r="G27" s="476"/>
      <c r="H27" s="371" t="str">
        <f t="shared" si="0"/>
        <v/>
      </c>
      <c r="I27" s="370" t="str">
        <f t="shared" si="1"/>
        <v/>
      </c>
      <c r="J27" s="477"/>
      <c r="K27" s="476"/>
      <c r="L27" s="371" t="str">
        <f t="shared" si="2"/>
        <v/>
      </c>
      <c r="M27" s="370" t="str">
        <f t="shared" si="3"/>
        <v/>
      </c>
      <c r="N27" s="372"/>
      <c r="P27" s="373"/>
      <c r="Q27" s="374"/>
      <c r="R27" s="375" t="str">
        <f t="shared" si="4"/>
        <v/>
      </c>
      <c r="S27" s="370" t="str">
        <f t="shared" si="5"/>
        <v/>
      </c>
      <c r="T27" s="376"/>
      <c r="U27" s="373"/>
      <c r="V27" s="377"/>
      <c r="W27" s="374"/>
      <c r="X27" s="376"/>
      <c r="Y27" s="373"/>
      <c r="Z27" s="377"/>
      <c r="AA27" s="374"/>
      <c r="AB27" s="376"/>
      <c r="AC27" s="373"/>
      <c r="AD27" s="377"/>
      <c r="AE27" s="374"/>
      <c r="AF27" s="398"/>
      <c r="AG27" s="718"/>
      <c r="AH27" s="422"/>
      <c r="AI27" s="77"/>
      <c r="AJ27" s="433" t="b">
        <v>0</v>
      </c>
    </row>
    <row r="28" spans="2:36" ht="19.5" customHeight="1" x14ac:dyDescent="0.2">
      <c r="B28" s="399">
        <v>25</v>
      </c>
      <c r="C28" s="452" t="str">
        <f>BEGINBLAD!C28</f>
        <v>leerling 25</v>
      </c>
      <c r="E28" s="476"/>
      <c r="F28" s="477"/>
      <c r="G28" s="476"/>
      <c r="H28" s="371" t="str">
        <f t="shared" si="0"/>
        <v/>
      </c>
      <c r="I28" s="370" t="str">
        <f t="shared" si="1"/>
        <v/>
      </c>
      <c r="J28" s="477"/>
      <c r="K28" s="476"/>
      <c r="L28" s="371" t="str">
        <f t="shared" si="2"/>
        <v/>
      </c>
      <c r="M28" s="370" t="str">
        <f t="shared" si="3"/>
        <v/>
      </c>
      <c r="N28" s="372"/>
      <c r="P28" s="373"/>
      <c r="Q28" s="374"/>
      <c r="R28" s="375" t="str">
        <f t="shared" si="4"/>
        <v/>
      </c>
      <c r="S28" s="370" t="str">
        <f t="shared" si="5"/>
        <v/>
      </c>
      <c r="T28" s="376"/>
      <c r="U28" s="373"/>
      <c r="V28" s="377"/>
      <c r="W28" s="374"/>
      <c r="X28" s="376"/>
      <c r="Y28" s="373"/>
      <c r="Z28" s="377"/>
      <c r="AA28" s="374"/>
      <c r="AB28" s="376"/>
      <c r="AC28" s="373"/>
      <c r="AD28" s="377"/>
      <c r="AE28" s="374"/>
      <c r="AF28" s="398"/>
      <c r="AG28" s="718"/>
      <c r="AH28" s="422"/>
      <c r="AI28" s="128"/>
      <c r="AJ28" s="433" t="b">
        <v>0</v>
      </c>
    </row>
    <row r="29" spans="2:36" ht="19.5" customHeight="1" x14ac:dyDescent="0.2">
      <c r="B29" s="399">
        <v>26</v>
      </c>
      <c r="C29" s="452" t="str">
        <f>BEGINBLAD!C29</f>
        <v>leerling 26</v>
      </c>
      <c r="E29" s="476"/>
      <c r="F29" s="477"/>
      <c r="G29" s="476"/>
      <c r="H29" s="371" t="str">
        <f t="shared" si="0"/>
        <v/>
      </c>
      <c r="I29" s="370" t="str">
        <f t="shared" si="1"/>
        <v/>
      </c>
      <c r="J29" s="477"/>
      <c r="K29" s="476"/>
      <c r="L29" s="371" t="str">
        <f t="shared" si="2"/>
        <v/>
      </c>
      <c r="M29" s="370" t="str">
        <f t="shared" si="3"/>
        <v/>
      </c>
      <c r="N29" s="372"/>
      <c r="P29" s="373"/>
      <c r="Q29" s="374"/>
      <c r="R29" s="375" t="str">
        <f t="shared" si="4"/>
        <v/>
      </c>
      <c r="S29" s="370" t="str">
        <f t="shared" si="5"/>
        <v/>
      </c>
      <c r="T29" s="376"/>
      <c r="U29" s="373"/>
      <c r="V29" s="377"/>
      <c r="W29" s="374"/>
      <c r="X29" s="376"/>
      <c r="Y29" s="373"/>
      <c r="Z29" s="377"/>
      <c r="AA29" s="374"/>
      <c r="AB29" s="376"/>
      <c r="AC29" s="373"/>
      <c r="AD29" s="377"/>
      <c r="AE29" s="374"/>
      <c r="AF29" s="398"/>
      <c r="AG29" s="718"/>
      <c r="AH29" s="422"/>
      <c r="AI29" s="116"/>
      <c r="AJ29" s="433" t="b">
        <v>0</v>
      </c>
    </row>
    <row r="30" spans="2:36" ht="19.5" customHeight="1" x14ac:dyDescent="0.2">
      <c r="B30" s="399">
        <v>27</v>
      </c>
      <c r="C30" s="452">
        <f>BEGINBLAD!C30</f>
        <v>0</v>
      </c>
      <c r="E30" s="476"/>
      <c r="F30" s="477"/>
      <c r="G30" s="476"/>
      <c r="H30" s="371" t="str">
        <f t="shared" si="0"/>
        <v/>
      </c>
      <c r="I30" s="370" t="str">
        <f t="shared" si="1"/>
        <v/>
      </c>
      <c r="J30" s="477"/>
      <c r="K30" s="476"/>
      <c r="L30" s="371" t="str">
        <f t="shared" si="2"/>
        <v/>
      </c>
      <c r="M30" s="370" t="str">
        <f t="shared" si="3"/>
        <v/>
      </c>
      <c r="N30" s="372"/>
      <c r="P30" s="373"/>
      <c r="Q30" s="374"/>
      <c r="R30" s="375" t="str">
        <f t="shared" si="4"/>
        <v/>
      </c>
      <c r="S30" s="370" t="str">
        <f t="shared" si="5"/>
        <v/>
      </c>
      <c r="T30" s="376"/>
      <c r="U30" s="373"/>
      <c r="V30" s="377"/>
      <c r="W30" s="374"/>
      <c r="X30" s="376"/>
      <c r="Y30" s="373"/>
      <c r="Z30" s="377"/>
      <c r="AA30" s="374"/>
      <c r="AB30" s="376"/>
      <c r="AC30" s="373"/>
      <c r="AD30" s="377"/>
      <c r="AE30" s="374"/>
      <c r="AF30" s="398"/>
      <c r="AG30" s="718"/>
      <c r="AH30" s="422"/>
      <c r="AI30" s="116"/>
      <c r="AJ30" s="433" t="b">
        <v>0</v>
      </c>
    </row>
    <row r="31" spans="2:36" ht="19.5" customHeight="1" x14ac:dyDescent="0.2">
      <c r="B31" s="399">
        <v>28</v>
      </c>
      <c r="C31" s="452">
        <f>BEGINBLAD!C31</f>
        <v>0</v>
      </c>
      <c r="E31" s="476"/>
      <c r="F31" s="477"/>
      <c r="G31" s="476"/>
      <c r="H31" s="371" t="str">
        <f t="shared" si="0"/>
        <v/>
      </c>
      <c r="I31" s="370" t="str">
        <f t="shared" si="1"/>
        <v/>
      </c>
      <c r="J31" s="477"/>
      <c r="K31" s="476"/>
      <c r="L31" s="371" t="str">
        <f t="shared" si="2"/>
        <v/>
      </c>
      <c r="M31" s="370" t="str">
        <f t="shared" si="3"/>
        <v/>
      </c>
      <c r="N31" s="372"/>
      <c r="P31" s="385"/>
      <c r="Q31" s="386"/>
      <c r="R31" s="375" t="str">
        <f t="shared" si="4"/>
        <v/>
      </c>
      <c r="S31" s="370" t="str">
        <f t="shared" si="5"/>
        <v/>
      </c>
      <c r="T31" s="376"/>
      <c r="U31" s="373"/>
      <c r="V31" s="377"/>
      <c r="W31" s="374"/>
      <c r="X31" s="376"/>
      <c r="Y31" s="373"/>
      <c r="Z31" s="377"/>
      <c r="AA31" s="374"/>
      <c r="AB31" s="376"/>
      <c r="AC31" s="373"/>
      <c r="AD31" s="377"/>
      <c r="AE31" s="374"/>
      <c r="AF31" s="398"/>
      <c r="AG31" s="718"/>
      <c r="AH31" s="422"/>
      <c r="AI31" s="116"/>
      <c r="AJ31" s="433" t="b">
        <v>0</v>
      </c>
    </row>
    <row r="32" spans="2:36" ht="19.5" customHeight="1" x14ac:dyDescent="0.2">
      <c r="B32" s="399">
        <v>29</v>
      </c>
      <c r="C32" s="452">
        <f>BEGINBLAD!C32</f>
        <v>0</v>
      </c>
      <c r="E32" s="476"/>
      <c r="F32" s="477"/>
      <c r="G32" s="476"/>
      <c r="H32" s="371" t="str">
        <f t="shared" si="0"/>
        <v/>
      </c>
      <c r="I32" s="370" t="str">
        <f t="shared" si="1"/>
        <v/>
      </c>
      <c r="J32" s="477"/>
      <c r="K32" s="476"/>
      <c r="L32" s="371" t="str">
        <f t="shared" si="2"/>
        <v/>
      </c>
      <c r="M32" s="370" t="str">
        <f t="shared" si="3"/>
        <v/>
      </c>
      <c r="N32" s="372"/>
      <c r="P32" s="385"/>
      <c r="Q32" s="386"/>
      <c r="R32" s="375" t="str">
        <f t="shared" si="4"/>
        <v/>
      </c>
      <c r="S32" s="370" t="str">
        <f t="shared" si="5"/>
        <v/>
      </c>
      <c r="T32" s="376"/>
      <c r="U32" s="373"/>
      <c r="V32" s="377"/>
      <c r="W32" s="374"/>
      <c r="X32" s="376"/>
      <c r="Y32" s="373"/>
      <c r="Z32" s="377"/>
      <c r="AA32" s="374"/>
      <c r="AB32" s="376"/>
      <c r="AC32" s="373"/>
      <c r="AD32" s="377"/>
      <c r="AE32" s="374"/>
      <c r="AF32" s="398"/>
      <c r="AG32" s="718"/>
      <c r="AH32" s="422"/>
      <c r="AI32" s="116"/>
      <c r="AJ32" s="433" t="b">
        <v>0</v>
      </c>
    </row>
    <row r="33" spans="2:36" ht="19.5" customHeight="1" x14ac:dyDescent="0.2">
      <c r="B33" s="399">
        <v>30</v>
      </c>
      <c r="C33" s="452">
        <f>BEGINBLAD!C33</f>
        <v>0</v>
      </c>
      <c r="E33" s="476"/>
      <c r="F33" s="477"/>
      <c r="G33" s="476"/>
      <c r="H33" s="371" t="str">
        <f t="shared" si="0"/>
        <v/>
      </c>
      <c r="I33" s="370" t="str">
        <f t="shared" si="1"/>
        <v/>
      </c>
      <c r="J33" s="477"/>
      <c r="K33" s="476"/>
      <c r="L33" s="371" t="str">
        <f t="shared" si="2"/>
        <v/>
      </c>
      <c r="M33" s="370" t="str">
        <f t="shared" si="3"/>
        <v/>
      </c>
      <c r="N33" s="372"/>
      <c r="P33" s="385"/>
      <c r="Q33" s="386"/>
      <c r="R33" s="375" t="str">
        <f t="shared" si="4"/>
        <v/>
      </c>
      <c r="S33" s="370" t="str">
        <f t="shared" si="5"/>
        <v/>
      </c>
      <c r="T33" s="376"/>
      <c r="U33" s="373"/>
      <c r="V33" s="377"/>
      <c r="W33" s="374"/>
      <c r="X33" s="376"/>
      <c r="Y33" s="373"/>
      <c r="Z33" s="377"/>
      <c r="AA33" s="374"/>
      <c r="AB33" s="376"/>
      <c r="AC33" s="373"/>
      <c r="AD33" s="377"/>
      <c r="AE33" s="374"/>
      <c r="AF33" s="398"/>
      <c r="AG33" s="718"/>
      <c r="AH33" s="422"/>
      <c r="AI33" s="116"/>
      <c r="AJ33" s="433" t="b">
        <v>0</v>
      </c>
    </row>
    <row r="34" spans="2:36" ht="19.5" customHeight="1" x14ac:dyDescent="0.2">
      <c r="B34" s="399">
        <v>31</v>
      </c>
      <c r="C34" s="452">
        <f>BEGINBLAD!C34</f>
        <v>0</v>
      </c>
      <c r="E34" s="476"/>
      <c r="F34" s="477"/>
      <c r="G34" s="476"/>
      <c r="H34" s="371" t="str">
        <f t="shared" si="0"/>
        <v/>
      </c>
      <c r="I34" s="370" t="str">
        <f t="shared" si="1"/>
        <v/>
      </c>
      <c r="J34" s="477"/>
      <c r="K34" s="476"/>
      <c r="L34" s="371" t="str">
        <f t="shared" si="2"/>
        <v/>
      </c>
      <c r="M34" s="370" t="str">
        <f t="shared" si="3"/>
        <v/>
      </c>
      <c r="N34" s="372"/>
      <c r="P34" s="385"/>
      <c r="Q34" s="386"/>
      <c r="R34" s="375" t="str">
        <f t="shared" si="4"/>
        <v/>
      </c>
      <c r="S34" s="370" t="str">
        <f t="shared" si="5"/>
        <v/>
      </c>
      <c r="T34" s="376"/>
      <c r="U34" s="373"/>
      <c r="V34" s="377"/>
      <c r="W34" s="374"/>
      <c r="X34" s="376"/>
      <c r="Y34" s="373"/>
      <c r="Z34" s="377"/>
      <c r="AA34" s="374"/>
      <c r="AB34" s="376"/>
      <c r="AC34" s="373"/>
      <c r="AD34" s="377"/>
      <c r="AE34" s="374"/>
      <c r="AF34" s="398"/>
      <c r="AG34" s="718"/>
      <c r="AH34" s="422"/>
      <c r="AI34" s="116"/>
      <c r="AJ34" s="433" t="b">
        <v>0</v>
      </c>
    </row>
    <row r="35" spans="2:36" ht="19.5" customHeight="1" x14ac:dyDescent="0.2">
      <c r="B35" s="399">
        <v>32</v>
      </c>
      <c r="C35" s="452">
        <f>BEGINBLAD!C35</f>
        <v>0</v>
      </c>
      <c r="E35" s="476"/>
      <c r="F35" s="477"/>
      <c r="G35" s="476"/>
      <c r="H35" s="371" t="str">
        <f t="shared" si="0"/>
        <v/>
      </c>
      <c r="I35" s="370" t="str">
        <f t="shared" si="1"/>
        <v/>
      </c>
      <c r="J35" s="477"/>
      <c r="K35" s="476"/>
      <c r="L35" s="371" t="str">
        <f t="shared" si="2"/>
        <v/>
      </c>
      <c r="M35" s="370" t="str">
        <f t="shared" si="3"/>
        <v/>
      </c>
      <c r="N35" s="372"/>
      <c r="P35" s="385"/>
      <c r="Q35" s="386"/>
      <c r="R35" s="375" t="str">
        <f t="shared" si="4"/>
        <v/>
      </c>
      <c r="S35" s="370" t="str">
        <f t="shared" si="5"/>
        <v/>
      </c>
      <c r="T35" s="376"/>
      <c r="U35" s="373"/>
      <c r="V35" s="377"/>
      <c r="W35" s="374"/>
      <c r="X35" s="376"/>
      <c r="Y35" s="373"/>
      <c r="Z35" s="377"/>
      <c r="AA35" s="374"/>
      <c r="AB35" s="376"/>
      <c r="AC35" s="373"/>
      <c r="AD35" s="377"/>
      <c r="AE35" s="374"/>
      <c r="AF35" s="398"/>
      <c r="AG35" s="718"/>
      <c r="AH35" s="422"/>
      <c r="AI35" s="116"/>
      <c r="AJ35" s="433" t="b">
        <v>0</v>
      </c>
    </row>
    <row r="36" spans="2:36" ht="19.5" customHeight="1" x14ac:dyDescent="0.2">
      <c r="B36" s="399">
        <v>33</v>
      </c>
      <c r="C36" s="452">
        <f>BEGINBLAD!C36</f>
        <v>0</v>
      </c>
      <c r="E36" s="476"/>
      <c r="F36" s="477"/>
      <c r="G36" s="476"/>
      <c r="H36" s="371" t="str">
        <f t="shared" si="0"/>
        <v/>
      </c>
      <c r="I36" s="370" t="str">
        <f t="shared" si="1"/>
        <v/>
      </c>
      <c r="J36" s="477"/>
      <c r="K36" s="476"/>
      <c r="L36" s="371" t="str">
        <f t="shared" si="2"/>
        <v/>
      </c>
      <c r="M36" s="370" t="str">
        <f t="shared" si="3"/>
        <v/>
      </c>
      <c r="N36" s="372"/>
      <c r="P36" s="385"/>
      <c r="Q36" s="386"/>
      <c r="R36" s="375" t="str">
        <f t="shared" si="4"/>
        <v/>
      </c>
      <c r="S36" s="370" t="str">
        <f t="shared" si="5"/>
        <v/>
      </c>
      <c r="T36" s="376"/>
      <c r="U36" s="373"/>
      <c r="V36" s="377"/>
      <c r="W36" s="374"/>
      <c r="X36" s="376"/>
      <c r="Y36" s="373"/>
      <c r="Z36" s="377"/>
      <c r="AA36" s="374"/>
      <c r="AB36" s="376"/>
      <c r="AC36" s="373"/>
      <c r="AD36" s="377"/>
      <c r="AE36" s="374"/>
      <c r="AF36" s="398"/>
      <c r="AG36" s="718"/>
      <c r="AH36" s="422"/>
      <c r="AI36" s="116"/>
      <c r="AJ36" s="433" t="b">
        <v>0</v>
      </c>
    </row>
    <row r="37" spans="2:36" ht="19.5" customHeight="1" x14ac:dyDescent="0.2">
      <c r="B37" s="399">
        <v>34</v>
      </c>
      <c r="C37" s="452">
        <f>BEGINBLAD!C37</f>
        <v>0</v>
      </c>
      <c r="E37" s="476"/>
      <c r="F37" s="477"/>
      <c r="G37" s="476"/>
      <c r="H37" s="371" t="str">
        <f t="shared" si="0"/>
        <v/>
      </c>
      <c r="I37" s="370" t="str">
        <f t="shared" si="1"/>
        <v/>
      </c>
      <c r="J37" s="477"/>
      <c r="K37" s="476"/>
      <c r="L37" s="371" t="str">
        <f t="shared" si="2"/>
        <v/>
      </c>
      <c r="M37" s="370" t="str">
        <f t="shared" si="3"/>
        <v/>
      </c>
      <c r="N37" s="372"/>
      <c r="P37" s="385"/>
      <c r="Q37" s="386"/>
      <c r="R37" s="375" t="str">
        <f t="shared" si="4"/>
        <v/>
      </c>
      <c r="S37" s="370" t="str">
        <f t="shared" si="5"/>
        <v/>
      </c>
      <c r="T37" s="376"/>
      <c r="U37" s="373"/>
      <c r="V37" s="377"/>
      <c r="W37" s="374"/>
      <c r="X37" s="376"/>
      <c r="Y37" s="373"/>
      <c r="Z37" s="377"/>
      <c r="AA37" s="374"/>
      <c r="AB37" s="376"/>
      <c r="AC37" s="373"/>
      <c r="AD37" s="377"/>
      <c r="AE37" s="374"/>
      <c r="AF37" s="398"/>
      <c r="AG37" s="719"/>
      <c r="AH37" s="422"/>
      <c r="AI37" s="116"/>
      <c r="AJ37" s="433" t="b">
        <v>0</v>
      </c>
    </row>
    <row r="38" spans="2:36" ht="19.5" customHeight="1" x14ac:dyDescent="0.2">
      <c r="B38" s="399">
        <v>35</v>
      </c>
      <c r="C38" s="452">
        <f>BEGINBLAD!C38</f>
        <v>0</v>
      </c>
      <c r="E38" s="476"/>
      <c r="F38" s="477"/>
      <c r="G38" s="476"/>
      <c r="H38" s="371" t="str">
        <f t="shared" si="0"/>
        <v/>
      </c>
      <c r="I38" s="370" t="str">
        <f t="shared" si="1"/>
        <v/>
      </c>
      <c r="J38" s="477"/>
      <c r="K38" s="476"/>
      <c r="L38" s="371" t="str">
        <f t="shared" si="2"/>
        <v/>
      </c>
      <c r="M38" s="370" t="str">
        <f t="shared" si="3"/>
        <v/>
      </c>
      <c r="N38" s="372"/>
      <c r="P38" s="385"/>
      <c r="Q38" s="386"/>
      <c r="R38" s="375" t="str">
        <f t="shared" si="4"/>
        <v/>
      </c>
      <c r="S38" s="370" t="str">
        <f t="shared" si="5"/>
        <v/>
      </c>
      <c r="T38" s="376"/>
      <c r="U38" s="373"/>
      <c r="V38" s="377"/>
      <c r="W38" s="374"/>
      <c r="X38" s="376"/>
      <c r="Y38" s="373"/>
      <c r="Z38" s="377"/>
      <c r="AA38" s="374"/>
      <c r="AB38" s="376"/>
      <c r="AC38" s="373"/>
      <c r="AD38" s="377"/>
      <c r="AE38" s="374"/>
      <c r="AF38" s="398"/>
      <c r="AG38" s="719"/>
      <c r="AH38" s="422"/>
      <c r="AI38" s="116"/>
      <c r="AJ38" s="433" t="b">
        <v>0</v>
      </c>
    </row>
    <row r="39" spans="2:36" ht="19.5" customHeight="1" thickBot="1" x14ac:dyDescent="0.25">
      <c r="B39" s="717">
        <v>36</v>
      </c>
      <c r="C39" s="453">
        <f>BEGINBLAD!C39</f>
        <v>0</v>
      </c>
      <c r="E39" s="478"/>
      <c r="F39" s="477"/>
      <c r="G39" s="478"/>
      <c r="H39" s="388" t="str">
        <f t="shared" si="0"/>
        <v/>
      </c>
      <c r="I39" s="387" t="str">
        <f t="shared" si="1"/>
        <v/>
      </c>
      <c r="J39" s="477"/>
      <c r="K39" s="478"/>
      <c r="L39" s="388" t="str">
        <f t="shared" si="2"/>
        <v/>
      </c>
      <c r="M39" s="387" t="str">
        <f t="shared" si="3"/>
        <v/>
      </c>
      <c r="N39" s="389"/>
      <c r="P39" s="390"/>
      <c r="Q39" s="391"/>
      <c r="R39" s="392" t="str">
        <f t="shared" si="4"/>
        <v/>
      </c>
      <c r="S39" s="370" t="str">
        <f t="shared" si="5"/>
        <v/>
      </c>
      <c r="T39" s="376"/>
      <c r="U39" s="393"/>
      <c r="V39" s="394"/>
      <c r="W39" s="395"/>
      <c r="X39" s="376"/>
      <c r="Y39" s="393"/>
      <c r="Z39" s="394"/>
      <c r="AA39" s="395"/>
      <c r="AB39" s="376"/>
      <c r="AC39" s="393"/>
      <c r="AD39" s="394"/>
      <c r="AE39" s="395"/>
      <c r="AF39" s="398"/>
      <c r="AG39" s="720"/>
      <c r="AH39" s="423"/>
      <c r="AI39" s="116"/>
      <c r="AJ39" s="433" t="b">
        <v>0</v>
      </c>
    </row>
    <row r="40" spans="2:36" s="228" customFormat="1" x14ac:dyDescent="0.2">
      <c r="B40" s="400"/>
      <c r="C40" s="454"/>
      <c r="D40" s="454"/>
      <c r="E40" s="408" t="s">
        <v>263</v>
      </c>
      <c r="F40" s="479"/>
      <c r="G40" s="408" t="s">
        <v>263</v>
      </c>
      <c r="H40" s="409" t="e">
        <f>H41/H42</f>
        <v>#DIV/0!</v>
      </c>
      <c r="I40" s="409" t="e">
        <f>I41/I42</f>
        <v>#DIV/0!</v>
      </c>
      <c r="J40" s="479"/>
      <c r="K40" s="408" t="s">
        <v>263</v>
      </c>
      <c r="L40" s="409" t="e">
        <f>L41/L42</f>
        <v>#DIV/0!</v>
      </c>
      <c r="M40" s="409" t="e">
        <f>M41/M42</f>
        <v>#DIV/0!</v>
      </c>
      <c r="N40" s="410"/>
      <c r="O40" s="411"/>
      <c r="P40" s="409" t="e">
        <f>P41/P42</f>
        <v>#DIV/0!</v>
      </c>
      <c r="Q40" s="409"/>
      <c r="R40" s="409"/>
      <c r="S40" s="412"/>
      <c r="T40" s="412"/>
      <c r="U40" s="839">
        <f>U42/U41</f>
        <v>0</v>
      </c>
      <c r="V40" s="839">
        <f>V42/V41</f>
        <v>0</v>
      </c>
      <c r="W40" s="839">
        <f>W42/W41</f>
        <v>0</v>
      </c>
      <c r="X40" s="840"/>
      <c r="Y40" s="841">
        <f>Y42/Y41</f>
        <v>0</v>
      </c>
      <c r="Z40" s="841">
        <f>Z42/Z41</f>
        <v>0</v>
      </c>
      <c r="AA40" s="841">
        <f>AA42/AA41</f>
        <v>0</v>
      </c>
      <c r="AB40" s="840"/>
      <c r="AC40" s="841">
        <f>AC42/AC41</f>
        <v>0</v>
      </c>
      <c r="AD40" s="841">
        <f>AD42/AD41</f>
        <v>0</v>
      </c>
      <c r="AE40" s="841">
        <f>AE42/AE41</f>
        <v>0</v>
      </c>
      <c r="AF40" s="413"/>
      <c r="AG40" s="408" t="s">
        <v>264</v>
      </c>
      <c r="AH40" s="408"/>
      <c r="AI40" s="116"/>
      <c r="AJ40" s="354"/>
    </row>
    <row r="41" spans="2:36" s="228" customFormat="1" ht="18" x14ac:dyDescent="0.2">
      <c r="B41" s="401"/>
      <c r="C41" s="454"/>
      <c r="D41" s="454"/>
      <c r="E41" s="455"/>
      <c r="F41" s="455"/>
      <c r="G41" s="455"/>
      <c r="H41" s="480">
        <f>SUM(H4:H39)</f>
        <v>0</v>
      </c>
      <c r="I41" s="480">
        <f>SUM(I4:I39)</f>
        <v>0</v>
      </c>
      <c r="J41" s="455"/>
      <c r="K41" s="455"/>
      <c r="L41" s="480">
        <f>SUM(L4:L39)</f>
        <v>0</v>
      </c>
      <c r="M41" s="480">
        <f>SUM(M4:M39)</f>
        <v>0</v>
      </c>
      <c r="N41" s="397"/>
      <c r="O41" s="481"/>
      <c r="P41" s="480">
        <f>SUM(P4:P39)</f>
        <v>0</v>
      </c>
      <c r="Q41" s="1175" t="s">
        <v>525</v>
      </c>
      <c r="R41" s="1175"/>
      <c r="S41" s="1175"/>
      <c r="T41" s="1175"/>
      <c r="U41" s="843">
        <v>6</v>
      </c>
      <c r="V41" s="844">
        <f>$U$41</f>
        <v>6</v>
      </c>
      <c r="W41" s="844">
        <f t="shared" ref="W41:AE41" si="7">$U$41</f>
        <v>6</v>
      </c>
      <c r="X41" s="844"/>
      <c r="Y41" s="844">
        <f t="shared" si="7"/>
        <v>6</v>
      </c>
      <c r="Z41" s="844">
        <f t="shared" si="7"/>
        <v>6</v>
      </c>
      <c r="AA41" s="844">
        <f t="shared" si="7"/>
        <v>6</v>
      </c>
      <c r="AB41" s="844"/>
      <c r="AC41" s="844">
        <f t="shared" si="7"/>
        <v>6</v>
      </c>
      <c r="AD41" s="844">
        <f t="shared" si="7"/>
        <v>6</v>
      </c>
      <c r="AE41" s="844">
        <f t="shared" si="7"/>
        <v>6</v>
      </c>
      <c r="AF41" s="482"/>
      <c r="AG41" s="455"/>
      <c r="AH41" s="238"/>
      <c r="AI41" s="116"/>
      <c r="AJ41" s="354"/>
    </row>
    <row r="42" spans="2:36" s="228" customFormat="1" x14ac:dyDescent="0.2">
      <c r="B42" s="401"/>
      <c r="C42" s="454"/>
      <c r="D42" s="454"/>
      <c r="E42" s="455"/>
      <c r="F42" s="455"/>
      <c r="G42" s="455"/>
      <c r="H42" s="455">
        <f>COUNTIF(H4:H39,"&gt;0")</f>
        <v>0</v>
      </c>
      <c r="I42" s="455">
        <f>COUNTIF(I4:I39,"&gt;0")</f>
        <v>0</v>
      </c>
      <c r="J42" s="455"/>
      <c r="K42" s="455"/>
      <c r="L42" s="455">
        <f>COUNTIF(L4:L39,"&gt;0")</f>
        <v>0</v>
      </c>
      <c r="M42" s="455">
        <f>COUNTIF(M4:M39,"&gt;0")</f>
        <v>0</v>
      </c>
      <c r="N42" s="397"/>
      <c r="O42" s="483"/>
      <c r="P42" s="455">
        <f>COUNTA(P4:P39)</f>
        <v>0</v>
      </c>
      <c r="Q42" s="455"/>
      <c r="R42" s="455"/>
      <c r="S42" s="455"/>
      <c r="T42" s="484"/>
      <c r="U42" s="837">
        <f>COUNTIF(U15:U39,"x")</f>
        <v>0</v>
      </c>
      <c r="V42" s="837">
        <f>COUNTIF(V15:V39,"x")</f>
        <v>0</v>
      </c>
      <c r="W42" s="837">
        <f>COUNTIF(W15:W39,"x")</f>
        <v>0</v>
      </c>
      <c r="X42" s="837"/>
      <c r="Y42" s="837">
        <f>COUNTIF(Y15:Y39,"x")</f>
        <v>0</v>
      </c>
      <c r="Z42" s="837">
        <f>COUNTIF(Z15:Z39,"x")</f>
        <v>0</v>
      </c>
      <c r="AA42" s="837">
        <f>COUNTIF(AA15:AA39,"x")</f>
        <v>0</v>
      </c>
      <c r="AB42" s="837"/>
      <c r="AC42" s="837">
        <f>COUNTIF(AC15:AC39,"x")</f>
        <v>0</v>
      </c>
      <c r="AD42" s="837">
        <f>COUNTIF(AD15:AD39,"x")</f>
        <v>0</v>
      </c>
      <c r="AE42" s="837">
        <f>COUNTIF(AE15:AE39,"x")</f>
        <v>0</v>
      </c>
      <c r="AF42" s="485"/>
      <c r="AG42" s="455"/>
      <c r="AH42" s="238"/>
      <c r="AI42" s="116"/>
      <c r="AJ42" s="354"/>
    </row>
    <row r="43" spans="2:36" s="228" customFormat="1" x14ac:dyDescent="0.2">
      <c r="B43" s="401"/>
      <c r="C43" s="454"/>
      <c r="D43" s="454"/>
      <c r="E43" s="455"/>
      <c r="F43" s="455"/>
      <c r="G43" s="455"/>
      <c r="H43" s="455"/>
      <c r="I43" s="455"/>
      <c r="J43" s="455"/>
      <c r="K43" s="455"/>
      <c r="L43" s="455"/>
      <c r="M43" s="455"/>
      <c r="N43" s="397"/>
      <c r="O43" s="483"/>
      <c r="P43" s="455">
        <v>2</v>
      </c>
      <c r="Q43" s="455"/>
      <c r="R43" s="455"/>
      <c r="S43" s="455"/>
      <c r="T43" s="484"/>
      <c r="U43" s="842">
        <f t="shared" ref="U43:AE43" si="8">U40</f>
        <v>0</v>
      </c>
      <c r="V43" s="842">
        <f>V40+W40</f>
        <v>0</v>
      </c>
      <c r="W43" s="842">
        <f t="shared" si="8"/>
        <v>0</v>
      </c>
      <c r="X43" s="842"/>
      <c r="Y43" s="842">
        <f t="shared" si="8"/>
        <v>0</v>
      </c>
      <c r="Z43" s="842">
        <f>Z40+AA40</f>
        <v>0</v>
      </c>
      <c r="AA43" s="842">
        <f t="shared" si="8"/>
        <v>0</v>
      </c>
      <c r="AB43" s="842"/>
      <c r="AC43" s="842">
        <f t="shared" si="8"/>
        <v>0</v>
      </c>
      <c r="AD43" s="842">
        <f>AD40+AE40</f>
        <v>0</v>
      </c>
      <c r="AE43" s="842">
        <f t="shared" si="8"/>
        <v>0</v>
      </c>
      <c r="AF43" s="485"/>
      <c r="AG43" s="455"/>
      <c r="AH43" s="238"/>
      <c r="AI43" s="116"/>
      <c r="AJ43" s="354"/>
    </row>
    <row r="44" spans="2:36" s="228" customFormat="1" x14ac:dyDescent="0.2">
      <c r="B44" s="401"/>
      <c r="C44" s="454"/>
      <c r="D44" s="454"/>
      <c r="E44" s="455"/>
      <c r="F44" s="455"/>
      <c r="G44" s="455"/>
      <c r="H44" s="455"/>
      <c r="I44" s="455"/>
      <c r="J44" s="455"/>
      <c r="K44" s="455"/>
      <c r="L44" s="455"/>
      <c r="M44" s="455"/>
      <c r="N44" s="397"/>
      <c r="O44" s="483"/>
      <c r="P44" s="455">
        <v>3</v>
      </c>
      <c r="Q44" s="455"/>
      <c r="R44" s="455" t="str">
        <f t="shared" ref="R44:S57" si="9">IF(R6="","",IF(R6=K6,1,IF(R6&gt;K6,"",IF(R6&lt;K6,""))))</f>
        <v/>
      </c>
      <c r="S44" s="455" t="str">
        <f t="shared" si="9"/>
        <v/>
      </c>
      <c r="T44" s="484"/>
      <c r="U44" s="454"/>
      <c r="V44" s="454"/>
      <c r="W44" s="454"/>
      <c r="X44" s="454"/>
      <c r="Y44" s="454"/>
      <c r="Z44" s="454"/>
      <c r="AA44" s="454"/>
      <c r="AB44" s="454"/>
      <c r="AC44" s="454"/>
      <c r="AD44" s="454"/>
      <c r="AE44" s="454"/>
      <c r="AF44" s="485"/>
      <c r="AG44" s="455"/>
      <c r="AH44" s="238"/>
      <c r="AI44" s="116"/>
      <c r="AJ44" s="354"/>
    </row>
    <row r="45" spans="2:36" s="228" customFormat="1" x14ac:dyDescent="0.2">
      <c r="B45" s="401"/>
      <c r="C45" s="454"/>
      <c r="D45" s="454"/>
      <c r="E45" s="455"/>
      <c r="F45" s="455"/>
      <c r="G45" s="455"/>
      <c r="H45" s="455"/>
      <c r="I45" s="455"/>
      <c r="J45" s="455"/>
      <c r="K45" s="455"/>
      <c r="L45" s="455"/>
      <c r="M45" s="455"/>
      <c r="N45" s="397"/>
      <c r="O45" s="483"/>
      <c r="P45" s="455">
        <v>4</v>
      </c>
      <c r="Q45" s="455"/>
      <c r="R45" s="455" t="str">
        <f t="shared" si="9"/>
        <v/>
      </c>
      <c r="S45" s="455" t="str">
        <f t="shared" si="9"/>
        <v/>
      </c>
      <c r="T45" s="484"/>
      <c r="U45" s="454"/>
      <c r="V45" s="454"/>
      <c r="W45" s="454"/>
      <c r="X45" s="454"/>
      <c r="Y45" s="454"/>
      <c r="Z45" s="454"/>
      <c r="AA45" s="454"/>
      <c r="AB45" s="454"/>
      <c r="AC45" s="454"/>
      <c r="AD45" s="454"/>
      <c r="AE45" s="454"/>
      <c r="AF45" s="485"/>
      <c r="AG45" s="455"/>
      <c r="AH45" s="238"/>
      <c r="AI45" s="116"/>
      <c r="AJ45" s="116"/>
    </row>
    <row r="46" spans="2:36" s="228" customFormat="1" x14ac:dyDescent="0.2">
      <c r="B46" s="401"/>
      <c r="C46" s="454"/>
      <c r="D46" s="454"/>
      <c r="E46" s="455"/>
      <c r="F46" s="455"/>
      <c r="G46" s="455"/>
      <c r="H46" s="455"/>
      <c r="I46" s="455"/>
      <c r="J46" s="455"/>
      <c r="K46" s="455"/>
      <c r="L46" s="455"/>
      <c r="M46" s="455"/>
      <c r="N46" s="397"/>
      <c r="O46" s="483"/>
      <c r="P46" s="455">
        <v>5</v>
      </c>
      <c r="Q46" s="455"/>
      <c r="R46" s="455" t="str">
        <f t="shared" si="9"/>
        <v/>
      </c>
      <c r="S46" s="455" t="str">
        <f t="shared" si="9"/>
        <v/>
      </c>
      <c r="T46" s="484"/>
      <c r="U46" s="454"/>
      <c r="V46" s="454"/>
      <c r="W46" s="454"/>
      <c r="X46" s="454"/>
      <c r="Y46" s="454"/>
      <c r="Z46" s="454"/>
      <c r="AA46" s="454"/>
      <c r="AB46" s="454"/>
      <c r="AC46" s="454"/>
      <c r="AD46" s="454"/>
      <c r="AE46" s="454"/>
      <c r="AF46" s="485"/>
      <c r="AG46" s="455"/>
      <c r="AH46" s="69"/>
      <c r="AI46" s="116"/>
      <c r="AJ46" s="116"/>
    </row>
    <row r="47" spans="2:36" s="228" customFormat="1" x14ac:dyDescent="0.2">
      <c r="B47" s="401"/>
      <c r="C47" s="454"/>
      <c r="D47" s="454"/>
      <c r="E47" s="455"/>
      <c r="F47" s="455"/>
      <c r="G47" s="455"/>
      <c r="H47" s="455"/>
      <c r="I47" s="455"/>
      <c r="J47" s="455"/>
      <c r="K47" s="455"/>
      <c r="L47" s="455"/>
      <c r="M47" s="455"/>
      <c r="N47" s="397"/>
      <c r="O47" s="483"/>
      <c r="P47" s="455">
        <v>6</v>
      </c>
      <c r="Q47" s="455"/>
      <c r="R47" s="455" t="str">
        <f t="shared" si="9"/>
        <v/>
      </c>
      <c r="S47" s="455" t="str">
        <f t="shared" si="9"/>
        <v/>
      </c>
      <c r="T47" s="484"/>
      <c r="U47" s="454"/>
      <c r="V47" s="454"/>
      <c r="W47" s="454"/>
      <c r="X47" s="838"/>
      <c r="Y47" s="454"/>
      <c r="Z47" s="454"/>
      <c r="AA47" s="454"/>
      <c r="AB47" s="454"/>
      <c r="AC47" s="454"/>
      <c r="AD47" s="454"/>
      <c r="AE47" s="454"/>
      <c r="AF47" s="485"/>
      <c r="AG47" s="455"/>
      <c r="AH47" s="69"/>
      <c r="AI47" s="116"/>
      <c r="AJ47" s="116"/>
    </row>
    <row r="48" spans="2:36" s="228" customFormat="1" x14ac:dyDescent="0.2">
      <c r="B48" s="401"/>
      <c r="C48" s="454"/>
      <c r="D48" s="454"/>
      <c r="E48" s="455"/>
      <c r="F48" s="455"/>
      <c r="G48" s="455"/>
      <c r="H48" s="455"/>
      <c r="I48" s="455"/>
      <c r="J48" s="455"/>
      <c r="K48" s="455"/>
      <c r="L48" s="455"/>
      <c r="M48" s="455"/>
      <c r="N48" s="397"/>
      <c r="O48" s="483"/>
      <c r="P48" s="455">
        <v>7</v>
      </c>
      <c r="Q48" s="455"/>
      <c r="R48" s="455" t="str">
        <f t="shared" si="9"/>
        <v/>
      </c>
      <c r="S48" s="455" t="str">
        <f t="shared" si="9"/>
        <v/>
      </c>
      <c r="T48" s="484"/>
      <c r="U48" s="454"/>
      <c r="V48" s="454"/>
      <c r="W48" s="454"/>
      <c r="X48" s="454"/>
      <c r="Y48" s="454"/>
      <c r="Z48" s="454"/>
      <c r="AA48" s="454"/>
      <c r="AB48" s="454"/>
      <c r="AC48" s="454"/>
      <c r="AD48" s="454"/>
      <c r="AE48" s="454"/>
      <c r="AF48" s="485"/>
      <c r="AG48" s="455"/>
      <c r="AH48" s="69"/>
      <c r="AI48" s="116"/>
      <c r="AJ48" s="116"/>
    </row>
    <row r="49" spans="2:36" s="228" customFormat="1" x14ac:dyDescent="0.2">
      <c r="B49" s="401"/>
      <c r="C49" s="454"/>
      <c r="D49" s="454"/>
      <c r="E49" s="455"/>
      <c r="F49" s="455"/>
      <c r="G49" s="455"/>
      <c r="H49" s="455"/>
      <c r="I49" s="455"/>
      <c r="J49" s="455"/>
      <c r="K49" s="455"/>
      <c r="L49" s="455"/>
      <c r="M49" s="455"/>
      <c r="N49" s="397"/>
      <c r="O49" s="483"/>
      <c r="P49" s="455">
        <v>8</v>
      </c>
      <c r="Q49" s="455"/>
      <c r="R49" s="455" t="str">
        <f t="shared" si="9"/>
        <v/>
      </c>
      <c r="S49" s="455" t="str">
        <f t="shared" si="9"/>
        <v/>
      </c>
      <c r="T49" s="484"/>
      <c r="U49" s="454"/>
      <c r="V49" s="454"/>
      <c r="W49" s="454"/>
      <c r="X49" s="454"/>
      <c r="Y49" s="454"/>
      <c r="Z49" s="454"/>
      <c r="AA49" s="454"/>
      <c r="AB49" s="454"/>
      <c r="AC49" s="454"/>
      <c r="AD49" s="454"/>
      <c r="AE49" s="454"/>
      <c r="AF49" s="485"/>
      <c r="AG49" s="455"/>
      <c r="AH49" s="69"/>
      <c r="AI49" s="116"/>
      <c r="AJ49" s="116"/>
    </row>
    <row r="50" spans="2:36" s="228" customFormat="1" x14ac:dyDescent="0.2">
      <c r="B50" s="401"/>
      <c r="C50" s="454"/>
      <c r="D50" s="454"/>
      <c r="E50" s="455"/>
      <c r="F50" s="455"/>
      <c r="G50" s="455"/>
      <c r="H50" s="455"/>
      <c r="I50" s="455"/>
      <c r="J50" s="455"/>
      <c r="K50" s="455"/>
      <c r="L50" s="455"/>
      <c r="M50" s="455"/>
      <c r="N50" s="397"/>
      <c r="O50" s="483"/>
      <c r="P50" s="455">
        <v>9</v>
      </c>
      <c r="Q50" s="455"/>
      <c r="R50" s="455" t="str">
        <f t="shared" si="9"/>
        <v/>
      </c>
      <c r="S50" s="455" t="str">
        <f t="shared" si="9"/>
        <v/>
      </c>
      <c r="T50" s="484"/>
      <c r="U50" s="454"/>
      <c r="V50" s="454"/>
      <c r="W50" s="454"/>
      <c r="X50" s="454"/>
      <c r="Y50" s="454"/>
      <c r="Z50" s="454"/>
      <c r="AA50" s="454"/>
      <c r="AB50" s="454"/>
      <c r="AC50" s="454"/>
      <c r="AD50" s="454"/>
      <c r="AE50" s="454"/>
      <c r="AF50" s="485"/>
      <c r="AG50" s="455"/>
      <c r="AH50" s="69"/>
      <c r="AI50" s="116"/>
      <c r="AJ50" s="116"/>
    </row>
    <row r="51" spans="2:36" s="228" customFormat="1" x14ac:dyDescent="0.2">
      <c r="B51" s="401"/>
      <c r="C51" s="454"/>
      <c r="D51" s="454"/>
      <c r="E51" s="455"/>
      <c r="F51" s="455"/>
      <c r="G51" s="455"/>
      <c r="H51" s="455"/>
      <c r="I51" s="455"/>
      <c r="J51" s="455"/>
      <c r="K51" s="455"/>
      <c r="L51" s="455"/>
      <c r="M51" s="455"/>
      <c r="N51" s="397"/>
      <c r="O51" s="483"/>
      <c r="P51" s="455">
        <v>10</v>
      </c>
      <c r="Q51" s="455"/>
      <c r="R51" s="455" t="str">
        <f t="shared" si="9"/>
        <v/>
      </c>
      <c r="S51" s="455" t="str">
        <f t="shared" si="9"/>
        <v/>
      </c>
      <c r="T51" s="484"/>
      <c r="U51" s="454"/>
      <c r="V51" s="454"/>
      <c r="W51" s="454"/>
      <c r="X51" s="454"/>
      <c r="Y51" s="454"/>
      <c r="Z51" s="454"/>
      <c r="AA51" s="454"/>
      <c r="AB51" s="454"/>
      <c r="AC51" s="454"/>
      <c r="AD51" s="454"/>
      <c r="AE51" s="454"/>
      <c r="AF51" s="485"/>
      <c r="AG51" s="455"/>
      <c r="AH51" s="69"/>
      <c r="AI51" s="116"/>
      <c r="AJ51" s="116"/>
    </row>
    <row r="52" spans="2:36" s="228" customFormat="1" x14ac:dyDescent="0.2">
      <c r="B52" s="401"/>
      <c r="C52" s="454"/>
      <c r="D52" s="454"/>
      <c r="E52" s="455"/>
      <c r="F52" s="455"/>
      <c r="G52" s="455"/>
      <c r="H52" s="455"/>
      <c r="I52" s="455"/>
      <c r="J52" s="455"/>
      <c r="K52" s="455"/>
      <c r="L52" s="455"/>
      <c r="M52" s="455"/>
      <c r="N52" s="397"/>
      <c r="O52" s="483"/>
      <c r="P52" s="455">
        <v>11</v>
      </c>
      <c r="Q52" s="455"/>
      <c r="R52" s="455" t="str">
        <f t="shared" si="9"/>
        <v/>
      </c>
      <c r="S52" s="455" t="str">
        <f t="shared" si="9"/>
        <v/>
      </c>
      <c r="T52" s="484"/>
      <c r="U52" s="454"/>
      <c r="V52" s="454"/>
      <c r="W52" s="454"/>
      <c r="X52" s="454"/>
      <c r="Y52" s="454"/>
      <c r="Z52" s="454"/>
      <c r="AA52" s="454"/>
      <c r="AB52" s="454"/>
      <c r="AC52" s="454"/>
      <c r="AD52" s="454"/>
      <c r="AE52" s="454"/>
      <c r="AF52" s="485"/>
      <c r="AG52" s="455"/>
      <c r="AH52" s="69"/>
      <c r="AI52" s="116"/>
      <c r="AJ52" s="116"/>
    </row>
    <row r="53" spans="2:36" s="238" customFormat="1" x14ac:dyDescent="0.2">
      <c r="B53" s="697"/>
      <c r="C53" s="455"/>
      <c r="D53" s="455"/>
      <c r="E53" s="455"/>
      <c r="F53" s="455"/>
      <c r="G53" s="455"/>
      <c r="H53" s="455"/>
      <c r="I53" s="455"/>
      <c r="J53" s="455"/>
      <c r="K53" s="455"/>
      <c r="L53" s="455"/>
      <c r="M53" s="455"/>
      <c r="N53" s="397"/>
      <c r="O53" s="483"/>
      <c r="P53" s="455">
        <v>12</v>
      </c>
      <c r="Q53" s="455"/>
      <c r="R53" s="455" t="str">
        <f t="shared" si="9"/>
        <v/>
      </c>
      <c r="S53" s="455" t="str">
        <f t="shared" si="9"/>
        <v/>
      </c>
      <c r="T53" s="484"/>
      <c r="U53" s="454"/>
      <c r="V53" s="454"/>
      <c r="W53" s="454"/>
      <c r="X53" s="454"/>
      <c r="Y53" s="454"/>
      <c r="Z53" s="454"/>
      <c r="AA53" s="454"/>
      <c r="AB53" s="454"/>
      <c r="AC53" s="454"/>
      <c r="AD53" s="454"/>
      <c r="AE53" s="454"/>
      <c r="AF53" s="485"/>
      <c r="AG53" s="455"/>
      <c r="AH53" s="69"/>
      <c r="AI53" s="116"/>
      <c r="AJ53" s="116"/>
    </row>
    <row r="54" spans="2:36" s="238" customFormat="1" x14ac:dyDescent="0.2">
      <c r="B54" s="697"/>
      <c r="C54" s="455"/>
      <c r="D54" s="455"/>
      <c r="E54" s="455"/>
      <c r="F54" s="455"/>
      <c r="G54" s="455"/>
      <c r="H54" s="455"/>
      <c r="I54" s="455"/>
      <c r="J54" s="455"/>
      <c r="K54" s="455"/>
      <c r="L54" s="455"/>
      <c r="M54" s="455"/>
      <c r="N54" s="397"/>
      <c r="O54" s="483"/>
      <c r="P54" s="455">
        <v>13</v>
      </c>
      <c r="Q54" s="455"/>
      <c r="R54" s="455" t="str">
        <f t="shared" si="9"/>
        <v/>
      </c>
      <c r="S54" s="455" t="str">
        <f t="shared" si="9"/>
        <v/>
      </c>
      <c r="T54" s="484"/>
      <c r="U54" s="454"/>
      <c r="V54" s="454"/>
      <c r="W54" s="454"/>
      <c r="X54" s="454"/>
      <c r="Y54" s="454"/>
      <c r="Z54" s="454"/>
      <c r="AA54" s="454"/>
      <c r="AB54" s="454"/>
      <c r="AC54" s="454"/>
      <c r="AD54" s="454"/>
      <c r="AE54" s="454"/>
      <c r="AF54" s="485"/>
      <c r="AG54" s="455"/>
      <c r="AH54" s="69"/>
      <c r="AI54" s="116"/>
      <c r="AJ54" s="116"/>
    </row>
    <row r="55" spans="2:36" s="238" customFormat="1" x14ac:dyDescent="0.2">
      <c r="B55" s="697"/>
      <c r="C55" s="455"/>
      <c r="D55" s="455"/>
      <c r="E55" s="455"/>
      <c r="F55" s="455"/>
      <c r="G55" s="455"/>
      <c r="H55" s="455"/>
      <c r="I55" s="455"/>
      <c r="J55" s="455"/>
      <c r="K55" s="455"/>
      <c r="L55" s="455"/>
      <c r="M55" s="455"/>
      <c r="N55" s="397"/>
      <c r="O55" s="483"/>
      <c r="P55" s="455">
        <v>14</v>
      </c>
      <c r="Q55" s="455"/>
      <c r="R55" s="455" t="str">
        <f t="shared" si="9"/>
        <v/>
      </c>
      <c r="S55" s="455" t="str">
        <f t="shared" si="9"/>
        <v/>
      </c>
      <c r="T55" s="484"/>
      <c r="U55" s="454"/>
      <c r="V55" s="454"/>
      <c r="W55" s="454"/>
      <c r="X55" s="454"/>
      <c r="Y55" s="454"/>
      <c r="Z55" s="454"/>
      <c r="AA55" s="454"/>
      <c r="AB55" s="454"/>
      <c r="AC55" s="454"/>
      <c r="AD55" s="454"/>
      <c r="AE55" s="454"/>
      <c r="AF55" s="485"/>
      <c r="AG55" s="455"/>
      <c r="AH55" s="69"/>
      <c r="AI55" s="116"/>
      <c r="AJ55" s="116"/>
    </row>
    <row r="56" spans="2:36" s="238" customFormat="1" x14ac:dyDescent="0.2">
      <c r="B56" s="697"/>
      <c r="C56" s="455"/>
      <c r="D56" s="455"/>
      <c r="E56" s="455"/>
      <c r="F56" s="455"/>
      <c r="G56" s="455"/>
      <c r="H56" s="455"/>
      <c r="I56" s="455"/>
      <c r="J56" s="455"/>
      <c r="K56" s="455"/>
      <c r="L56" s="455"/>
      <c r="M56" s="455"/>
      <c r="N56" s="397"/>
      <c r="O56" s="483"/>
      <c r="P56" s="455">
        <v>15</v>
      </c>
      <c r="Q56" s="455"/>
      <c r="R56" s="455" t="str">
        <f t="shared" si="9"/>
        <v/>
      </c>
      <c r="S56" s="455" t="str">
        <f t="shared" si="9"/>
        <v/>
      </c>
      <c r="T56" s="484"/>
      <c r="U56" s="454"/>
      <c r="V56" s="454"/>
      <c r="W56" s="454"/>
      <c r="X56" s="454"/>
      <c r="Y56" s="454"/>
      <c r="Z56" s="454"/>
      <c r="AA56" s="454"/>
      <c r="AB56" s="454"/>
      <c r="AC56" s="454"/>
      <c r="AD56" s="454"/>
      <c r="AE56" s="454"/>
      <c r="AF56" s="485"/>
      <c r="AG56" s="455"/>
      <c r="AH56" s="69"/>
      <c r="AI56" s="116"/>
      <c r="AJ56" s="116"/>
    </row>
    <row r="57" spans="2:36" s="238" customFormat="1" x14ac:dyDescent="0.2">
      <c r="B57" s="697"/>
      <c r="C57" s="455"/>
      <c r="D57" s="455"/>
      <c r="E57" s="455"/>
      <c r="F57" s="455"/>
      <c r="G57" s="455"/>
      <c r="H57" s="455"/>
      <c r="I57" s="455"/>
      <c r="J57" s="455"/>
      <c r="K57" s="455"/>
      <c r="L57" s="455"/>
      <c r="M57" s="455"/>
      <c r="N57" s="397"/>
      <c r="O57" s="483"/>
      <c r="P57" s="455">
        <v>16</v>
      </c>
      <c r="Q57" s="455"/>
      <c r="R57" s="455" t="str">
        <f t="shared" si="9"/>
        <v/>
      </c>
      <c r="S57" s="455" t="str">
        <f t="shared" si="9"/>
        <v/>
      </c>
      <c r="T57" s="484"/>
      <c r="U57" s="454"/>
      <c r="V57" s="454"/>
      <c r="W57" s="454"/>
      <c r="X57" s="454"/>
      <c r="Y57" s="454"/>
      <c r="Z57" s="454"/>
      <c r="AA57" s="454"/>
      <c r="AB57" s="454"/>
      <c r="AC57" s="454"/>
      <c r="AD57" s="454"/>
      <c r="AE57" s="454"/>
      <c r="AF57" s="485"/>
      <c r="AG57" s="455"/>
      <c r="AH57" s="69"/>
      <c r="AI57" s="116"/>
      <c r="AJ57" s="116"/>
    </row>
    <row r="58" spans="2:36" s="238" customFormat="1" x14ac:dyDescent="0.2">
      <c r="B58" s="697"/>
      <c r="C58" s="455"/>
      <c r="D58" s="455"/>
      <c r="E58" s="455"/>
      <c r="F58" s="455"/>
      <c r="G58" s="455"/>
      <c r="H58" s="455"/>
      <c r="I58" s="455"/>
      <c r="J58" s="455"/>
      <c r="K58" s="455"/>
      <c r="L58" s="455"/>
      <c r="M58" s="455"/>
      <c r="N58" s="397"/>
      <c r="O58" s="483"/>
      <c r="P58" s="455">
        <v>17</v>
      </c>
      <c r="Q58" s="455"/>
      <c r="R58" s="455" t="str">
        <f t="shared" ref="R58:S73" si="10">IF(R20="","",IF(R20=K20,1,IF(R20&gt;K20,"",IF(R20&lt;K20,""))))</f>
        <v/>
      </c>
      <c r="S58" s="455" t="str">
        <f t="shared" si="10"/>
        <v/>
      </c>
      <c r="T58" s="484"/>
      <c r="U58" s="455"/>
      <c r="V58" s="455"/>
      <c r="W58" s="455"/>
      <c r="X58" s="455"/>
      <c r="Y58" s="455"/>
      <c r="Z58" s="455"/>
      <c r="AA58" s="455"/>
      <c r="AB58" s="455"/>
      <c r="AC58" s="455"/>
      <c r="AD58" s="455"/>
      <c r="AE58" s="455"/>
      <c r="AF58" s="485"/>
      <c r="AG58" s="455"/>
      <c r="AH58" s="69"/>
      <c r="AI58" s="116"/>
      <c r="AJ58" s="116"/>
    </row>
    <row r="59" spans="2:36" s="238" customFormat="1" x14ac:dyDescent="0.2">
      <c r="B59" s="697"/>
      <c r="C59" s="455"/>
      <c r="D59" s="455"/>
      <c r="E59" s="455"/>
      <c r="F59" s="455"/>
      <c r="G59" s="455"/>
      <c r="H59" s="455"/>
      <c r="I59" s="455"/>
      <c r="J59" s="455"/>
      <c r="K59" s="455"/>
      <c r="L59" s="455"/>
      <c r="M59" s="455"/>
      <c r="N59" s="397"/>
      <c r="O59" s="483"/>
      <c r="P59" s="455">
        <v>18</v>
      </c>
      <c r="Q59" s="455"/>
      <c r="R59" s="455" t="str">
        <f t="shared" si="10"/>
        <v/>
      </c>
      <c r="S59" s="455" t="str">
        <f t="shared" si="10"/>
        <v/>
      </c>
      <c r="T59" s="484"/>
      <c r="U59" s="455"/>
      <c r="V59" s="455"/>
      <c r="W59" s="455"/>
      <c r="X59" s="455"/>
      <c r="Y59" s="455"/>
      <c r="Z59" s="455"/>
      <c r="AA59" s="455"/>
      <c r="AB59" s="455"/>
      <c r="AC59" s="455"/>
      <c r="AD59" s="455"/>
      <c r="AE59" s="455"/>
      <c r="AF59" s="485"/>
      <c r="AG59" s="455"/>
      <c r="AH59" s="69"/>
      <c r="AI59" s="116"/>
      <c r="AJ59" s="116"/>
    </row>
    <row r="60" spans="2:36" s="238" customFormat="1" x14ac:dyDescent="0.2">
      <c r="B60" s="697"/>
      <c r="C60" s="455"/>
      <c r="D60" s="455"/>
      <c r="E60" s="455"/>
      <c r="F60" s="455"/>
      <c r="G60" s="455"/>
      <c r="H60" s="455"/>
      <c r="I60" s="455"/>
      <c r="J60" s="455"/>
      <c r="K60" s="455"/>
      <c r="L60" s="455"/>
      <c r="M60" s="455"/>
      <c r="N60" s="397"/>
      <c r="O60" s="483"/>
      <c r="P60" s="455">
        <v>19</v>
      </c>
      <c r="Q60" s="455"/>
      <c r="R60" s="455" t="str">
        <f t="shared" si="10"/>
        <v/>
      </c>
      <c r="S60" s="455" t="str">
        <f t="shared" si="10"/>
        <v/>
      </c>
      <c r="T60" s="484"/>
      <c r="U60" s="455"/>
      <c r="V60" s="455"/>
      <c r="W60" s="455"/>
      <c r="X60" s="455"/>
      <c r="Y60" s="455"/>
      <c r="Z60" s="455"/>
      <c r="AA60" s="455"/>
      <c r="AB60" s="455"/>
      <c r="AC60" s="455"/>
      <c r="AD60" s="455"/>
      <c r="AE60" s="455"/>
      <c r="AF60" s="485"/>
      <c r="AG60" s="455"/>
      <c r="AH60" s="69"/>
      <c r="AI60" s="116"/>
      <c r="AJ60" s="116"/>
    </row>
    <row r="61" spans="2:36" s="238" customFormat="1" x14ac:dyDescent="0.2">
      <c r="B61" s="697"/>
      <c r="C61" s="455"/>
      <c r="D61" s="455"/>
      <c r="E61" s="455"/>
      <c r="F61" s="455"/>
      <c r="G61" s="455"/>
      <c r="H61" s="455"/>
      <c r="I61" s="455"/>
      <c r="J61" s="455"/>
      <c r="K61" s="455"/>
      <c r="L61" s="455"/>
      <c r="M61" s="455"/>
      <c r="N61" s="397"/>
      <c r="O61" s="483"/>
      <c r="P61" s="455">
        <v>20</v>
      </c>
      <c r="Q61" s="455"/>
      <c r="R61" s="455" t="str">
        <f t="shared" si="10"/>
        <v/>
      </c>
      <c r="S61" s="455" t="str">
        <f t="shared" si="10"/>
        <v/>
      </c>
      <c r="T61" s="484"/>
      <c r="U61" s="455"/>
      <c r="V61" s="455"/>
      <c r="W61" s="455"/>
      <c r="X61" s="455"/>
      <c r="Y61" s="455"/>
      <c r="Z61" s="455"/>
      <c r="AA61" s="455"/>
      <c r="AB61" s="455"/>
      <c r="AC61" s="455"/>
      <c r="AD61" s="455"/>
      <c r="AE61" s="455"/>
      <c r="AF61" s="485"/>
      <c r="AG61" s="455"/>
      <c r="AH61" s="116"/>
      <c r="AI61" s="116"/>
      <c r="AJ61" s="116"/>
    </row>
    <row r="62" spans="2:36" s="238" customFormat="1" x14ac:dyDescent="0.2">
      <c r="B62" s="697"/>
      <c r="C62" s="455"/>
      <c r="D62" s="455"/>
      <c r="E62" s="455"/>
      <c r="F62" s="455"/>
      <c r="G62" s="455"/>
      <c r="H62" s="455"/>
      <c r="I62" s="455"/>
      <c r="J62" s="455"/>
      <c r="K62" s="455"/>
      <c r="L62" s="455"/>
      <c r="M62" s="455"/>
      <c r="N62" s="397"/>
      <c r="O62" s="483"/>
      <c r="P62" s="455">
        <v>21</v>
      </c>
      <c r="Q62" s="455"/>
      <c r="R62" s="455" t="str">
        <f t="shared" si="10"/>
        <v/>
      </c>
      <c r="S62" s="455" t="str">
        <f t="shared" si="10"/>
        <v/>
      </c>
      <c r="T62" s="484"/>
      <c r="U62" s="455"/>
      <c r="V62" s="455"/>
      <c r="W62" s="455"/>
      <c r="X62" s="455"/>
      <c r="Y62" s="455"/>
      <c r="Z62" s="455"/>
      <c r="AA62" s="455"/>
      <c r="AB62" s="455"/>
      <c r="AC62" s="455"/>
      <c r="AD62" s="455"/>
      <c r="AE62" s="455"/>
      <c r="AF62" s="485"/>
      <c r="AG62" s="455"/>
      <c r="AH62" s="116"/>
      <c r="AI62" s="116"/>
      <c r="AJ62" s="116"/>
    </row>
    <row r="63" spans="2:36" s="238" customFormat="1" x14ac:dyDescent="0.2">
      <c r="B63" s="697"/>
      <c r="C63" s="455"/>
      <c r="D63" s="455"/>
      <c r="E63" s="455"/>
      <c r="F63" s="455"/>
      <c r="G63" s="455"/>
      <c r="H63" s="455"/>
      <c r="I63" s="455"/>
      <c r="J63" s="455"/>
      <c r="K63" s="455"/>
      <c r="L63" s="455"/>
      <c r="M63" s="455"/>
      <c r="N63" s="397"/>
      <c r="O63" s="483"/>
      <c r="P63" s="455">
        <v>22</v>
      </c>
      <c r="Q63" s="455"/>
      <c r="R63" s="455" t="str">
        <f t="shared" si="10"/>
        <v/>
      </c>
      <c r="S63" s="455" t="str">
        <f t="shared" si="10"/>
        <v/>
      </c>
      <c r="T63" s="484"/>
      <c r="U63" s="455"/>
      <c r="V63" s="455"/>
      <c r="W63" s="455"/>
      <c r="X63" s="455"/>
      <c r="Y63" s="455"/>
      <c r="Z63" s="455"/>
      <c r="AA63" s="455"/>
      <c r="AB63" s="455"/>
      <c r="AC63" s="455"/>
      <c r="AD63" s="455"/>
      <c r="AE63" s="455"/>
      <c r="AF63" s="485"/>
      <c r="AG63" s="455"/>
      <c r="AH63" s="116"/>
      <c r="AI63" s="116"/>
      <c r="AJ63" s="116"/>
    </row>
    <row r="64" spans="2:36" s="238" customFormat="1" x14ac:dyDescent="0.2">
      <c r="B64" s="697"/>
      <c r="C64" s="455"/>
      <c r="D64" s="455"/>
      <c r="E64" s="455"/>
      <c r="F64" s="455"/>
      <c r="G64" s="455"/>
      <c r="H64" s="455"/>
      <c r="I64" s="455"/>
      <c r="J64" s="455"/>
      <c r="K64" s="455"/>
      <c r="L64" s="455"/>
      <c r="M64" s="455"/>
      <c r="N64" s="397"/>
      <c r="O64" s="483"/>
      <c r="P64" s="455">
        <v>23</v>
      </c>
      <c r="Q64" s="455"/>
      <c r="R64" s="455" t="str">
        <f t="shared" si="10"/>
        <v/>
      </c>
      <c r="S64" s="455" t="str">
        <f t="shared" si="10"/>
        <v/>
      </c>
      <c r="T64" s="484"/>
      <c r="U64" s="455"/>
      <c r="V64" s="455"/>
      <c r="W64" s="455"/>
      <c r="X64" s="455"/>
      <c r="Y64" s="455"/>
      <c r="Z64" s="455"/>
      <c r="AA64" s="455"/>
      <c r="AB64" s="455"/>
      <c r="AC64" s="455"/>
      <c r="AD64" s="455"/>
      <c r="AE64" s="455"/>
      <c r="AF64" s="485"/>
      <c r="AG64" s="455"/>
      <c r="AH64" s="350"/>
      <c r="AI64" s="116"/>
      <c r="AJ64" s="128"/>
    </row>
    <row r="65" spans="2:36" s="238" customFormat="1" x14ac:dyDescent="0.2">
      <c r="B65" s="697"/>
      <c r="C65" s="455"/>
      <c r="D65" s="455"/>
      <c r="E65" s="455"/>
      <c r="F65" s="455"/>
      <c r="G65" s="455"/>
      <c r="H65" s="455"/>
      <c r="I65" s="455"/>
      <c r="J65" s="455"/>
      <c r="K65" s="455"/>
      <c r="L65" s="455"/>
      <c r="M65" s="455"/>
      <c r="N65" s="397"/>
      <c r="O65" s="483"/>
      <c r="P65" s="455">
        <v>24</v>
      </c>
      <c r="Q65" s="455"/>
      <c r="R65" s="455" t="str">
        <f t="shared" si="10"/>
        <v/>
      </c>
      <c r="S65" s="455" t="str">
        <f t="shared" si="10"/>
        <v/>
      </c>
      <c r="T65" s="484"/>
      <c r="U65" s="455"/>
      <c r="V65" s="455"/>
      <c r="W65" s="455"/>
      <c r="X65" s="455"/>
      <c r="Y65" s="455"/>
      <c r="Z65" s="455"/>
      <c r="AA65" s="455"/>
      <c r="AB65" s="455"/>
      <c r="AC65" s="455"/>
      <c r="AD65" s="455"/>
      <c r="AE65" s="455"/>
      <c r="AF65" s="485"/>
      <c r="AG65" s="455"/>
      <c r="AH65" s="116"/>
      <c r="AI65" s="116"/>
      <c r="AJ65" s="116"/>
    </row>
    <row r="66" spans="2:36" s="238" customFormat="1" x14ac:dyDescent="0.2">
      <c r="B66" s="697"/>
      <c r="C66" s="455"/>
      <c r="D66" s="455"/>
      <c r="E66" s="455"/>
      <c r="F66" s="455"/>
      <c r="G66" s="455"/>
      <c r="H66" s="455"/>
      <c r="I66" s="455"/>
      <c r="J66" s="455"/>
      <c r="K66" s="455"/>
      <c r="L66" s="455"/>
      <c r="M66" s="455"/>
      <c r="N66" s="397"/>
      <c r="O66" s="483"/>
      <c r="P66" s="455">
        <v>25</v>
      </c>
      <c r="Q66" s="455"/>
      <c r="R66" s="455" t="str">
        <f t="shared" si="10"/>
        <v/>
      </c>
      <c r="S66" s="455" t="str">
        <f t="shared" si="10"/>
        <v/>
      </c>
      <c r="T66" s="484"/>
      <c r="U66" s="455"/>
      <c r="V66" s="455"/>
      <c r="W66" s="455"/>
      <c r="X66" s="455"/>
      <c r="Y66" s="455"/>
      <c r="Z66" s="455"/>
      <c r="AA66" s="455"/>
      <c r="AB66" s="455"/>
      <c r="AC66" s="455"/>
      <c r="AD66" s="455"/>
      <c r="AE66" s="455"/>
      <c r="AF66" s="485"/>
      <c r="AG66" s="455"/>
      <c r="AH66" s="116"/>
      <c r="AI66" s="116"/>
      <c r="AJ66" s="116"/>
    </row>
    <row r="67" spans="2:36" s="238" customFormat="1" x14ac:dyDescent="0.2">
      <c r="B67" s="697"/>
      <c r="C67" s="455"/>
      <c r="D67" s="455"/>
      <c r="E67" s="455"/>
      <c r="F67" s="455"/>
      <c r="G67" s="455"/>
      <c r="H67" s="455"/>
      <c r="I67" s="455"/>
      <c r="J67" s="455"/>
      <c r="K67" s="455"/>
      <c r="L67" s="455"/>
      <c r="M67" s="455"/>
      <c r="N67" s="397"/>
      <c r="O67" s="483"/>
      <c r="P67" s="455">
        <v>26</v>
      </c>
      <c r="Q67" s="455"/>
      <c r="R67" s="455" t="str">
        <f t="shared" si="10"/>
        <v/>
      </c>
      <c r="S67" s="455" t="str">
        <f t="shared" si="10"/>
        <v/>
      </c>
      <c r="T67" s="484"/>
      <c r="U67" s="455"/>
      <c r="V67" s="455"/>
      <c r="W67" s="455"/>
      <c r="X67" s="455"/>
      <c r="Y67" s="455"/>
      <c r="Z67" s="455"/>
      <c r="AA67" s="455"/>
      <c r="AB67" s="455"/>
      <c r="AC67" s="455"/>
      <c r="AD67" s="455"/>
      <c r="AE67" s="455"/>
      <c r="AF67" s="485"/>
      <c r="AG67" s="455"/>
      <c r="AH67" s="116"/>
      <c r="AI67" s="116"/>
      <c r="AJ67" s="116"/>
    </row>
    <row r="68" spans="2:36" s="238" customFormat="1" x14ac:dyDescent="0.2">
      <c r="B68" s="697"/>
      <c r="C68" s="455"/>
      <c r="D68" s="455"/>
      <c r="E68" s="455"/>
      <c r="F68" s="455"/>
      <c r="G68" s="455"/>
      <c r="H68" s="455"/>
      <c r="I68" s="455"/>
      <c r="J68" s="455"/>
      <c r="K68" s="455"/>
      <c r="L68" s="455"/>
      <c r="M68" s="455"/>
      <c r="N68" s="397"/>
      <c r="O68" s="483"/>
      <c r="P68" s="455">
        <v>27</v>
      </c>
      <c r="Q68" s="455"/>
      <c r="R68" s="455" t="str">
        <f t="shared" si="10"/>
        <v/>
      </c>
      <c r="S68" s="455" t="str">
        <f t="shared" si="10"/>
        <v/>
      </c>
      <c r="T68" s="484"/>
      <c r="U68" s="455"/>
      <c r="V68" s="455"/>
      <c r="W68" s="455"/>
      <c r="X68" s="455"/>
      <c r="Y68" s="455"/>
      <c r="Z68" s="455"/>
      <c r="AA68" s="455"/>
      <c r="AB68" s="455"/>
      <c r="AC68" s="455"/>
      <c r="AD68" s="455"/>
      <c r="AE68" s="455"/>
      <c r="AF68" s="485"/>
      <c r="AG68" s="455"/>
      <c r="AH68" s="116"/>
      <c r="AI68" s="116"/>
      <c r="AJ68" s="116"/>
    </row>
    <row r="69" spans="2:36" s="238" customFormat="1" x14ac:dyDescent="0.2">
      <c r="B69" s="697"/>
      <c r="C69" s="455"/>
      <c r="D69" s="455"/>
      <c r="E69" s="455"/>
      <c r="F69" s="455"/>
      <c r="G69" s="455"/>
      <c r="H69" s="455"/>
      <c r="I69" s="455"/>
      <c r="J69" s="455"/>
      <c r="K69" s="455"/>
      <c r="L69" s="455"/>
      <c r="M69" s="455"/>
      <c r="N69" s="397"/>
      <c r="O69" s="483"/>
      <c r="P69" s="455">
        <v>28</v>
      </c>
      <c r="Q69" s="455"/>
      <c r="R69" s="455" t="str">
        <f t="shared" si="10"/>
        <v/>
      </c>
      <c r="S69" s="455" t="str">
        <f t="shared" si="10"/>
        <v/>
      </c>
      <c r="T69" s="484"/>
      <c r="U69" s="455"/>
      <c r="V69" s="455"/>
      <c r="W69" s="455"/>
      <c r="X69" s="455"/>
      <c r="Y69" s="455"/>
      <c r="Z69" s="455"/>
      <c r="AA69" s="455"/>
      <c r="AB69" s="455"/>
      <c r="AC69" s="455"/>
      <c r="AD69" s="455"/>
      <c r="AE69" s="455"/>
      <c r="AF69" s="485"/>
      <c r="AG69" s="455"/>
      <c r="AH69" s="116"/>
      <c r="AI69" s="116"/>
      <c r="AJ69" s="116"/>
    </row>
    <row r="70" spans="2:36" s="238" customFormat="1" x14ac:dyDescent="0.2">
      <c r="B70" s="697"/>
      <c r="C70" s="455"/>
      <c r="D70" s="455"/>
      <c r="E70" s="455"/>
      <c r="F70" s="455"/>
      <c r="G70" s="455"/>
      <c r="H70" s="455"/>
      <c r="I70" s="455"/>
      <c r="J70" s="455"/>
      <c r="K70" s="455"/>
      <c r="L70" s="455"/>
      <c r="M70" s="455"/>
      <c r="N70" s="397"/>
      <c r="O70" s="483"/>
      <c r="P70" s="455">
        <v>29</v>
      </c>
      <c r="Q70" s="455"/>
      <c r="R70" s="455" t="str">
        <f t="shared" si="10"/>
        <v/>
      </c>
      <c r="S70" s="455" t="str">
        <f t="shared" si="10"/>
        <v/>
      </c>
      <c r="T70" s="484"/>
      <c r="U70" s="455"/>
      <c r="V70" s="455"/>
      <c r="W70" s="455"/>
      <c r="X70" s="455"/>
      <c r="Y70" s="455"/>
      <c r="Z70" s="455"/>
      <c r="AA70" s="455"/>
      <c r="AB70" s="455"/>
      <c r="AC70" s="455"/>
      <c r="AD70" s="455"/>
      <c r="AE70" s="455"/>
      <c r="AF70" s="485"/>
      <c r="AG70" s="455"/>
      <c r="AH70" s="116"/>
      <c r="AI70" s="116"/>
      <c r="AJ70" s="116"/>
    </row>
    <row r="71" spans="2:36" s="238" customFormat="1" x14ac:dyDescent="0.2">
      <c r="B71" s="697"/>
      <c r="C71" s="455"/>
      <c r="D71" s="455"/>
      <c r="E71" s="455"/>
      <c r="F71" s="455"/>
      <c r="G71" s="455"/>
      <c r="H71" s="455"/>
      <c r="I71" s="455"/>
      <c r="J71" s="455"/>
      <c r="K71" s="455"/>
      <c r="L71" s="455"/>
      <c r="M71" s="455"/>
      <c r="N71" s="397"/>
      <c r="O71" s="483"/>
      <c r="P71" s="455">
        <v>30</v>
      </c>
      <c r="Q71" s="455"/>
      <c r="R71" s="455" t="str">
        <f t="shared" si="10"/>
        <v/>
      </c>
      <c r="S71" s="455" t="str">
        <f t="shared" si="10"/>
        <v/>
      </c>
      <c r="T71" s="484"/>
      <c r="U71" s="455"/>
      <c r="V71" s="455"/>
      <c r="W71" s="455"/>
      <c r="X71" s="455"/>
      <c r="Y71" s="455"/>
      <c r="Z71" s="455"/>
      <c r="AA71" s="455"/>
      <c r="AB71" s="455"/>
      <c r="AC71" s="455"/>
      <c r="AD71" s="455"/>
      <c r="AE71" s="455"/>
      <c r="AF71" s="485"/>
      <c r="AG71" s="455"/>
      <c r="AH71" s="116"/>
      <c r="AI71" s="116"/>
      <c r="AJ71" s="116"/>
    </row>
    <row r="72" spans="2:36" s="238" customFormat="1" x14ac:dyDescent="0.2">
      <c r="B72" s="697"/>
      <c r="C72" s="455"/>
      <c r="D72" s="455"/>
      <c r="E72" s="455"/>
      <c r="F72" s="455"/>
      <c r="G72" s="455"/>
      <c r="H72" s="455"/>
      <c r="I72" s="455"/>
      <c r="J72" s="455"/>
      <c r="K72" s="455"/>
      <c r="L72" s="455"/>
      <c r="M72" s="455"/>
      <c r="N72" s="397"/>
      <c r="O72" s="483"/>
      <c r="P72" s="455">
        <v>31</v>
      </c>
      <c r="Q72" s="455"/>
      <c r="R72" s="455" t="str">
        <f t="shared" si="10"/>
        <v/>
      </c>
      <c r="S72" s="455" t="str">
        <f t="shared" si="10"/>
        <v/>
      </c>
      <c r="T72" s="484"/>
      <c r="U72" s="455"/>
      <c r="V72" s="455"/>
      <c r="W72" s="455"/>
      <c r="X72" s="455"/>
      <c r="Y72" s="455"/>
      <c r="Z72" s="455"/>
      <c r="AA72" s="455"/>
      <c r="AB72" s="455"/>
      <c r="AC72" s="455"/>
      <c r="AD72" s="455"/>
      <c r="AE72" s="455"/>
      <c r="AF72" s="485"/>
      <c r="AG72" s="455"/>
      <c r="AH72" s="116"/>
      <c r="AI72" s="116"/>
      <c r="AJ72" s="116"/>
    </row>
    <row r="73" spans="2:36" s="238" customFormat="1" x14ac:dyDescent="0.2">
      <c r="B73" s="697"/>
      <c r="C73" s="455"/>
      <c r="D73" s="455"/>
      <c r="E73" s="455"/>
      <c r="F73" s="455"/>
      <c r="G73" s="455"/>
      <c r="H73" s="455"/>
      <c r="I73" s="455"/>
      <c r="J73" s="455"/>
      <c r="K73" s="455"/>
      <c r="L73" s="455"/>
      <c r="M73" s="455"/>
      <c r="N73" s="397"/>
      <c r="O73" s="483"/>
      <c r="P73" s="455">
        <v>32</v>
      </c>
      <c r="Q73" s="455"/>
      <c r="R73" s="455" t="str">
        <f t="shared" si="10"/>
        <v/>
      </c>
      <c r="S73" s="455" t="str">
        <f t="shared" si="10"/>
        <v/>
      </c>
      <c r="T73" s="484"/>
      <c r="U73" s="455"/>
      <c r="V73" s="455"/>
      <c r="W73" s="455"/>
      <c r="X73" s="455"/>
      <c r="Y73" s="455"/>
      <c r="Z73" s="455"/>
      <c r="AA73" s="455"/>
      <c r="AB73" s="455"/>
      <c r="AC73" s="455"/>
      <c r="AD73" s="455"/>
      <c r="AE73" s="455"/>
      <c r="AF73" s="485"/>
      <c r="AG73" s="455"/>
      <c r="AH73" s="116"/>
      <c r="AI73" s="116"/>
      <c r="AJ73" s="116"/>
    </row>
    <row r="74" spans="2:36" s="238" customFormat="1" x14ac:dyDescent="0.2">
      <c r="B74" s="697"/>
      <c r="C74" s="455"/>
      <c r="D74" s="455"/>
      <c r="E74" s="455"/>
      <c r="F74" s="455"/>
      <c r="G74" s="455"/>
      <c r="H74" s="455"/>
      <c r="I74" s="455"/>
      <c r="J74" s="455"/>
      <c r="K74" s="455"/>
      <c r="L74" s="455"/>
      <c r="M74" s="455"/>
      <c r="N74" s="397"/>
      <c r="O74" s="483"/>
      <c r="P74" s="455">
        <v>33</v>
      </c>
      <c r="Q74" s="455"/>
      <c r="R74" s="455" t="str">
        <f t="shared" ref="R74:S77" si="11">IF(R36="","",IF(R36=K36,1,IF(R36&gt;K36,"",IF(R36&lt;K36,""))))</f>
        <v/>
      </c>
      <c r="S74" s="455" t="str">
        <f t="shared" si="11"/>
        <v/>
      </c>
      <c r="T74" s="484"/>
      <c r="U74" s="455"/>
      <c r="V74" s="455"/>
      <c r="W74" s="455"/>
      <c r="X74" s="455"/>
      <c r="Y74" s="455"/>
      <c r="Z74" s="455"/>
      <c r="AA74" s="455"/>
      <c r="AB74" s="455"/>
      <c r="AC74" s="455"/>
      <c r="AD74" s="455"/>
      <c r="AE74" s="455"/>
      <c r="AF74" s="485"/>
      <c r="AG74" s="455"/>
      <c r="AH74" s="116"/>
      <c r="AI74" s="116"/>
      <c r="AJ74" s="116"/>
    </row>
    <row r="75" spans="2:36" s="238" customFormat="1" x14ac:dyDescent="0.2">
      <c r="B75" s="697"/>
      <c r="C75" s="455"/>
      <c r="D75" s="455"/>
      <c r="E75" s="455"/>
      <c r="F75" s="455"/>
      <c r="G75" s="455"/>
      <c r="H75" s="455"/>
      <c r="I75" s="455"/>
      <c r="J75" s="455"/>
      <c r="K75" s="455"/>
      <c r="L75" s="455"/>
      <c r="M75" s="455"/>
      <c r="N75" s="397"/>
      <c r="O75" s="483"/>
      <c r="P75" s="455">
        <v>34</v>
      </c>
      <c r="Q75" s="455"/>
      <c r="R75" s="455" t="str">
        <f t="shared" si="11"/>
        <v/>
      </c>
      <c r="S75" s="455" t="str">
        <f t="shared" si="11"/>
        <v/>
      </c>
      <c r="T75" s="484"/>
      <c r="U75" s="455"/>
      <c r="V75" s="455"/>
      <c r="W75" s="455"/>
      <c r="X75" s="455"/>
      <c r="Y75" s="455"/>
      <c r="Z75" s="455"/>
      <c r="AA75" s="455"/>
      <c r="AB75" s="455"/>
      <c r="AC75" s="455"/>
      <c r="AD75" s="455"/>
      <c r="AE75" s="455"/>
      <c r="AF75" s="485"/>
      <c r="AG75" s="455"/>
      <c r="AH75" s="116"/>
      <c r="AI75" s="116"/>
      <c r="AJ75" s="116"/>
    </row>
    <row r="76" spans="2:36" s="238" customFormat="1" x14ac:dyDescent="0.2">
      <c r="B76" s="697"/>
      <c r="C76" s="455"/>
      <c r="D76" s="455"/>
      <c r="E76" s="455"/>
      <c r="F76" s="455"/>
      <c r="G76" s="455"/>
      <c r="H76" s="455"/>
      <c r="I76" s="455"/>
      <c r="J76" s="455"/>
      <c r="K76" s="455"/>
      <c r="L76" s="455"/>
      <c r="M76" s="455"/>
      <c r="N76" s="397"/>
      <c r="O76" s="483"/>
      <c r="P76" s="455">
        <v>35</v>
      </c>
      <c r="Q76" s="455"/>
      <c r="R76" s="455" t="str">
        <f t="shared" si="11"/>
        <v/>
      </c>
      <c r="S76" s="455" t="str">
        <f t="shared" si="11"/>
        <v/>
      </c>
      <c r="T76" s="484"/>
      <c r="U76" s="455"/>
      <c r="V76" s="455"/>
      <c r="W76" s="455"/>
      <c r="X76" s="455"/>
      <c r="Y76" s="455"/>
      <c r="Z76" s="455"/>
      <c r="AA76" s="455"/>
      <c r="AB76" s="455"/>
      <c r="AC76" s="455"/>
      <c r="AD76" s="455"/>
      <c r="AE76" s="455"/>
      <c r="AF76" s="485"/>
      <c r="AG76" s="455"/>
      <c r="AH76" s="116"/>
      <c r="AI76" s="116"/>
      <c r="AJ76" s="116"/>
    </row>
    <row r="77" spans="2:36" s="238" customFormat="1" x14ac:dyDescent="0.2">
      <c r="B77" s="697"/>
      <c r="C77" s="455"/>
      <c r="D77" s="455"/>
      <c r="E77" s="455"/>
      <c r="F77" s="455"/>
      <c r="G77" s="455"/>
      <c r="H77" s="455"/>
      <c r="I77" s="455"/>
      <c r="J77" s="455"/>
      <c r="K77" s="455"/>
      <c r="L77" s="455"/>
      <c r="M77" s="455"/>
      <c r="N77" s="397"/>
      <c r="O77" s="483"/>
      <c r="P77" s="455">
        <v>36</v>
      </c>
      <c r="Q77" s="455"/>
      <c r="R77" s="455" t="str">
        <f t="shared" si="11"/>
        <v/>
      </c>
      <c r="S77" s="455" t="str">
        <f t="shared" si="11"/>
        <v/>
      </c>
      <c r="T77" s="484"/>
      <c r="U77" s="455"/>
      <c r="V77" s="455"/>
      <c r="W77" s="455"/>
      <c r="X77" s="455"/>
      <c r="Y77" s="455"/>
      <c r="Z77" s="455"/>
      <c r="AA77" s="455"/>
      <c r="AB77" s="455"/>
      <c r="AC77" s="455"/>
      <c r="AD77" s="455"/>
      <c r="AE77" s="455"/>
      <c r="AF77" s="485"/>
      <c r="AG77" s="455"/>
      <c r="AH77" s="116"/>
      <c r="AI77" s="116"/>
      <c r="AJ77" s="116"/>
    </row>
    <row r="78" spans="2:36" s="238" customFormat="1" x14ac:dyDescent="0.2">
      <c r="B78" s="697"/>
      <c r="C78" s="455"/>
      <c r="D78" s="455"/>
      <c r="E78" s="455"/>
      <c r="F78" s="455"/>
      <c r="G78" s="455"/>
      <c r="H78" s="455"/>
      <c r="I78" s="455"/>
      <c r="J78" s="455"/>
      <c r="K78" s="455"/>
      <c r="L78" s="455"/>
      <c r="M78" s="455"/>
      <c r="N78" s="397"/>
      <c r="O78" s="483" t="e">
        <f>#REF!</f>
        <v>#REF!</v>
      </c>
      <c r="P78" s="455"/>
      <c r="Q78" s="455"/>
      <c r="R78" s="455">
        <f>COUNTIF(R42:R77,1)</f>
        <v>0</v>
      </c>
      <c r="S78" s="455">
        <f>COUNTIF(S42:S77,1)</f>
        <v>0</v>
      </c>
      <c r="T78" s="484"/>
      <c r="U78" s="455"/>
      <c r="V78" s="455"/>
      <c r="W78" s="455"/>
      <c r="X78" s="455"/>
      <c r="Y78" s="455"/>
      <c r="Z78" s="455"/>
      <c r="AA78" s="455"/>
      <c r="AB78" s="455"/>
      <c r="AC78" s="455"/>
      <c r="AD78" s="455"/>
      <c r="AE78" s="455"/>
      <c r="AF78" s="485"/>
      <c r="AG78" s="455"/>
      <c r="AH78" s="116"/>
      <c r="AI78" s="116"/>
      <c r="AJ78" s="116"/>
    </row>
    <row r="79" spans="2:36" s="238" customFormat="1" x14ac:dyDescent="0.2">
      <c r="B79" s="697"/>
      <c r="C79" s="455"/>
      <c r="D79" s="455"/>
      <c r="E79" s="455"/>
      <c r="F79" s="455"/>
      <c r="G79" s="455"/>
      <c r="H79" s="455"/>
      <c r="I79" s="455"/>
      <c r="J79" s="455"/>
      <c r="K79" s="455"/>
      <c r="L79" s="455"/>
      <c r="M79" s="455"/>
      <c r="N79" s="397"/>
      <c r="O79" s="483"/>
      <c r="P79" s="455"/>
      <c r="Q79" s="455"/>
      <c r="R79" s="455"/>
      <c r="S79" s="455"/>
      <c r="T79" s="484"/>
      <c r="U79" s="455"/>
      <c r="V79" s="455"/>
      <c r="W79" s="455"/>
      <c r="X79" s="455"/>
      <c r="Y79" s="455"/>
      <c r="Z79" s="455"/>
      <c r="AA79" s="455"/>
      <c r="AB79" s="455"/>
      <c r="AC79" s="455"/>
      <c r="AD79" s="455"/>
      <c r="AE79" s="455"/>
      <c r="AF79" s="485"/>
      <c r="AG79" s="455"/>
      <c r="AH79" s="116"/>
      <c r="AI79" s="116"/>
      <c r="AJ79" s="116"/>
    </row>
    <row r="80" spans="2:36" s="238" customFormat="1" x14ac:dyDescent="0.2">
      <c r="B80" s="697"/>
      <c r="C80" s="455"/>
      <c r="D80" s="455"/>
      <c r="E80" s="455"/>
      <c r="F80" s="455"/>
      <c r="G80" s="455"/>
      <c r="H80" s="455"/>
      <c r="I80" s="455"/>
      <c r="J80" s="455"/>
      <c r="K80" s="455"/>
      <c r="L80" s="455"/>
      <c r="M80" s="455"/>
      <c r="N80" s="397"/>
      <c r="O80" s="483"/>
      <c r="P80" s="455"/>
      <c r="Q80" s="455"/>
      <c r="R80" s="455"/>
      <c r="S80" s="455"/>
      <c r="T80" s="484"/>
      <c r="U80" s="455"/>
      <c r="V80" s="455"/>
      <c r="W80" s="455"/>
      <c r="X80" s="455"/>
      <c r="Y80" s="455"/>
      <c r="Z80" s="455"/>
      <c r="AA80" s="455"/>
      <c r="AB80" s="455"/>
      <c r="AC80" s="455"/>
      <c r="AD80" s="455"/>
      <c r="AE80" s="455"/>
      <c r="AF80" s="485"/>
      <c r="AG80" s="455"/>
      <c r="AH80" s="116"/>
      <c r="AI80" s="116"/>
      <c r="AJ80" s="116"/>
    </row>
    <row r="81" spans="2:36" s="238" customFormat="1" x14ac:dyDescent="0.2">
      <c r="B81" s="697"/>
      <c r="C81" s="455"/>
      <c r="D81" s="455"/>
      <c r="E81" s="455"/>
      <c r="F81" s="455"/>
      <c r="G81" s="455"/>
      <c r="H81" s="455"/>
      <c r="I81" s="455"/>
      <c r="J81" s="455"/>
      <c r="K81" s="455"/>
      <c r="L81" s="455"/>
      <c r="M81" s="455"/>
      <c r="N81" s="397"/>
      <c r="O81" s="483"/>
      <c r="P81" s="455"/>
      <c r="Q81" s="455"/>
      <c r="R81" s="455"/>
      <c r="S81" s="455"/>
      <c r="T81" s="484"/>
      <c r="U81" s="455"/>
      <c r="V81" s="455"/>
      <c r="W81" s="455"/>
      <c r="X81" s="455"/>
      <c r="Y81" s="455"/>
      <c r="Z81" s="455"/>
      <c r="AA81" s="455"/>
      <c r="AB81" s="455"/>
      <c r="AC81" s="455"/>
      <c r="AD81" s="455"/>
      <c r="AE81" s="455"/>
      <c r="AF81" s="485"/>
      <c r="AG81" s="455"/>
      <c r="AH81" s="116"/>
      <c r="AI81" s="116"/>
      <c r="AJ81" s="116"/>
    </row>
    <row r="82" spans="2:36" s="238" customFormat="1" x14ac:dyDescent="0.2">
      <c r="B82" s="697"/>
      <c r="C82" s="455"/>
      <c r="D82" s="455"/>
      <c r="E82" s="455"/>
      <c r="F82" s="455"/>
      <c r="G82" s="455"/>
      <c r="H82" s="455"/>
      <c r="I82" s="455"/>
      <c r="J82" s="455"/>
      <c r="K82" s="455"/>
      <c r="L82" s="455"/>
      <c r="M82" s="455"/>
      <c r="N82" s="397"/>
      <c r="O82" s="483"/>
      <c r="P82" s="455"/>
      <c r="Q82" s="455"/>
      <c r="R82" s="455"/>
      <c r="S82" s="455"/>
      <c r="T82" s="484"/>
      <c r="U82" s="455"/>
      <c r="V82" s="455"/>
      <c r="W82" s="455"/>
      <c r="X82" s="455"/>
      <c r="Y82" s="455"/>
      <c r="Z82" s="455"/>
      <c r="AA82" s="455"/>
      <c r="AB82" s="455"/>
      <c r="AC82" s="455"/>
      <c r="AD82" s="455"/>
      <c r="AE82" s="455"/>
      <c r="AF82" s="485"/>
      <c r="AG82" s="455"/>
      <c r="AH82" s="116"/>
      <c r="AI82" s="116"/>
      <c r="AJ82" s="116"/>
    </row>
    <row r="83" spans="2:36" s="238" customFormat="1" x14ac:dyDescent="0.2">
      <c r="B83" s="697"/>
      <c r="C83" s="455"/>
      <c r="D83" s="455"/>
      <c r="E83" s="455"/>
      <c r="F83" s="455"/>
      <c r="G83" s="455"/>
      <c r="H83" s="455"/>
      <c r="I83" s="455"/>
      <c r="J83" s="455"/>
      <c r="K83" s="455"/>
      <c r="L83" s="455"/>
      <c r="M83" s="455"/>
      <c r="N83" s="397"/>
      <c r="O83" s="483"/>
      <c r="P83" s="455"/>
      <c r="Q83" s="455"/>
      <c r="R83" s="455"/>
      <c r="S83" s="455"/>
      <c r="T83" s="484"/>
      <c r="U83" s="455"/>
      <c r="V83" s="455"/>
      <c r="W83" s="455"/>
      <c r="X83" s="455"/>
      <c r="Y83" s="455"/>
      <c r="Z83" s="455"/>
      <c r="AA83" s="455"/>
      <c r="AB83" s="455"/>
      <c r="AC83" s="455"/>
      <c r="AD83" s="455"/>
      <c r="AE83" s="455"/>
      <c r="AF83" s="485"/>
      <c r="AG83" s="455"/>
      <c r="AH83" s="89"/>
      <c r="AI83" s="116"/>
      <c r="AJ83" s="116"/>
    </row>
    <row r="84" spans="2:36" s="238" customFormat="1" x14ac:dyDescent="0.2">
      <c r="B84" s="697"/>
      <c r="C84" s="455"/>
      <c r="D84" s="455"/>
      <c r="E84" s="455"/>
      <c r="F84" s="455"/>
      <c r="G84" s="455"/>
      <c r="H84" s="455"/>
      <c r="I84" s="455"/>
      <c r="J84" s="455"/>
      <c r="K84" s="455"/>
      <c r="L84" s="455"/>
      <c r="M84" s="455"/>
      <c r="N84" s="397"/>
      <c r="O84" s="483"/>
      <c r="P84" s="455"/>
      <c r="Q84" s="455"/>
      <c r="R84" s="455"/>
      <c r="S84" s="455"/>
      <c r="T84" s="484"/>
      <c r="U84" s="455"/>
      <c r="V84" s="455"/>
      <c r="W84" s="455"/>
      <c r="X84" s="455"/>
      <c r="Y84" s="455"/>
      <c r="Z84" s="455"/>
      <c r="AA84" s="455"/>
      <c r="AB84" s="455"/>
      <c r="AC84" s="455"/>
      <c r="AD84" s="455"/>
      <c r="AE84" s="455"/>
      <c r="AF84" s="485"/>
      <c r="AG84" s="455"/>
      <c r="AH84" s="89"/>
      <c r="AI84" s="116"/>
      <c r="AJ84" s="116"/>
    </row>
    <row r="85" spans="2:36" s="238" customFormat="1" x14ac:dyDescent="0.2">
      <c r="B85" s="697"/>
      <c r="C85" s="455"/>
      <c r="D85" s="455"/>
      <c r="E85" s="455"/>
      <c r="F85" s="455"/>
      <c r="G85" s="455"/>
      <c r="H85" s="455"/>
      <c r="I85" s="455"/>
      <c r="J85" s="455"/>
      <c r="K85" s="455"/>
      <c r="L85" s="455"/>
      <c r="M85" s="455"/>
      <c r="N85" s="397"/>
      <c r="O85" s="483"/>
      <c r="P85" s="455"/>
      <c r="Q85" s="455"/>
      <c r="R85" s="455"/>
      <c r="S85" s="455"/>
      <c r="T85" s="484"/>
      <c r="U85" s="455"/>
      <c r="V85" s="455"/>
      <c r="W85" s="455"/>
      <c r="X85" s="455"/>
      <c r="Y85" s="455"/>
      <c r="Z85" s="455"/>
      <c r="AA85" s="455"/>
      <c r="AB85" s="455"/>
      <c r="AC85" s="455"/>
      <c r="AD85" s="455"/>
      <c r="AE85" s="455"/>
      <c r="AF85" s="485"/>
      <c r="AG85" s="455"/>
      <c r="AH85" s="89"/>
      <c r="AI85" s="89"/>
      <c r="AJ85" s="116"/>
    </row>
    <row r="86" spans="2:36" s="238" customFormat="1" x14ac:dyDescent="0.2">
      <c r="B86" s="697"/>
      <c r="C86" s="455"/>
      <c r="D86" s="455"/>
      <c r="E86" s="455"/>
      <c r="F86" s="455"/>
      <c r="G86" s="455"/>
      <c r="H86" s="455"/>
      <c r="I86" s="455"/>
      <c r="J86" s="455"/>
      <c r="K86" s="455"/>
      <c r="L86" s="455"/>
      <c r="M86" s="455"/>
      <c r="N86" s="397"/>
      <c r="O86" s="483"/>
      <c r="P86" s="455"/>
      <c r="Q86" s="455"/>
      <c r="R86" s="455"/>
      <c r="S86" s="455"/>
      <c r="T86" s="484"/>
      <c r="U86" s="455"/>
      <c r="V86" s="455"/>
      <c r="W86" s="455"/>
      <c r="X86" s="455"/>
      <c r="Y86" s="455"/>
      <c r="Z86" s="455"/>
      <c r="AA86" s="455"/>
      <c r="AB86" s="455"/>
      <c r="AC86" s="455"/>
      <c r="AD86" s="455"/>
      <c r="AE86" s="455"/>
      <c r="AF86" s="485"/>
      <c r="AG86" s="455"/>
      <c r="AH86" s="89"/>
      <c r="AI86" s="89"/>
      <c r="AJ86" s="116"/>
    </row>
    <row r="87" spans="2:36" s="238" customFormat="1" x14ac:dyDescent="0.2">
      <c r="B87" s="697"/>
      <c r="C87" s="455"/>
      <c r="D87" s="455"/>
      <c r="E87" s="455"/>
      <c r="F87" s="455"/>
      <c r="G87" s="455"/>
      <c r="H87" s="455"/>
      <c r="I87" s="455"/>
      <c r="J87" s="455"/>
      <c r="K87" s="455"/>
      <c r="L87" s="455"/>
      <c r="M87" s="455"/>
      <c r="N87" s="397"/>
      <c r="O87" s="483"/>
      <c r="P87" s="455"/>
      <c r="Q87" s="455"/>
      <c r="R87" s="455"/>
      <c r="S87" s="455"/>
      <c r="T87" s="484"/>
      <c r="U87" s="455"/>
      <c r="V87" s="455"/>
      <c r="W87" s="455"/>
      <c r="X87" s="455"/>
      <c r="Y87" s="455"/>
      <c r="Z87" s="455"/>
      <c r="AA87" s="455"/>
      <c r="AB87" s="455"/>
      <c r="AC87" s="455"/>
      <c r="AD87" s="455"/>
      <c r="AE87" s="455"/>
      <c r="AF87" s="485"/>
      <c r="AG87" s="455"/>
      <c r="AH87" s="89"/>
      <c r="AI87" s="89"/>
      <c r="AJ87" s="116"/>
    </row>
    <row r="88" spans="2:36" s="238" customFormat="1" x14ac:dyDescent="0.2">
      <c r="B88" s="697"/>
      <c r="C88" s="455"/>
      <c r="D88" s="455"/>
      <c r="E88" s="455"/>
      <c r="F88" s="455"/>
      <c r="G88" s="455"/>
      <c r="H88" s="455"/>
      <c r="I88" s="455"/>
      <c r="J88" s="455"/>
      <c r="K88" s="455"/>
      <c r="L88" s="455"/>
      <c r="M88" s="455"/>
      <c r="N88" s="397"/>
      <c r="O88" s="483"/>
      <c r="P88" s="455"/>
      <c r="Q88" s="455"/>
      <c r="R88" s="455"/>
      <c r="S88" s="455"/>
      <c r="T88" s="484"/>
      <c r="U88" s="455"/>
      <c r="V88" s="455"/>
      <c r="W88" s="455"/>
      <c r="X88" s="455"/>
      <c r="Y88" s="455"/>
      <c r="Z88" s="455"/>
      <c r="AA88" s="455"/>
      <c r="AB88" s="455"/>
      <c r="AC88" s="455"/>
      <c r="AD88" s="455"/>
      <c r="AE88" s="455"/>
      <c r="AF88" s="485"/>
      <c r="AG88" s="455"/>
      <c r="AH88" s="89"/>
      <c r="AI88" s="89"/>
      <c r="AJ88" s="116"/>
    </row>
    <row r="89" spans="2:36" s="238" customFormat="1" x14ac:dyDescent="0.2">
      <c r="B89" s="697"/>
      <c r="C89" s="455"/>
      <c r="D89" s="455"/>
      <c r="E89" s="455"/>
      <c r="F89" s="455"/>
      <c r="G89" s="455"/>
      <c r="H89" s="455"/>
      <c r="I89" s="455"/>
      <c r="J89" s="455"/>
      <c r="K89" s="455"/>
      <c r="L89" s="455"/>
      <c r="M89" s="455"/>
      <c r="N89" s="397"/>
      <c r="O89" s="483"/>
      <c r="P89" s="455"/>
      <c r="Q89" s="455"/>
      <c r="R89" s="455"/>
      <c r="S89" s="455"/>
      <c r="T89" s="484"/>
      <c r="U89" s="455"/>
      <c r="V89" s="455"/>
      <c r="W89" s="455"/>
      <c r="X89" s="455"/>
      <c r="Y89" s="455"/>
      <c r="Z89" s="455"/>
      <c r="AA89" s="455"/>
      <c r="AB89" s="455"/>
      <c r="AC89" s="455"/>
      <c r="AD89" s="455"/>
      <c r="AE89" s="455"/>
      <c r="AF89" s="485"/>
      <c r="AG89" s="455"/>
      <c r="AH89" s="69"/>
      <c r="AI89" s="69"/>
      <c r="AJ89" s="365"/>
    </row>
    <row r="90" spans="2:36" s="238" customFormat="1" x14ac:dyDescent="0.2">
      <c r="B90" s="697"/>
      <c r="C90" s="455"/>
      <c r="D90" s="455"/>
      <c r="E90" s="455"/>
      <c r="F90" s="455"/>
      <c r="G90" s="455"/>
      <c r="H90" s="455"/>
      <c r="I90" s="455"/>
      <c r="J90" s="455"/>
      <c r="K90" s="455"/>
      <c r="L90" s="455"/>
      <c r="M90" s="455"/>
      <c r="N90" s="397"/>
      <c r="O90" s="483"/>
      <c r="P90" s="455"/>
      <c r="Q90" s="455"/>
      <c r="R90" s="455"/>
      <c r="S90" s="455"/>
      <c r="T90" s="484"/>
      <c r="U90" s="455"/>
      <c r="V90" s="455"/>
      <c r="W90" s="455"/>
      <c r="X90" s="455"/>
      <c r="Y90" s="455"/>
      <c r="Z90" s="455"/>
      <c r="AA90" s="455"/>
      <c r="AB90" s="455"/>
      <c r="AC90" s="455"/>
      <c r="AD90" s="455"/>
      <c r="AE90" s="455"/>
      <c r="AF90" s="485"/>
      <c r="AG90" s="455"/>
      <c r="AH90" s="69"/>
      <c r="AI90" s="69"/>
      <c r="AJ90" s="365"/>
    </row>
    <row r="91" spans="2:36" s="238" customFormat="1" x14ac:dyDescent="0.2">
      <c r="B91" s="697"/>
      <c r="C91" s="455"/>
      <c r="D91" s="455"/>
      <c r="E91" s="455"/>
      <c r="F91" s="455"/>
      <c r="G91" s="455"/>
      <c r="H91" s="455"/>
      <c r="I91" s="455"/>
      <c r="J91" s="455"/>
      <c r="K91" s="455"/>
      <c r="L91" s="455"/>
      <c r="M91" s="455"/>
      <c r="N91" s="397"/>
      <c r="O91" s="483"/>
      <c r="P91" s="455"/>
      <c r="Q91" s="455"/>
      <c r="R91" s="455"/>
      <c r="S91" s="455"/>
      <c r="T91" s="484"/>
      <c r="U91" s="455"/>
      <c r="V91" s="455"/>
      <c r="W91" s="455"/>
      <c r="X91" s="455"/>
      <c r="Y91" s="455"/>
      <c r="Z91" s="455"/>
      <c r="AA91" s="455"/>
      <c r="AB91" s="455"/>
      <c r="AC91" s="455"/>
      <c r="AD91" s="455"/>
      <c r="AE91" s="455"/>
      <c r="AF91" s="485"/>
      <c r="AG91" s="455"/>
      <c r="AH91" s="69"/>
      <c r="AI91" s="69"/>
      <c r="AJ91" s="365"/>
    </row>
    <row r="92" spans="2:36" s="238" customFormat="1" x14ac:dyDescent="0.2">
      <c r="B92" s="697"/>
      <c r="C92" s="455"/>
      <c r="D92" s="455"/>
      <c r="E92" s="455"/>
      <c r="F92" s="455"/>
      <c r="G92" s="455"/>
      <c r="H92" s="455"/>
      <c r="I92" s="455"/>
      <c r="J92" s="455"/>
      <c r="K92" s="455"/>
      <c r="L92" s="455"/>
      <c r="M92" s="455"/>
      <c r="N92" s="397"/>
      <c r="O92" s="483"/>
      <c r="P92" s="455"/>
      <c r="Q92" s="455"/>
      <c r="R92" s="455"/>
      <c r="S92" s="455"/>
      <c r="T92" s="484"/>
      <c r="U92" s="455"/>
      <c r="V92" s="455"/>
      <c r="W92" s="455"/>
      <c r="X92" s="455"/>
      <c r="Y92" s="455"/>
      <c r="Z92" s="455"/>
      <c r="AA92" s="455"/>
      <c r="AB92" s="455"/>
      <c r="AC92" s="455"/>
      <c r="AD92" s="455"/>
      <c r="AE92" s="455"/>
      <c r="AF92" s="485"/>
      <c r="AG92" s="455"/>
      <c r="AH92" s="69"/>
      <c r="AI92" s="69"/>
      <c r="AJ92" s="365"/>
    </row>
    <row r="93" spans="2:36" x14ac:dyDescent="0.2">
      <c r="B93" s="697"/>
      <c r="AJ93" s="365"/>
    </row>
    <row r="94" spans="2:36" x14ac:dyDescent="0.2">
      <c r="B94" s="697"/>
      <c r="AJ94" s="365"/>
    </row>
    <row r="95" spans="2:36" x14ac:dyDescent="0.2">
      <c r="B95" s="697"/>
      <c r="AJ95" s="365"/>
    </row>
    <row r="96" spans="2:36" x14ac:dyDescent="0.2">
      <c r="B96" s="697"/>
      <c r="AJ96" s="365"/>
    </row>
    <row r="97" spans="36:36" x14ac:dyDescent="0.2">
      <c r="AJ97" s="365"/>
    </row>
    <row r="98" spans="36:36" x14ac:dyDescent="0.2">
      <c r="AJ98" s="365"/>
    </row>
    <row r="99" spans="36:36" x14ac:dyDescent="0.2">
      <c r="AJ99" s="365"/>
    </row>
    <row r="100" spans="36:36" x14ac:dyDescent="0.2">
      <c r="AJ100" s="365"/>
    </row>
    <row r="101" spans="36:36" x14ac:dyDescent="0.2">
      <c r="AJ101" s="365"/>
    </row>
    <row r="102" spans="36:36" x14ac:dyDescent="0.2">
      <c r="AJ102" s="365"/>
    </row>
    <row r="103" spans="36:36" x14ac:dyDescent="0.2">
      <c r="AJ103" s="365"/>
    </row>
    <row r="104" spans="36:36" x14ac:dyDescent="0.2">
      <c r="AJ104" s="365"/>
    </row>
    <row r="105" spans="36:36" x14ac:dyDescent="0.2">
      <c r="AJ105" s="365"/>
    </row>
    <row r="106" spans="36:36" x14ac:dyDescent="0.2">
      <c r="AJ106" s="365"/>
    </row>
    <row r="107" spans="36:36" x14ac:dyDescent="0.2">
      <c r="AJ107" s="365"/>
    </row>
    <row r="108" spans="36:36" x14ac:dyDescent="0.2">
      <c r="AJ108" s="365"/>
    </row>
    <row r="109" spans="36:36" x14ac:dyDescent="0.2">
      <c r="AJ109" s="365"/>
    </row>
    <row r="110" spans="36:36" x14ac:dyDescent="0.2">
      <c r="AJ110" s="365"/>
    </row>
    <row r="111" spans="36:36" x14ac:dyDescent="0.2">
      <c r="AJ111" s="365"/>
    </row>
    <row r="112" spans="36:36" x14ac:dyDescent="0.2">
      <c r="AJ112" s="365"/>
    </row>
    <row r="113" spans="36:36" x14ac:dyDescent="0.2">
      <c r="AJ113" s="365"/>
    </row>
    <row r="114" spans="36:36" x14ac:dyDescent="0.2">
      <c r="AJ114" s="365"/>
    </row>
    <row r="115" spans="36:36" x14ac:dyDescent="0.2">
      <c r="AJ115" s="365"/>
    </row>
    <row r="116" spans="36:36" x14ac:dyDescent="0.2">
      <c r="AJ116" s="365"/>
    </row>
    <row r="117" spans="36:36" x14ac:dyDescent="0.2">
      <c r="AJ117" s="365"/>
    </row>
    <row r="118" spans="36:36" x14ac:dyDescent="0.2">
      <c r="AJ118" s="365"/>
    </row>
    <row r="119" spans="36:36" x14ac:dyDescent="0.2">
      <c r="AJ119" s="365"/>
    </row>
    <row r="120" spans="36:36" x14ac:dyDescent="0.2">
      <c r="AJ120" s="365"/>
    </row>
    <row r="121" spans="36:36" x14ac:dyDescent="0.2">
      <c r="AJ121" s="365"/>
    </row>
    <row r="122" spans="36:36" x14ac:dyDescent="0.2">
      <c r="AJ122" s="365"/>
    </row>
    <row r="123" spans="36:36" x14ac:dyDescent="0.2">
      <c r="AJ123" s="365"/>
    </row>
    <row r="124" spans="36:36" x14ac:dyDescent="0.2">
      <c r="AJ124" s="365"/>
    </row>
    <row r="125" spans="36:36" x14ac:dyDescent="0.2">
      <c r="AJ125" s="365"/>
    </row>
    <row r="126" spans="36:36" x14ac:dyDescent="0.2">
      <c r="AJ126" s="365"/>
    </row>
    <row r="127" spans="36:36" x14ac:dyDescent="0.2">
      <c r="AJ127" s="365"/>
    </row>
    <row r="128" spans="36:36" x14ac:dyDescent="0.2">
      <c r="AJ128" s="365"/>
    </row>
    <row r="129" spans="36:36" x14ac:dyDescent="0.2">
      <c r="AJ129" s="365"/>
    </row>
    <row r="130" spans="36:36" x14ac:dyDescent="0.2">
      <c r="AJ130" s="365"/>
    </row>
    <row r="131" spans="36:36" x14ac:dyDescent="0.2">
      <c r="AJ131" s="365"/>
    </row>
    <row r="132" spans="36:36" x14ac:dyDescent="0.2">
      <c r="AJ132" s="365"/>
    </row>
    <row r="133" spans="36:36" x14ac:dyDescent="0.2">
      <c r="AJ133" s="365"/>
    </row>
    <row r="134" spans="36:36" x14ac:dyDescent="0.2">
      <c r="AJ134" s="365"/>
    </row>
    <row r="135" spans="36:36" x14ac:dyDescent="0.2">
      <c r="AJ135" s="365"/>
    </row>
    <row r="136" spans="36:36" x14ac:dyDescent="0.2">
      <c r="AJ136" s="365"/>
    </row>
    <row r="137" spans="36:36" x14ac:dyDescent="0.2">
      <c r="AJ137" s="365"/>
    </row>
    <row r="138" spans="36:36" x14ac:dyDescent="0.2">
      <c r="AJ138" s="365"/>
    </row>
    <row r="139" spans="36:36" x14ac:dyDescent="0.2">
      <c r="AJ139" s="365"/>
    </row>
    <row r="140" spans="36:36" x14ac:dyDescent="0.2">
      <c r="AJ140" s="365"/>
    </row>
    <row r="141" spans="36:36" x14ac:dyDescent="0.2">
      <c r="AJ141" s="365"/>
    </row>
    <row r="142" spans="36:36" x14ac:dyDescent="0.2">
      <c r="AJ142" s="365"/>
    </row>
    <row r="143" spans="36:36" x14ac:dyDescent="0.2">
      <c r="AJ143" s="365"/>
    </row>
    <row r="144" spans="36:36" x14ac:dyDescent="0.2">
      <c r="AJ144" s="365"/>
    </row>
    <row r="145" spans="36:36" x14ac:dyDescent="0.2">
      <c r="AJ145" s="365"/>
    </row>
    <row r="146" spans="36:36" x14ac:dyDescent="0.2">
      <c r="AJ146" s="365"/>
    </row>
    <row r="147" spans="36:36" x14ac:dyDescent="0.2">
      <c r="AJ147" s="365"/>
    </row>
    <row r="148" spans="36:36" x14ac:dyDescent="0.2">
      <c r="AJ148" s="365"/>
    </row>
    <row r="149" spans="36:36" x14ac:dyDescent="0.2">
      <c r="AJ149" s="365"/>
    </row>
    <row r="150" spans="36:36" x14ac:dyDescent="0.2">
      <c r="AJ150" s="365"/>
    </row>
    <row r="151" spans="36:36" x14ac:dyDescent="0.2">
      <c r="AJ151" s="365"/>
    </row>
    <row r="152" spans="36:36" x14ac:dyDescent="0.2">
      <c r="AJ152" s="365"/>
    </row>
    <row r="153" spans="36:36" x14ac:dyDescent="0.2">
      <c r="AJ153" s="365"/>
    </row>
    <row r="154" spans="36:36" x14ac:dyDescent="0.2">
      <c r="AJ154" s="365"/>
    </row>
    <row r="155" spans="36:36" x14ac:dyDescent="0.2">
      <c r="AJ155" s="365"/>
    </row>
    <row r="156" spans="36:36" x14ac:dyDescent="0.2">
      <c r="AJ156" s="365"/>
    </row>
    <row r="157" spans="36:36" x14ac:dyDescent="0.2">
      <c r="AJ157" s="365"/>
    </row>
    <row r="158" spans="36:36" x14ac:dyDescent="0.2">
      <c r="AJ158" s="365"/>
    </row>
    <row r="159" spans="36:36" x14ac:dyDescent="0.2">
      <c r="AJ159" s="365"/>
    </row>
    <row r="160" spans="36:36" x14ac:dyDescent="0.2">
      <c r="AJ160" s="365"/>
    </row>
    <row r="161" spans="36:36" x14ac:dyDescent="0.2">
      <c r="AJ161" s="365"/>
    </row>
    <row r="162" spans="36:36" x14ac:dyDescent="0.2">
      <c r="AJ162" s="365"/>
    </row>
    <row r="163" spans="36:36" x14ac:dyDescent="0.2">
      <c r="AJ163" s="365"/>
    </row>
    <row r="164" spans="36:36" x14ac:dyDescent="0.2">
      <c r="AJ164" s="365"/>
    </row>
    <row r="165" spans="36:36" x14ac:dyDescent="0.2">
      <c r="AJ165" s="365"/>
    </row>
    <row r="166" spans="36:36" x14ac:dyDescent="0.2">
      <c r="AJ166" s="365"/>
    </row>
    <row r="167" spans="36:36" x14ac:dyDescent="0.2">
      <c r="AJ167" s="365"/>
    </row>
    <row r="168" spans="36:36" x14ac:dyDescent="0.2">
      <c r="AJ168" s="365"/>
    </row>
    <row r="169" spans="36:36" x14ac:dyDescent="0.2">
      <c r="AJ169" s="365"/>
    </row>
    <row r="170" spans="36:36" x14ac:dyDescent="0.2">
      <c r="AJ170" s="365"/>
    </row>
    <row r="171" spans="36:36" x14ac:dyDescent="0.2">
      <c r="AJ171" s="365"/>
    </row>
    <row r="172" spans="36:36" x14ac:dyDescent="0.2">
      <c r="AJ172" s="365"/>
    </row>
    <row r="173" spans="36:36" x14ac:dyDescent="0.2">
      <c r="AJ173" s="365"/>
    </row>
    <row r="174" spans="36:36" x14ac:dyDescent="0.2">
      <c r="AJ174" s="365"/>
    </row>
    <row r="175" spans="36:36" x14ac:dyDescent="0.2">
      <c r="AJ175" s="365"/>
    </row>
    <row r="176" spans="36:36" x14ac:dyDescent="0.2">
      <c r="AJ176" s="365"/>
    </row>
    <row r="177" spans="36:36" x14ac:dyDescent="0.2">
      <c r="AJ177" s="365"/>
    </row>
    <row r="178" spans="36:36" x14ac:dyDescent="0.2">
      <c r="AJ178" s="365"/>
    </row>
    <row r="179" spans="36:36" x14ac:dyDescent="0.2">
      <c r="AJ179" s="365"/>
    </row>
    <row r="180" spans="36:36" x14ac:dyDescent="0.2">
      <c r="AJ180" s="365"/>
    </row>
    <row r="181" spans="36:36" x14ac:dyDescent="0.2">
      <c r="AJ181" s="365"/>
    </row>
    <row r="182" spans="36:36" x14ac:dyDescent="0.2">
      <c r="AJ182" s="365"/>
    </row>
    <row r="183" spans="36:36" x14ac:dyDescent="0.2">
      <c r="AJ183" s="365"/>
    </row>
    <row r="184" spans="36:36" x14ac:dyDescent="0.2">
      <c r="AJ184" s="365"/>
    </row>
    <row r="185" spans="36:36" x14ac:dyDescent="0.2">
      <c r="AJ185" s="365"/>
    </row>
    <row r="186" spans="36:36" x14ac:dyDescent="0.2">
      <c r="AJ186" s="365"/>
    </row>
  </sheetData>
  <sheetProtection algorithmName="SHA-512" hashValue="eRzKsHoMjDqvvJTgYDNf6Yq3XMWihAKS0xESGbQ4cfXBCgrW76vDd4csIyeADPuvkHMuMC4WVVPb6J6GQF9pNg==" saltValue="cdfnLQHGKTqVksKCtZvqTQ==" spinCount="100000" sheet="1" objects="1" scenarios="1"/>
  <mergeCells count="24">
    <mergeCell ref="AQ14:AQ15"/>
    <mergeCell ref="AR13:AR15"/>
    <mergeCell ref="U2:W2"/>
    <mergeCell ref="Y2:AA2"/>
    <mergeCell ref="AC2:AE2"/>
    <mergeCell ref="AM11:AM12"/>
    <mergeCell ref="AP11:AP12"/>
    <mergeCell ref="AR11:AR12"/>
    <mergeCell ref="Q41:T41"/>
    <mergeCell ref="E1:I1"/>
    <mergeCell ref="K1:S1"/>
    <mergeCell ref="U1:AE1"/>
    <mergeCell ref="AG1:AS1"/>
    <mergeCell ref="AM9:AM10"/>
    <mergeCell ref="AP9:AP10"/>
    <mergeCell ref="AR9:AR10"/>
    <mergeCell ref="AM5:AM6"/>
    <mergeCell ref="AP5:AP6"/>
    <mergeCell ref="AR5:AR6"/>
    <mergeCell ref="AM7:AM8"/>
    <mergeCell ref="AP7:AP8"/>
    <mergeCell ref="AR7:AR8"/>
    <mergeCell ref="AM13:AM15"/>
    <mergeCell ref="AP13:AP15"/>
  </mergeCells>
  <conditionalFormatting sqref="T40">
    <cfRule type="cellIs" dxfId="1452" priority="277" stopIfTrue="1" operator="equal">
      <formula>0</formula>
    </cfRule>
    <cfRule type="cellIs" dxfId="1451" priority="278" stopIfTrue="1" operator="equal">
      <formula>"B"</formula>
    </cfRule>
    <cfRule type="cellIs" dxfId="1450" priority="279" stopIfTrue="1" operator="equal">
      <formula>"C-"</formula>
    </cfRule>
    <cfRule type="cellIs" dxfId="1449" priority="280" stopIfTrue="1" operator="equal">
      <formula>""""""</formula>
    </cfRule>
    <cfRule type="cellIs" dxfId="1448" priority="281" stopIfTrue="1" operator="equal">
      <formula>"E"</formula>
    </cfRule>
    <cfRule type="cellIs" dxfId="1447" priority="282" stopIfTrue="1" operator="equal">
      <formula>"B"</formula>
    </cfRule>
    <cfRule type="cellIs" dxfId="1446" priority="283" stopIfTrue="1" operator="equal">
      <formula>"B"</formula>
    </cfRule>
    <cfRule type="cellIs" dxfId="1445" priority="284" stopIfTrue="1" operator="equal">
      <formula>"D"</formula>
    </cfRule>
    <cfRule type="cellIs" dxfId="1444" priority="285" stopIfTrue="1" operator="equal">
      <formula>"E"</formula>
    </cfRule>
    <cfRule type="cellIs" dxfId="1443" priority="286" stopIfTrue="1" operator="equal">
      <formula>"A"</formula>
    </cfRule>
    <cfRule type="cellIs" dxfId="1442" priority="287" stopIfTrue="1" operator="equal">
      <formula>"B"</formula>
    </cfRule>
    <cfRule type="cellIs" dxfId="1441" priority="288" stopIfTrue="1" operator="equal">
      <formula>"B"</formula>
    </cfRule>
  </conditionalFormatting>
  <conditionalFormatting sqref="K36:K39">
    <cfRule type="expression" dxfId="1440" priority="275">
      <formula>$N36="nee"</formula>
    </cfRule>
    <cfRule type="expression" dxfId="1439" priority="276">
      <formula>$N36="ja"</formula>
    </cfRule>
  </conditionalFormatting>
  <conditionalFormatting sqref="K29:K35">
    <cfRule type="cellIs" dxfId="1438" priority="272" stopIfTrue="1" operator="equal">
      <formula>"VWO"</formula>
    </cfRule>
    <cfRule type="cellIs" dxfId="1437" priority="273" stopIfTrue="1" operator="equal">
      <formula>"HAVO"</formula>
    </cfRule>
    <cfRule type="cellIs" dxfId="1436" priority="274" stopIfTrue="1" operator="equal">
      <formula>"HAVO-VWO"</formula>
    </cfRule>
  </conditionalFormatting>
  <conditionalFormatting sqref="K4:K21 K28:K35">
    <cfRule type="cellIs" dxfId="1435" priority="269" stopIfTrue="1" operator="equal">
      <formula>"VWO"</formula>
    </cfRule>
    <cfRule type="cellIs" dxfId="1434" priority="270" stopIfTrue="1" operator="equal">
      <formula>"HAVO"</formula>
    </cfRule>
    <cfRule type="cellIs" dxfId="1433" priority="271" stopIfTrue="1" operator="equal">
      <formula>"HAVO-VWO"</formula>
    </cfRule>
  </conditionalFormatting>
  <conditionalFormatting sqref="K21:K29">
    <cfRule type="cellIs" dxfId="1432" priority="266" stopIfTrue="1" operator="equal">
      <formula>"VWO"</formula>
    </cfRule>
    <cfRule type="cellIs" dxfId="1431" priority="267" stopIfTrue="1" operator="equal">
      <formula>"HAVO"</formula>
    </cfRule>
    <cfRule type="cellIs" dxfId="1430" priority="268" stopIfTrue="1" operator="equal">
      <formula>"HAVO-VWO"</formula>
    </cfRule>
  </conditionalFormatting>
  <conditionalFormatting sqref="L40">
    <cfRule type="cellIs" dxfId="1429" priority="263" stopIfTrue="1" operator="between">
      <formula>0.001</formula>
      <formula>1.999</formula>
    </cfRule>
    <cfRule type="cellIs" dxfId="1428" priority="264" stopIfTrue="1" operator="between">
      <formula>3</formula>
      <formula>3.999</formula>
    </cfRule>
    <cfRule type="cellIs" dxfId="1427" priority="265" stopIfTrue="1" operator="between">
      <formula>4</formula>
      <formula>5</formula>
    </cfRule>
  </conditionalFormatting>
  <conditionalFormatting sqref="H40">
    <cfRule type="cellIs" dxfId="1426" priority="248" stopIfTrue="1" operator="between">
      <formula>0.001</formula>
      <formula>1.999</formula>
    </cfRule>
    <cfRule type="cellIs" dxfId="1425" priority="249" stopIfTrue="1" operator="between">
      <formula>3</formula>
      <formula>3.999</formula>
    </cfRule>
    <cfRule type="cellIs" dxfId="1424" priority="250" stopIfTrue="1" operator="between">
      <formula>4</formula>
      <formula>5</formula>
    </cfRule>
  </conditionalFormatting>
  <conditionalFormatting sqref="G35:G39">
    <cfRule type="expression" dxfId="1423" priority="260">
      <formula>$N35="nee"</formula>
    </cfRule>
    <cfRule type="expression" dxfId="1422" priority="261">
      <formula>$N35="ja"</formula>
    </cfRule>
  </conditionalFormatting>
  <conditionalFormatting sqref="G29:G34">
    <cfRule type="cellIs" dxfId="1421" priority="257" stopIfTrue="1" operator="equal">
      <formula>"VWO"</formula>
    </cfRule>
    <cfRule type="cellIs" dxfId="1420" priority="258" stopIfTrue="1" operator="equal">
      <formula>"HAVO"</formula>
    </cfRule>
    <cfRule type="cellIs" dxfId="1419" priority="259" stopIfTrue="1" operator="equal">
      <formula>"HAVO-VWO"</formula>
    </cfRule>
  </conditionalFormatting>
  <conditionalFormatting sqref="G28">
    <cfRule type="cellIs" dxfId="1418" priority="254" stopIfTrue="1" operator="equal">
      <formula>"VWO"</formula>
    </cfRule>
    <cfRule type="cellIs" dxfId="1417" priority="255" stopIfTrue="1" operator="equal">
      <formula>"HAVO"</formula>
    </cfRule>
    <cfRule type="cellIs" dxfId="1416" priority="256" stopIfTrue="1" operator="equal">
      <formula>"HAVO-VWO"</formula>
    </cfRule>
  </conditionalFormatting>
  <conditionalFormatting sqref="G24:G29">
    <cfRule type="cellIs" dxfId="1415" priority="251" stopIfTrue="1" operator="equal">
      <formula>"VWO"</formula>
    </cfRule>
    <cfRule type="cellIs" dxfId="1414" priority="252" stopIfTrue="1" operator="equal">
      <formula>"HAVO"</formula>
    </cfRule>
    <cfRule type="cellIs" dxfId="1413" priority="253" stopIfTrue="1" operator="equal">
      <formula>"HAVO-VWO"</formula>
    </cfRule>
  </conditionalFormatting>
  <conditionalFormatting sqref="G4:G17">
    <cfRule type="cellIs" dxfId="1412" priority="179" stopIfTrue="1" operator="equal">
      <formula>"VWO"</formula>
    </cfRule>
    <cfRule type="cellIs" dxfId="1411" priority="180" stopIfTrue="1" operator="equal">
      <formula>"HAVO"</formula>
    </cfRule>
    <cfRule type="cellIs" dxfId="1410" priority="181" stopIfTrue="1" operator="equal">
      <formula>"HAVO-VWO"</formula>
    </cfRule>
  </conditionalFormatting>
  <conditionalFormatting sqref="G23">
    <cfRule type="cellIs" dxfId="1409" priority="176" stopIfTrue="1" operator="equal">
      <formula>"VWO"</formula>
    </cfRule>
    <cfRule type="cellIs" dxfId="1408" priority="177" stopIfTrue="1" operator="equal">
      <formula>"HAVO"</formula>
    </cfRule>
    <cfRule type="cellIs" dxfId="1407" priority="178" stopIfTrue="1" operator="equal">
      <formula>"HAVO-VWO"</formula>
    </cfRule>
  </conditionalFormatting>
  <conditionalFormatting sqref="G17:G21">
    <cfRule type="cellIs" dxfId="1406" priority="164" stopIfTrue="1" operator="equal">
      <formula>"VWO"</formula>
    </cfRule>
    <cfRule type="cellIs" dxfId="1405" priority="165" stopIfTrue="1" operator="equal">
      <formula>"HAVO"</formula>
    </cfRule>
    <cfRule type="cellIs" dxfId="1404" priority="166" stopIfTrue="1" operator="equal">
      <formula>"HAVO-VWO"</formula>
    </cfRule>
  </conditionalFormatting>
  <conditionalFormatting sqref="G21:G23">
    <cfRule type="cellIs" dxfId="1403" priority="161" stopIfTrue="1" operator="equal">
      <formula>"VWO"</formula>
    </cfRule>
    <cfRule type="cellIs" dxfId="1402" priority="162" stopIfTrue="1" operator="equal">
      <formula>"HAVO"</formula>
    </cfRule>
    <cfRule type="cellIs" dxfId="1401" priority="163" stopIfTrue="1" operator="equal">
      <formula>"HAVO-VWO"</formula>
    </cfRule>
  </conditionalFormatting>
  <conditionalFormatting sqref="U4:W39">
    <cfRule type="cellIs" dxfId="1400" priority="160" operator="equal">
      <formula>"x"</formula>
    </cfRule>
  </conditionalFormatting>
  <conditionalFormatting sqref="Y4:Y39 AA4:AA39 Z4:Z34">
    <cfRule type="cellIs" dxfId="1399" priority="159" operator="equal">
      <formula>"x"</formula>
    </cfRule>
  </conditionalFormatting>
  <conditionalFormatting sqref="AC4:AF39">
    <cfRule type="cellIs" dxfId="1398" priority="158" operator="equal">
      <formula>"x"</formula>
    </cfRule>
  </conditionalFormatting>
  <conditionalFormatting sqref="I40">
    <cfRule type="cellIs" dxfId="1397" priority="122" stopIfTrue="1" operator="between">
      <formula>0.001</formula>
      <formula>1.999</formula>
    </cfRule>
    <cfRule type="cellIs" dxfId="1396" priority="123" stopIfTrue="1" operator="between">
      <formula>3</formula>
      <formula>3.999</formula>
    </cfRule>
    <cfRule type="cellIs" dxfId="1395" priority="124" stopIfTrue="1" operator="between">
      <formula>4</formula>
      <formula>5</formula>
    </cfRule>
  </conditionalFormatting>
  <conditionalFormatting sqref="P40:Q40">
    <cfRule type="cellIs" dxfId="1394" priority="107" stopIfTrue="1" operator="between">
      <formula>0.001</formula>
      <formula>1.999</formula>
    </cfRule>
    <cfRule type="cellIs" dxfId="1393" priority="108" stopIfTrue="1" operator="between">
      <formula>3</formula>
      <formula>3.999</formula>
    </cfRule>
    <cfRule type="cellIs" dxfId="1392" priority="109" stopIfTrue="1" operator="between">
      <formula>4</formula>
      <formula>5</formula>
    </cfRule>
  </conditionalFormatting>
  <conditionalFormatting sqref="S40">
    <cfRule type="cellIs" dxfId="1391" priority="95" stopIfTrue="1" operator="equal">
      <formula>0</formula>
    </cfRule>
    <cfRule type="cellIs" dxfId="1390" priority="96" stopIfTrue="1" operator="equal">
      <formula>"B"</formula>
    </cfRule>
    <cfRule type="cellIs" dxfId="1389" priority="97" stopIfTrue="1" operator="equal">
      <formula>"C-"</formula>
    </cfRule>
    <cfRule type="cellIs" dxfId="1388" priority="98" stopIfTrue="1" operator="equal">
      <formula>""""""</formula>
    </cfRule>
    <cfRule type="cellIs" dxfId="1387" priority="99" stopIfTrue="1" operator="equal">
      <formula>"E"</formula>
    </cfRule>
    <cfRule type="cellIs" dxfId="1386" priority="100" stopIfTrue="1" operator="equal">
      <formula>"B"</formula>
    </cfRule>
    <cfRule type="cellIs" dxfId="1385" priority="101" stopIfTrue="1" operator="equal">
      <formula>"B"</formula>
    </cfRule>
    <cfRule type="cellIs" dxfId="1384" priority="102" stopIfTrue="1" operator="equal">
      <formula>"D"</formula>
    </cfRule>
    <cfRule type="cellIs" dxfId="1383" priority="103" stopIfTrue="1" operator="equal">
      <formula>"E"</formula>
    </cfRule>
    <cfRule type="cellIs" dxfId="1382" priority="104" stopIfTrue="1" operator="equal">
      <formula>"A"</formula>
    </cfRule>
    <cfRule type="cellIs" dxfId="1381" priority="105" stopIfTrue="1" operator="equal">
      <formula>"B"</formula>
    </cfRule>
    <cfRule type="cellIs" dxfId="1380" priority="106" stopIfTrue="1" operator="equal">
      <formula>"B"</formula>
    </cfRule>
  </conditionalFormatting>
  <conditionalFormatting sqref="M40">
    <cfRule type="cellIs" dxfId="1379" priority="92" stopIfTrue="1" operator="between">
      <formula>0.001</formula>
      <formula>1.999</formula>
    </cfRule>
    <cfRule type="cellIs" dxfId="1378" priority="93" stopIfTrue="1" operator="between">
      <formula>3</formula>
      <formula>3.999</formula>
    </cfRule>
    <cfRule type="cellIs" dxfId="1377" priority="94" stopIfTrue="1" operator="between">
      <formula>4</formula>
      <formula>5</formula>
    </cfRule>
  </conditionalFormatting>
  <conditionalFormatting sqref="G29">
    <cfRule type="cellIs" dxfId="1376" priority="89" stopIfTrue="1" operator="equal">
      <formula>"VWO"</formula>
    </cfRule>
    <cfRule type="cellIs" dxfId="1375" priority="90" stopIfTrue="1" operator="equal">
      <formula>"HAVO"</formula>
    </cfRule>
    <cfRule type="cellIs" dxfId="1374" priority="91" stopIfTrue="1" operator="equal">
      <formula>"HAVO-VWO"</formula>
    </cfRule>
  </conditionalFormatting>
  <conditionalFormatting sqref="G24">
    <cfRule type="cellIs" dxfId="1373" priority="86" stopIfTrue="1" operator="equal">
      <formula>"VWO"</formula>
    </cfRule>
    <cfRule type="cellIs" dxfId="1372" priority="87" stopIfTrue="1" operator="equal">
      <formula>"HAVO"</formula>
    </cfRule>
    <cfRule type="cellIs" dxfId="1371" priority="88" stopIfTrue="1" operator="equal">
      <formula>"HAVO-VWO"</formula>
    </cfRule>
  </conditionalFormatting>
  <conditionalFormatting sqref="G29">
    <cfRule type="cellIs" dxfId="1370" priority="83" stopIfTrue="1" operator="equal">
      <formula>"VWO"</formula>
    </cfRule>
    <cfRule type="cellIs" dxfId="1369" priority="84" stopIfTrue="1" operator="equal">
      <formula>"HAVO"</formula>
    </cfRule>
    <cfRule type="cellIs" dxfId="1368" priority="85" stopIfTrue="1" operator="equal">
      <formula>"HAVO-VWO"</formula>
    </cfRule>
  </conditionalFormatting>
  <conditionalFormatting sqref="G30:G34">
    <cfRule type="cellIs" dxfId="1367" priority="80" stopIfTrue="1" operator="equal">
      <formula>"VWO"</formula>
    </cfRule>
    <cfRule type="cellIs" dxfId="1366" priority="81" stopIfTrue="1" operator="equal">
      <formula>"HAVO"</formula>
    </cfRule>
    <cfRule type="cellIs" dxfId="1365" priority="82" stopIfTrue="1" operator="equal">
      <formula>"HAVO-VWO"</formula>
    </cfRule>
  </conditionalFormatting>
  <conditionalFormatting sqref="G25">
    <cfRule type="cellIs" dxfId="1364" priority="77" stopIfTrue="1" operator="equal">
      <formula>"VWO"</formula>
    </cfRule>
    <cfRule type="cellIs" dxfId="1363" priority="78" stopIfTrue="1" operator="equal">
      <formula>"HAVO"</formula>
    </cfRule>
    <cfRule type="cellIs" dxfId="1362" priority="79" stopIfTrue="1" operator="equal">
      <formula>"HAVO-VWO"</formula>
    </cfRule>
  </conditionalFormatting>
  <conditionalFormatting sqref="E35:E39">
    <cfRule type="expression" dxfId="1361" priority="75">
      <formula>$N35="nee"</formula>
    </cfRule>
    <cfRule type="expression" dxfId="1360" priority="76">
      <formula>$N35="ja"</formula>
    </cfRule>
  </conditionalFormatting>
  <conditionalFormatting sqref="E29:E34">
    <cfRule type="cellIs" dxfId="1359" priority="72" stopIfTrue="1" operator="equal">
      <formula>"VWO"</formula>
    </cfRule>
    <cfRule type="cellIs" dxfId="1358" priority="73" stopIfTrue="1" operator="equal">
      <formula>"HAVO"</formula>
    </cfRule>
    <cfRule type="cellIs" dxfId="1357" priority="74" stopIfTrue="1" operator="equal">
      <formula>"HAVO-VWO"</formula>
    </cfRule>
  </conditionalFormatting>
  <conditionalFormatting sqref="E4:E21 E28:E34">
    <cfRule type="cellIs" dxfId="1356" priority="69" stopIfTrue="1" operator="equal">
      <formula>"VWO"</formula>
    </cfRule>
    <cfRule type="cellIs" dxfId="1355" priority="70" stopIfTrue="1" operator="equal">
      <formula>"HAVO"</formula>
    </cfRule>
    <cfRule type="cellIs" dxfId="1354" priority="71" stopIfTrue="1" operator="equal">
      <formula>"HAVO-VWO"</formula>
    </cfRule>
  </conditionalFormatting>
  <conditionalFormatting sqref="E21:E29">
    <cfRule type="cellIs" dxfId="1353" priority="66" stopIfTrue="1" operator="equal">
      <formula>"VWO"</formula>
    </cfRule>
    <cfRule type="cellIs" dxfId="1352" priority="67" stopIfTrue="1" operator="equal">
      <formula>"HAVO"</formula>
    </cfRule>
    <cfRule type="cellIs" dxfId="1351" priority="68" stopIfTrue="1" operator="equal">
      <formula>"HAVO-VWO"</formula>
    </cfRule>
  </conditionalFormatting>
  <conditionalFormatting sqref="N4:N39">
    <cfRule type="cellIs" dxfId="1350" priority="64" operator="equal">
      <formula>"nee"</formula>
    </cfRule>
    <cfRule type="cellIs" dxfId="1349" priority="65" operator="equal">
      <formula>"ja"</formula>
    </cfRule>
  </conditionalFormatting>
  <conditionalFormatting sqref="R40">
    <cfRule type="cellIs" dxfId="1348" priority="50" stopIfTrue="1" operator="between">
      <formula>0.001</formula>
      <formula>1.999</formula>
    </cfRule>
    <cfRule type="cellIs" dxfId="1347" priority="51" stopIfTrue="1" operator="between">
      <formula>3</formula>
      <formula>3.999</formula>
    </cfRule>
    <cfRule type="cellIs" dxfId="1346" priority="52" stopIfTrue="1" operator="between">
      <formula>4</formula>
      <formula>5</formula>
    </cfRule>
  </conditionalFormatting>
  <conditionalFormatting sqref="AH4:AH39">
    <cfRule type="expression" dxfId="1345" priority="27">
      <formula>$AJ4=TRUE</formula>
    </cfRule>
  </conditionalFormatting>
  <conditionalFormatting sqref="AG37:AG39">
    <cfRule type="expression" dxfId="1344" priority="25">
      <formula>$N37="nee"</formula>
    </cfRule>
    <cfRule type="expression" dxfId="1343" priority="26">
      <formula>$N37="ja"</formula>
    </cfRule>
  </conditionalFormatting>
  <conditionalFormatting sqref="AG36">
    <cfRule type="expression" dxfId="1342" priority="23">
      <formula>$N36="nee"</formula>
    </cfRule>
    <cfRule type="expression" dxfId="1341" priority="24">
      <formula>$N36="ja"</formula>
    </cfRule>
  </conditionalFormatting>
  <conditionalFormatting sqref="AG29:AG35">
    <cfRule type="cellIs" dxfId="1340" priority="20" stopIfTrue="1" operator="equal">
      <formula>"VWO"</formula>
    </cfRule>
    <cfRule type="cellIs" dxfId="1339" priority="21" stopIfTrue="1" operator="equal">
      <formula>"HAVO"</formula>
    </cfRule>
    <cfRule type="cellIs" dxfId="1338" priority="22" stopIfTrue="1" operator="equal">
      <formula>"HAVO-VWO"</formula>
    </cfRule>
  </conditionalFormatting>
  <conditionalFormatting sqref="AG4:AG21 AG28:AG35">
    <cfRule type="cellIs" dxfId="1337" priority="17" stopIfTrue="1" operator="equal">
      <formula>"VWO"</formula>
    </cfRule>
    <cfRule type="cellIs" dxfId="1336" priority="18" stopIfTrue="1" operator="equal">
      <formula>"HAVO"</formula>
    </cfRule>
    <cfRule type="cellIs" dxfId="1335" priority="19" stopIfTrue="1" operator="equal">
      <formula>"HAVO-VWO"</formula>
    </cfRule>
  </conditionalFormatting>
  <conditionalFormatting sqref="AG21:AG29">
    <cfRule type="cellIs" dxfId="1334" priority="14" stopIfTrue="1" operator="equal">
      <formula>"VWO"</formula>
    </cfRule>
    <cfRule type="cellIs" dxfId="1333" priority="15" stopIfTrue="1" operator="equal">
      <formula>"HAVO"</formula>
    </cfRule>
    <cfRule type="cellIs" dxfId="1332" priority="16" stopIfTrue="1" operator="equal">
      <formula>"HAVO-VWO"</formula>
    </cfRule>
  </conditionalFormatting>
  <conditionalFormatting sqref="AG4:AG39">
    <cfRule type="cellIs" dxfId="1331" priority="13" operator="equal">
      <formula>"VWO+"</formula>
    </cfRule>
  </conditionalFormatting>
  <conditionalFormatting sqref="AB40 X40">
    <cfRule type="cellIs" dxfId="1330" priority="1" stopIfTrue="1" operator="equal">
      <formula>0</formula>
    </cfRule>
    <cfRule type="cellIs" dxfId="1329" priority="2" stopIfTrue="1" operator="equal">
      <formula>"B"</formula>
    </cfRule>
    <cfRule type="cellIs" dxfId="1328" priority="3" stopIfTrue="1" operator="equal">
      <formula>"C-"</formula>
    </cfRule>
    <cfRule type="cellIs" dxfId="1327" priority="4" stopIfTrue="1" operator="equal">
      <formula>""""""</formula>
    </cfRule>
    <cfRule type="cellIs" dxfId="1326" priority="5" stopIfTrue="1" operator="equal">
      <formula>"E"</formula>
    </cfRule>
    <cfRule type="cellIs" dxfId="1325" priority="6" stopIfTrue="1" operator="equal">
      <formula>"B"</formula>
    </cfRule>
    <cfRule type="cellIs" dxfId="1324" priority="7" stopIfTrue="1" operator="equal">
      <formula>"B"</formula>
    </cfRule>
    <cfRule type="cellIs" dxfId="1323" priority="8" stopIfTrue="1" operator="equal">
      <formula>"D"</formula>
    </cfRule>
    <cfRule type="cellIs" dxfId="1322" priority="9" stopIfTrue="1" operator="equal">
      <formula>"E"</formula>
    </cfRule>
    <cfRule type="cellIs" dxfId="1321" priority="10" stopIfTrue="1" operator="equal">
      <formula>"A"</formula>
    </cfRule>
    <cfRule type="cellIs" dxfId="1320" priority="11" stopIfTrue="1" operator="equal">
      <formula>"B"</formula>
    </cfRule>
    <cfRule type="cellIs" dxfId="1319" priority="12" stopIfTrue="1" operator="equal">
      <formula>"B"</formula>
    </cfRule>
  </conditionalFormatting>
  <dataValidations count="4">
    <dataValidation type="list" allowBlank="1" showInputMessage="1" showErrorMessage="1" sqref="E4:E39 G4:G39 K4:K39" xr:uid="{00000000-0002-0000-2200-000000000000}">
      <formula1>"PRO/BB,BB,BB/KB,KB,KB/TL,TL,TL/HAVO,HAVO,HAVO/VWO,VWO,"</formula1>
    </dataValidation>
    <dataValidation type="list" allowBlank="1" showInputMessage="1" showErrorMessage="1" sqref="N4:N39" xr:uid="{00000000-0002-0000-2200-000001000000}">
      <formula1>"ja,nee,"</formula1>
    </dataValidation>
    <dataValidation allowBlank="1" showInputMessage="1" showErrorMessage="1" promptTitle="Nieuwe regel:" prompt="druk op: Alt-Enter" sqref="AH21:AH24 AH26:AH29 AH31:AH34 AH36:AH39 AH16:AH19" xr:uid="{00000000-0002-0000-2200-000002000000}"/>
    <dataValidation type="list" allowBlank="1" showInputMessage="1" showErrorMessage="1" sqref="AG4:AG39" xr:uid="{D266EF2A-60F4-45F3-972A-1FE7B28C29A2}">
      <formula1>"PRO/BB,BB,BB/KB,KB,KB/TL,TL,TL/HAVO,HAVO,HAVO/VWO,VWO,VWO+,"</formula1>
    </dataValidation>
  </dataValidations>
  <pageMargins left="0.39370078740157483" right="0.23622047244094491" top="0.59055118110236227" bottom="0.23622047244094491" header="0.27559055118110237" footer="0.15748031496062992"/>
  <pageSetup paperSize="9" scale="62" orientation="landscape" r:id="rId1"/>
  <headerFooter alignWithMargins="0">
    <oddFooter>&amp;R© www.meesterharrie.nl</oddFooter>
  </headerFooter>
  <colBreaks count="1" manualBreakCount="1">
    <brk id="34" max="39" man="1"/>
  </colBreaks>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CCFFFF"/>
    <pageSetUpPr fitToPage="1"/>
  </sheetPr>
  <dimension ref="A1:AA189"/>
  <sheetViews>
    <sheetView showGridLines="0" showRowColHeaders="0" zoomScale="90" zoomScaleNormal="90" workbookViewId="0"/>
  </sheetViews>
  <sheetFormatPr defaultColWidth="9.140625" defaultRowHeight="12.75" x14ac:dyDescent="0.2"/>
  <cols>
    <col min="1" max="1" width="3.140625" style="69" customWidth="1"/>
    <col min="2" max="2" width="3.140625" style="70" bestFit="1" customWidth="1"/>
    <col min="3" max="3" width="11.85546875" style="74" bestFit="1" customWidth="1"/>
    <col min="4" max="4" width="3.140625" style="75" customWidth="1"/>
    <col min="5" max="5" width="5.85546875" style="74" customWidth="1"/>
    <col min="6" max="6" width="20.85546875" style="74" customWidth="1"/>
    <col min="7" max="7" width="5.85546875" style="74" customWidth="1"/>
    <col min="8" max="9" width="5.85546875" style="76" customWidth="1"/>
    <col min="10" max="10" width="3.140625" style="76" customWidth="1"/>
    <col min="11" max="11" width="5.85546875" style="76" customWidth="1"/>
    <col min="12" max="12" width="5.85546875" style="74" customWidth="1"/>
    <col min="13" max="13" width="5.85546875" style="69" customWidth="1"/>
    <col min="14" max="14" width="3.140625" style="69" customWidth="1"/>
    <col min="15" max="15" width="4.85546875" style="69" bestFit="1" customWidth="1"/>
    <col min="16" max="16" width="60.85546875" style="69" customWidth="1"/>
    <col min="17" max="17" width="6.85546875" style="69" customWidth="1"/>
    <col min="18" max="22" width="7.140625" style="73" customWidth="1"/>
    <col min="23" max="25" width="6.85546875" style="73" customWidth="1"/>
    <col min="26" max="26" width="6.140625" style="73" customWidth="1"/>
    <col min="27" max="27" width="9.140625" style="73"/>
    <col min="28" max="16384" width="9.140625" style="69"/>
  </cols>
  <sheetData>
    <row r="1" spans="1:24" s="66" customFormat="1" ht="30" customHeight="1" thickBot="1" x14ac:dyDescent="0.45">
      <c r="B1" s="615"/>
      <c r="C1" s="1128" t="s">
        <v>265</v>
      </c>
      <c r="D1" s="1129"/>
      <c r="E1" s="1129"/>
      <c r="F1" s="1129"/>
      <c r="G1" s="1129"/>
      <c r="H1" s="1129"/>
      <c r="I1" s="1129"/>
      <c r="J1" s="1129"/>
      <c r="K1" s="1230">
        <f>BEGINBLAD!$I$2</f>
        <v>0</v>
      </c>
      <c r="L1" s="1230"/>
      <c r="M1" s="1230"/>
      <c r="N1" s="1230"/>
      <c r="O1" s="1230"/>
      <c r="P1" s="239"/>
      <c r="X1" s="68"/>
    </row>
    <row r="2" spans="1:24" ht="24" customHeight="1" x14ac:dyDescent="0.2">
      <c r="C2" s="1130" t="str">
        <f>BEGINBLAD!$N$2</f>
        <v>nov.</v>
      </c>
      <c r="D2" s="1130"/>
      <c r="E2" s="241"/>
      <c r="F2" s="691" t="str">
        <f>BEGINBLAD!$O$2</f>
        <v>apr.</v>
      </c>
      <c r="G2" s="1131">
        <f>BEGINBLAD!$P$2</f>
        <v>2021</v>
      </c>
      <c r="H2" s="1131"/>
      <c r="I2" s="1131"/>
      <c r="M2" s="71"/>
      <c r="N2" s="72"/>
      <c r="O2" s="72"/>
    </row>
    <row r="3" spans="1:24" ht="13.5" thickBot="1" x14ac:dyDescent="0.25">
      <c r="M3" s="77"/>
      <c r="N3" s="77"/>
      <c r="O3" s="77"/>
      <c r="P3" s="77"/>
    </row>
    <row r="4" spans="1:24" ht="140.1" customHeight="1" x14ac:dyDescent="0.2">
      <c r="C4" s="78"/>
      <c r="D4" s="79"/>
      <c r="E4" s="80"/>
      <c r="F4" s="81" t="s">
        <v>44</v>
      </c>
      <c r="G4" s="82" t="s">
        <v>266</v>
      </c>
      <c r="H4" s="83" t="s">
        <v>267</v>
      </c>
      <c r="I4" s="84" t="s">
        <v>268</v>
      </c>
      <c r="J4" s="85" t="s">
        <v>269</v>
      </c>
      <c r="K4" s="82" t="s">
        <v>266</v>
      </c>
      <c r="L4" s="86" t="s">
        <v>270</v>
      </c>
      <c r="M4" s="87" t="s">
        <v>271</v>
      </c>
      <c r="N4" s="88"/>
      <c r="O4" s="88"/>
    </row>
    <row r="5" spans="1:24" ht="19.5" customHeight="1" x14ac:dyDescent="0.2">
      <c r="A5" s="89"/>
      <c r="B5" s="1132" t="s">
        <v>43</v>
      </c>
      <c r="C5" s="90" t="s">
        <v>198</v>
      </c>
      <c r="D5" s="91">
        <v>0</v>
      </c>
      <c r="E5" s="92">
        <v>1</v>
      </c>
      <c r="F5" s="165" t="str">
        <f>BEGINBLAD!C4</f>
        <v>leelring 1</v>
      </c>
      <c r="G5" s="94">
        <f>'NIVEAU WAARDE - vorig jaar'!D9</f>
        <v>2.2000000000000002</v>
      </c>
      <c r="H5" s="95">
        <f>'NIVEAU WAARDE - 1e toetsperiode'!D9</f>
        <v>2</v>
      </c>
      <c r="I5" s="96" t="str">
        <f>IF(H5=0,"",IF(H5&gt;4.5,"A-1+",IF(H5&gt;4,"A-1",IF(H5&gt;=4,"A-2",IF(H5&gt;3.4,"B-2",IF(H5&gt;=3,"B-3",IF(H5&gt;2.5,"C-3",IF(H5&gt;=2,"C-4",IF(H5&gt;1.6,"D-4",IF(H5&gt;=1,"D-5",IF(H5&gt;0.5,"E-5",IF(H5&gt;=0,"E-5-"))))))))))))</f>
        <v>C-4</v>
      </c>
      <c r="J5" s="431">
        <v>3</v>
      </c>
      <c r="K5" s="601" t="s">
        <v>272</v>
      </c>
      <c r="L5" s="21" t="s">
        <v>273</v>
      </c>
      <c r="M5" s="323" t="s">
        <v>220</v>
      </c>
      <c r="N5" s="99"/>
      <c r="O5" s="100"/>
    </row>
    <row r="6" spans="1:24" ht="19.5" customHeight="1" x14ac:dyDescent="0.2">
      <c r="A6" s="89"/>
      <c r="B6" s="1132"/>
      <c r="C6" s="101" t="s">
        <v>200</v>
      </c>
      <c r="D6" s="91">
        <v>0</v>
      </c>
      <c r="E6" s="92">
        <v>2</v>
      </c>
      <c r="F6" s="93" t="str">
        <f>BEGINBLAD!C5</f>
        <v>leerling 2</v>
      </c>
      <c r="G6" s="94">
        <f>'NIVEAU WAARDE - vorig jaar'!D10</f>
        <v>1.4</v>
      </c>
      <c r="H6" s="95">
        <f>'NIVEAU WAARDE - 1e toetsperiode'!D10</f>
        <v>3</v>
      </c>
      <c r="I6" s="96" t="str">
        <f t="shared" ref="I6:I40" si="0">IF(H6=0,"",IF(H6&gt;4.5,"A-1+",IF(H6&gt;4,"A-1",IF(H6&gt;=4,"A-2",IF(H6&gt;3.4,"B-2",IF(H6&gt;=3,"B-3",IF(H6&gt;2.5,"C-3",IF(H6&gt;=2,"C-4",IF(H6&gt;1.6,"D-4",IF(H6&gt;=1,"D-5",IF(H6&gt;0.5,"E-5",IF(H6&gt;=0,"E-5-"))))))))))))</f>
        <v>B-3</v>
      </c>
      <c r="J6" s="431">
        <v>3</v>
      </c>
      <c r="K6" s="601" t="s">
        <v>274</v>
      </c>
      <c r="L6" s="21" t="s">
        <v>275</v>
      </c>
      <c r="M6" s="323" t="s">
        <v>221</v>
      </c>
      <c r="N6" s="99"/>
      <c r="O6" s="100"/>
      <c r="R6" s="147"/>
      <c r="S6" s="147"/>
      <c r="T6" s="147"/>
      <c r="U6" s="147"/>
      <c r="V6" s="147"/>
    </row>
    <row r="7" spans="1:24" ht="19.5" customHeight="1" x14ac:dyDescent="0.2">
      <c r="A7" s="102"/>
      <c r="B7" s="326">
        <v>6</v>
      </c>
      <c r="C7" s="327" t="s">
        <v>486</v>
      </c>
      <c r="D7" s="91">
        <v>0</v>
      </c>
      <c r="E7" s="92">
        <v>3</v>
      </c>
      <c r="F7" s="93" t="str">
        <f>BEGINBLAD!C6</f>
        <v>leerling 3</v>
      </c>
      <c r="G7" s="94">
        <f>'NIVEAU WAARDE - vorig jaar'!D11</f>
        <v>1.7</v>
      </c>
      <c r="H7" s="95">
        <f>'NIVEAU WAARDE - 1e toetsperiode'!D11</f>
        <v>1.6</v>
      </c>
      <c r="I7" s="96" t="str">
        <f t="shared" si="0"/>
        <v>D-5</v>
      </c>
      <c r="J7" s="431">
        <v>2</v>
      </c>
      <c r="K7" s="601" t="s">
        <v>276</v>
      </c>
      <c r="L7" s="21" t="s">
        <v>277</v>
      </c>
      <c r="M7" s="323" t="s">
        <v>221</v>
      </c>
      <c r="N7" s="99"/>
      <c r="O7" s="100"/>
      <c r="R7" s="148"/>
      <c r="S7" s="148"/>
      <c r="T7" s="148"/>
      <c r="U7" s="148"/>
      <c r="V7" s="148"/>
    </row>
    <row r="8" spans="1:24" ht="19.5" customHeight="1" x14ac:dyDescent="0.2">
      <c r="A8" s="102"/>
      <c r="B8" s="326">
        <v>6</v>
      </c>
      <c r="C8" s="328" t="s">
        <v>487</v>
      </c>
      <c r="D8" s="105">
        <v>0</v>
      </c>
      <c r="E8" s="92">
        <v>4</v>
      </c>
      <c r="F8" s="93" t="str">
        <f>BEGINBLAD!C7</f>
        <v>leerling 4</v>
      </c>
      <c r="G8" s="94">
        <f>'NIVEAU WAARDE - vorig jaar'!D12</f>
        <v>1.8</v>
      </c>
      <c r="H8" s="95">
        <f>'NIVEAU WAARDE - 1e toetsperiode'!D12</f>
        <v>1.6</v>
      </c>
      <c r="I8" s="96" t="str">
        <f t="shared" si="0"/>
        <v>D-5</v>
      </c>
      <c r="J8" s="431"/>
      <c r="K8" s="601"/>
      <c r="L8" s="21"/>
      <c r="M8" s="323"/>
      <c r="N8" s="99"/>
      <c r="O8" s="107"/>
      <c r="R8" s="148"/>
      <c r="S8" s="148"/>
      <c r="T8" s="148"/>
      <c r="U8" s="148"/>
      <c r="V8" s="148"/>
    </row>
    <row r="9" spans="1:24" ht="19.5" customHeight="1" x14ac:dyDescent="0.2">
      <c r="A9" s="102"/>
      <c r="B9" s="326">
        <v>6</v>
      </c>
      <c r="C9" s="328" t="s">
        <v>221</v>
      </c>
      <c r="D9" s="108">
        <v>0</v>
      </c>
      <c r="E9" s="92">
        <v>5</v>
      </c>
      <c r="F9" s="93" t="str">
        <f>BEGINBLAD!C8</f>
        <v>leerling 5</v>
      </c>
      <c r="G9" s="94">
        <f>'NIVEAU WAARDE - vorig jaar'!D13</f>
        <v>2</v>
      </c>
      <c r="H9" s="95">
        <f>'NIVEAU WAARDE - 1e toetsperiode'!D13</f>
        <v>3.1</v>
      </c>
      <c r="I9" s="96" t="str">
        <f t="shared" si="0"/>
        <v>B-3</v>
      </c>
      <c r="J9" s="431">
        <v>3</v>
      </c>
      <c r="K9" s="613" t="s">
        <v>278</v>
      </c>
      <c r="L9" s="324" t="s">
        <v>272</v>
      </c>
      <c r="M9" s="323" t="s">
        <v>224</v>
      </c>
      <c r="N9" s="99"/>
      <c r="O9" s="110"/>
      <c r="R9" s="148"/>
      <c r="S9" s="148"/>
      <c r="T9" s="148"/>
      <c r="U9" s="148"/>
      <c r="V9" s="148"/>
    </row>
    <row r="10" spans="1:24" ht="19.5" customHeight="1" x14ac:dyDescent="0.2">
      <c r="A10" s="102"/>
      <c r="B10" s="326"/>
      <c r="C10" s="328"/>
      <c r="D10" s="111">
        <v>0</v>
      </c>
      <c r="E10" s="92">
        <v>6</v>
      </c>
      <c r="F10" s="93" t="str">
        <f>BEGINBLAD!C9</f>
        <v>leerling 6</v>
      </c>
      <c r="G10" s="94">
        <f>'NIVEAU WAARDE - vorig jaar'!D14</f>
        <v>1</v>
      </c>
      <c r="H10" s="95">
        <f>'NIVEAU WAARDE - 1e toetsperiode'!D14</f>
        <v>1.7</v>
      </c>
      <c r="I10" s="96" t="str">
        <f t="shared" si="0"/>
        <v>D-4</v>
      </c>
      <c r="J10" s="431">
        <v>3</v>
      </c>
      <c r="K10" s="613" t="s">
        <v>279</v>
      </c>
      <c r="L10" s="324" t="s">
        <v>279</v>
      </c>
      <c r="M10" s="323" t="s">
        <v>220</v>
      </c>
      <c r="N10" s="99"/>
      <c r="O10" s="112"/>
      <c r="R10" s="148"/>
      <c r="S10" s="148"/>
      <c r="T10" s="148"/>
      <c r="U10" s="148"/>
      <c r="V10" s="148"/>
    </row>
    <row r="11" spans="1:24" ht="19.5" customHeight="1" x14ac:dyDescent="0.2">
      <c r="A11" s="102"/>
      <c r="B11" s="326">
        <v>7</v>
      </c>
      <c r="C11" s="328" t="s">
        <v>488</v>
      </c>
      <c r="D11" s="111">
        <v>0</v>
      </c>
      <c r="E11" s="92">
        <v>7</v>
      </c>
      <c r="F11" s="93" t="str">
        <f>BEGINBLAD!C10</f>
        <v>leerling 7</v>
      </c>
      <c r="G11" s="94">
        <f>'NIVEAU WAARDE - vorig jaar'!D15</f>
        <v>1.8</v>
      </c>
      <c r="H11" s="95">
        <f>'NIVEAU WAARDE - 1e toetsperiode'!D15</f>
        <v>2.6</v>
      </c>
      <c r="I11" s="96" t="str">
        <f t="shared" si="0"/>
        <v>C-3</v>
      </c>
      <c r="J11" s="431">
        <v>3</v>
      </c>
      <c r="K11" s="613" t="s">
        <v>276</v>
      </c>
      <c r="L11" s="324" t="s">
        <v>275</v>
      </c>
      <c r="M11" s="323" t="s">
        <v>222</v>
      </c>
      <c r="N11" s="99"/>
      <c r="O11" s="77"/>
      <c r="R11" s="148"/>
      <c r="S11" s="148"/>
      <c r="T11" s="148"/>
      <c r="U11" s="148"/>
      <c r="V11" s="148"/>
    </row>
    <row r="12" spans="1:24" ht="19.5" customHeight="1" x14ac:dyDescent="0.2">
      <c r="A12" s="102"/>
      <c r="B12" s="326">
        <v>7</v>
      </c>
      <c r="C12" s="328" t="s">
        <v>487</v>
      </c>
      <c r="D12" s="91">
        <v>0</v>
      </c>
      <c r="E12" s="92">
        <v>8</v>
      </c>
      <c r="F12" s="93" t="str">
        <f>BEGINBLAD!C11</f>
        <v>leerling 8</v>
      </c>
      <c r="G12" s="94">
        <f>'NIVEAU WAARDE - vorig jaar'!D16</f>
        <v>3.7</v>
      </c>
      <c r="H12" s="95">
        <f>'NIVEAU WAARDE - 1e toetsperiode'!D16</f>
        <v>4.3</v>
      </c>
      <c r="I12" s="96" t="str">
        <f t="shared" si="0"/>
        <v>A-1</v>
      </c>
      <c r="J12" s="431">
        <v>3</v>
      </c>
      <c r="K12" s="613" t="s">
        <v>280</v>
      </c>
      <c r="L12" s="324" t="s">
        <v>273</v>
      </c>
      <c r="M12" s="323" t="s">
        <v>221</v>
      </c>
      <c r="N12" s="99"/>
      <c r="O12" s="88"/>
      <c r="R12" s="148"/>
      <c r="S12" s="148"/>
      <c r="T12" s="148"/>
      <c r="U12" s="148"/>
      <c r="V12" s="148"/>
    </row>
    <row r="13" spans="1:24" ht="19.5" customHeight="1" x14ac:dyDescent="0.2">
      <c r="A13" s="102"/>
      <c r="B13" s="103">
        <v>7</v>
      </c>
      <c r="C13" s="689" t="s">
        <v>486</v>
      </c>
      <c r="D13" s="91">
        <v>0</v>
      </c>
      <c r="E13" s="92">
        <v>9</v>
      </c>
      <c r="F13" s="93" t="str">
        <f>BEGINBLAD!C12</f>
        <v>leerling 9</v>
      </c>
      <c r="G13" s="94">
        <f>'NIVEAU WAARDE - vorig jaar'!D17</f>
        <v>0.9</v>
      </c>
      <c r="H13" s="95">
        <f>'NIVEAU WAARDE - 1e toetsperiode'!D17</f>
        <v>1.4</v>
      </c>
      <c r="I13" s="96" t="str">
        <f t="shared" si="0"/>
        <v>D-5</v>
      </c>
      <c r="J13" s="431">
        <v>6</v>
      </c>
      <c r="K13" s="613" t="s">
        <v>278</v>
      </c>
      <c r="L13" s="324" t="s">
        <v>278</v>
      </c>
      <c r="M13" s="323" t="s">
        <v>224</v>
      </c>
      <c r="N13" s="99"/>
      <c r="O13" s="100"/>
      <c r="R13" s="149"/>
      <c r="S13" s="149"/>
      <c r="T13" s="149"/>
      <c r="U13" s="149"/>
      <c r="V13" s="149"/>
    </row>
    <row r="14" spans="1:24" ht="19.5" customHeight="1" thickBot="1" x14ac:dyDescent="0.25">
      <c r="A14" s="102"/>
      <c r="B14" s="103">
        <v>7</v>
      </c>
      <c r="C14" s="689" t="s">
        <v>489</v>
      </c>
      <c r="D14" s="91">
        <v>0</v>
      </c>
      <c r="E14" s="92">
        <v>10</v>
      </c>
      <c r="F14" s="93" t="str">
        <f>BEGINBLAD!C13</f>
        <v>leerling 10</v>
      </c>
      <c r="G14" s="94">
        <f>'NIVEAU WAARDE - vorig jaar'!D18</f>
        <v>1.3</v>
      </c>
      <c r="H14" s="95">
        <f>'NIVEAU WAARDE - 1e toetsperiode'!D18</f>
        <v>1.8</v>
      </c>
      <c r="I14" s="96" t="str">
        <f t="shared" si="0"/>
        <v>D-4</v>
      </c>
      <c r="J14" s="431">
        <v>1</v>
      </c>
      <c r="K14" s="613" t="s">
        <v>279</v>
      </c>
      <c r="L14" s="324" t="s">
        <v>279</v>
      </c>
      <c r="M14" s="323" t="s">
        <v>220</v>
      </c>
      <c r="N14" s="99"/>
      <c r="O14" s="107"/>
      <c r="P14" s="113" t="s">
        <v>109</v>
      </c>
      <c r="R14" s="149"/>
      <c r="S14" s="149"/>
      <c r="T14" s="149"/>
      <c r="U14" s="149"/>
      <c r="V14" s="149"/>
    </row>
    <row r="15" spans="1:24" ht="19.5" customHeight="1" x14ac:dyDescent="0.2">
      <c r="A15" s="102"/>
      <c r="B15" s="103"/>
      <c r="C15" s="689"/>
      <c r="D15" s="91">
        <v>0</v>
      </c>
      <c r="E15" s="92">
        <v>11</v>
      </c>
      <c r="F15" s="93" t="str">
        <f>BEGINBLAD!C14</f>
        <v>leerling 11</v>
      </c>
      <c r="G15" s="94">
        <f>'NIVEAU WAARDE - vorig jaar'!D19</f>
        <v>2.6</v>
      </c>
      <c r="H15" s="95">
        <f>'NIVEAU WAARDE - 1e toetsperiode'!D19</f>
        <v>4</v>
      </c>
      <c r="I15" s="96" t="str">
        <f t="shared" si="0"/>
        <v>A-2</v>
      </c>
      <c r="J15" s="431"/>
      <c r="K15" s="613"/>
      <c r="L15" s="324"/>
      <c r="M15" s="323"/>
      <c r="N15" s="99"/>
      <c r="O15" s="1191" t="s">
        <v>135</v>
      </c>
      <c r="P15" s="1194" t="str">
        <f>'INTENSIEF - 1e periode'!C6</f>
        <v>AVI niveau moet minimaal één niveau omhoog
Leesplezier bevorderen
Leessnelheid + intonatie opvoeren</v>
      </c>
      <c r="R15" s="149"/>
      <c r="S15" s="149"/>
      <c r="T15" s="149"/>
      <c r="U15" s="149"/>
      <c r="V15" s="149"/>
    </row>
    <row r="16" spans="1:24" ht="19.5" customHeight="1" x14ac:dyDescent="0.2">
      <c r="A16" s="102"/>
      <c r="B16" s="103"/>
      <c r="C16" s="689"/>
      <c r="D16" s="91">
        <v>0</v>
      </c>
      <c r="E16" s="92">
        <v>12</v>
      </c>
      <c r="F16" s="93" t="str">
        <f>BEGINBLAD!C15</f>
        <v>leerling 12</v>
      </c>
      <c r="G16" s="94">
        <f>'NIVEAU WAARDE - vorig jaar'!D20</f>
        <v>1</v>
      </c>
      <c r="H16" s="95">
        <f>'NIVEAU WAARDE - 1e toetsperiode'!D20</f>
        <v>1.6</v>
      </c>
      <c r="I16" s="96" t="str">
        <f t="shared" si="0"/>
        <v>D-5</v>
      </c>
      <c r="J16" s="431">
        <v>3</v>
      </c>
      <c r="K16" s="613" t="s">
        <v>273</v>
      </c>
      <c r="L16" s="324" t="s">
        <v>281</v>
      </c>
      <c r="M16" s="323" t="s">
        <v>221</v>
      </c>
      <c r="N16" s="99"/>
      <c r="O16" s="1192"/>
      <c r="P16" s="1195"/>
      <c r="R16" s="149"/>
      <c r="S16" s="149"/>
      <c r="T16" s="149"/>
      <c r="U16" s="149"/>
      <c r="V16" s="149"/>
    </row>
    <row r="17" spans="1:24" ht="19.5" customHeight="1" x14ac:dyDescent="0.2">
      <c r="A17" s="102"/>
      <c r="B17" s="103"/>
      <c r="C17" s="689"/>
      <c r="D17" s="105">
        <v>0</v>
      </c>
      <c r="E17" s="92">
        <v>13</v>
      </c>
      <c r="F17" s="93" t="str">
        <f>BEGINBLAD!C16</f>
        <v>leerling 13</v>
      </c>
      <c r="G17" s="94">
        <f>'NIVEAU WAARDE - vorig jaar'!D21</f>
        <v>3.1</v>
      </c>
      <c r="H17" s="95">
        <f>'NIVEAU WAARDE - 1e toetsperiode'!D21</f>
        <v>3.8</v>
      </c>
      <c r="I17" s="96" t="str">
        <f t="shared" si="0"/>
        <v>B-2</v>
      </c>
      <c r="J17" s="431">
        <v>2</v>
      </c>
      <c r="K17" s="613" t="s">
        <v>279</v>
      </c>
      <c r="L17" s="324" t="s">
        <v>279</v>
      </c>
      <c r="M17" s="323" t="s">
        <v>221</v>
      </c>
      <c r="N17" s="99"/>
      <c r="O17" s="1198" t="s">
        <v>137</v>
      </c>
      <c r="P17" s="1196" t="str">
        <f>'INTENSIEF - 1e periode'!C8</f>
        <v xml:space="preserve">De drie kinderen van groep 6 krijgen op woensdag en donderdag extra leesinstructie: Vloeiend en Vlot (ook m.b.t. de woordenschat) en Estafette M6
-- gr.7: Krijgen op dinsdag en donderdag extra leesinstructie: Vloeiend &amp; Vlot + Estafette
</v>
      </c>
      <c r="R17" s="120"/>
      <c r="S17" s="120"/>
      <c r="T17" s="120"/>
      <c r="U17" s="120"/>
      <c r="V17" s="120"/>
    </row>
    <row r="18" spans="1:24" ht="19.5" customHeight="1" x14ac:dyDescent="0.2">
      <c r="A18" s="102"/>
      <c r="B18" s="103"/>
      <c r="C18" s="689"/>
      <c r="D18" s="111">
        <v>0</v>
      </c>
      <c r="E18" s="92">
        <v>14</v>
      </c>
      <c r="F18" s="93" t="str">
        <f>BEGINBLAD!C17</f>
        <v>leerling 14</v>
      </c>
      <c r="G18" s="94">
        <f>'NIVEAU WAARDE - vorig jaar'!D22</f>
        <v>2.1</v>
      </c>
      <c r="H18" s="95">
        <f>'NIVEAU WAARDE - 1e toetsperiode'!D22</f>
        <v>2.8</v>
      </c>
      <c r="I18" s="96" t="str">
        <f t="shared" si="0"/>
        <v>C-3</v>
      </c>
      <c r="J18" s="431">
        <v>1</v>
      </c>
      <c r="K18" s="613" t="s">
        <v>279</v>
      </c>
      <c r="L18" s="324" t="s">
        <v>279</v>
      </c>
      <c r="M18" s="323" t="s">
        <v>221</v>
      </c>
      <c r="N18" s="99"/>
      <c r="O18" s="1198"/>
      <c r="P18" s="1196"/>
      <c r="Q18" s="89"/>
      <c r="R18" s="114"/>
      <c r="S18" s="114"/>
      <c r="T18" s="114"/>
      <c r="U18" s="114"/>
      <c r="V18" s="114"/>
      <c r="W18" s="114"/>
    </row>
    <row r="19" spans="1:24" ht="19.5" customHeight="1" x14ac:dyDescent="0.2">
      <c r="D19" s="111">
        <v>0</v>
      </c>
      <c r="E19" s="92">
        <v>15</v>
      </c>
      <c r="F19" s="93" t="str">
        <f>BEGINBLAD!C18</f>
        <v>leerling 15</v>
      </c>
      <c r="G19" s="94">
        <f>'NIVEAU WAARDE - vorig jaar'!D23</f>
        <v>1.4</v>
      </c>
      <c r="H19" s="95">
        <f>'NIVEAU WAARDE - 1e toetsperiode'!D23</f>
        <v>2.1</v>
      </c>
      <c r="I19" s="96" t="str">
        <f t="shared" si="0"/>
        <v>C-4</v>
      </c>
      <c r="J19" s="431">
        <v>3</v>
      </c>
      <c r="K19" s="613" t="s">
        <v>279</v>
      </c>
      <c r="L19" s="324" t="s">
        <v>279</v>
      </c>
      <c r="M19" s="323" t="s">
        <v>221</v>
      </c>
      <c r="N19" s="99"/>
      <c r="O19" s="1198"/>
      <c r="P19" s="1196"/>
      <c r="Q19" s="116"/>
      <c r="R19" s="117"/>
      <c r="S19" s="117"/>
      <c r="T19" s="117"/>
      <c r="U19" s="118"/>
      <c r="V19" s="118"/>
      <c r="W19" s="118"/>
      <c r="X19" s="119"/>
    </row>
    <row r="20" spans="1:24" ht="19.5" customHeight="1" x14ac:dyDescent="0.2">
      <c r="D20" s="111">
        <v>0</v>
      </c>
      <c r="E20" s="92">
        <v>16</v>
      </c>
      <c r="F20" s="93" t="str">
        <f>BEGINBLAD!C19</f>
        <v>leerling 16</v>
      </c>
      <c r="G20" s="94">
        <f>'NIVEAU WAARDE - vorig jaar'!D24</f>
        <v>3</v>
      </c>
      <c r="H20" s="95">
        <f>'NIVEAU WAARDE - 1e toetsperiode'!D24</f>
        <v>1</v>
      </c>
      <c r="I20" s="96" t="str">
        <f t="shared" si="0"/>
        <v>D-5</v>
      </c>
      <c r="J20" s="431">
        <v>2</v>
      </c>
      <c r="K20" s="614" t="s">
        <v>279</v>
      </c>
      <c r="L20" s="21" t="s">
        <v>279</v>
      </c>
      <c r="M20" s="323" t="s">
        <v>221</v>
      </c>
      <c r="N20" s="99"/>
      <c r="O20" s="1198"/>
      <c r="P20" s="1196"/>
      <c r="Q20" s="116"/>
      <c r="R20" s="120"/>
      <c r="S20" s="120"/>
      <c r="T20" s="120"/>
      <c r="U20" s="120"/>
      <c r="V20" s="120"/>
      <c r="W20" s="120"/>
    </row>
    <row r="21" spans="1:24" ht="19.5" customHeight="1" x14ac:dyDescent="0.2">
      <c r="D21" s="111">
        <v>0</v>
      </c>
      <c r="E21" s="92">
        <v>17</v>
      </c>
      <c r="F21" s="93" t="str">
        <f>BEGINBLAD!C20</f>
        <v>leerling 17</v>
      </c>
      <c r="G21" s="94">
        <f>'NIVEAU WAARDE - vorig jaar'!D25</f>
        <v>2.1</v>
      </c>
      <c r="H21" s="95">
        <f>'NIVEAU WAARDE - 1e toetsperiode'!D25</f>
        <v>3.3</v>
      </c>
      <c r="I21" s="96" t="str">
        <f t="shared" si="0"/>
        <v>B-3</v>
      </c>
      <c r="J21" s="431">
        <v>2</v>
      </c>
      <c r="K21" s="614" t="s">
        <v>279</v>
      </c>
      <c r="L21" s="21" t="s">
        <v>279</v>
      </c>
      <c r="M21" s="323" t="s">
        <v>221</v>
      </c>
      <c r="N21" s="99"/>
      <c r="O21" s="1198"/>
      <c r="P21" s="1196"/>
      <c r="Q21" s="116"/>
      <c r="R21" s="120"/>
      <c r="S21" s="120"/>
      <c r="T21" s="120"/>
      <c r="U21" s="120"/>
      <c r="V21" s="120"/>
      <c r="W21" s="120"/>
    </row>
    <row r="22" spans="1:24" ht="19.5" customHeight="1" x14ac:dyDescent="0.2">
      <c r="D22" s="111">
        <v>0</v>
      </c>
      <c r="E22" s="92">
        <v>18</v>
      </c>
      <c r="F22" s="93" t="str">
        <f>BEGINBLAD!C21</f>
        <v>leerling 18</v>
      </c>
      <c r="G22" s="94">
        <f>'NIVEAU WAARDE - vorig jaar'!D26</f>
        <v>1.5</v>
      </c>
      <c r="H22" s="95">
        <f>'NIVEAU WAARDE - 1e toetsperiode'!D26</f>
        <v>2.2000000000000002</v>
      </c>
      <c r="I22" s="96" t="str">
        <f t="shared" si="0"/>
        <v>C-4</v>
      </c>
      <c r="J22" s="431"/>
      <c r="K22" s="614"/>
      <c r="L22" s="325"/>
      <c r="M22" s="323"/>
      <c r="N22" s="99"/>
      <c r="O22" s="1198"/>
      <c r="P22" s="1196"/>
      <c r="Q22" s="116"/>
      <c r="R22" s="120"/>
      <c r="S22" s="120"/>
      <c r="T22" s="120"/>
      <c r="U22" s="120"/>
      <c r="V22" s="120"/>
      <c r="W22" s="120"/>
    </row>
    <row r="23" spans="1:24" ht="19.5" customHeight="1" x14ac:dyDescent="0.2">
      <c r="B23" s="122"/>
      <c r="C23" s="122"/>
      <c r="D23" s="111">
        <v>0</v>
      </c>
      <c r="E23" s="92">
        <v>19</v>
      </c>
      <c r="F23" s="93" t="str">
        <f>BEGINBLAD!C22</f>
        <v>leerling 19</v>
      </c>
      <c r="G23" s="94">
        <f>'NIVEAU WAARDE - vorig jaar'!D27</f>
        <v>0.8</v>
      </c>
      <c r="H23" s="95">
        <f>'NIVEAU WAARDE - 1e toetsperiode'!D27</f>
        <v>0.9</v>
      </c>
      <c r="I23" s="96" t="str">
        <f t="shared" si="0"/>
        <v>E-5</v>
      </c>
      <c r="J23" s="431"/>
      <c r="K23" s="614"/>
      <c r="L23" s="325"/>
      <c r="M23" s="323"/>
      <c r="N23" s="99"/>
      <c r="O23" s="1198"/>
      <c r="P23" s="1196"/>
    </row>
    <row r="24" spans="1:24" ht="19.5" customHeight="1" thickBot="1" x14ac:dyDescent="0.25">
      <c r="B24" s="123"/>
      <c r="C24" s="122"/>
      <c r="D24" s="111">
        <v>0</v>
      </c>
      <c r="E24" s="92">
        <v>20</v>
      </c>
      <c r="F24" s="93" t="str">
        <f>BEGINBLAD!C23</f>
        <v>leerling 20</v>
      </c>
      <c r="G24" s="94">
        <f>'NIVEAU WAARDE - vorig jaar'!D28</f>
        <v>4</v>
      </c>
      <c r="H24" s="95">
        <f>'NIVEAU WAARDE - 1e toetsperiode'!D28</f>
        <v>4</v>
      </c>
      <c r="I24" s="96" t="str">
        <f t="shared" si="0"/>
        <v>A-2</v>
      </c>
      <c r="J24" s="431"/>
      <c r="K24" s="614"/>
      <c r="L24" s="325"/>
      <c r="M24" s="323"/>
      <c r="N24" s="99"/>
      <c r="O24" s="1199"/>
      <c r="P24" s="1197"/>
      <c r="Q24" s="116"/>
      <c r="R24" s="120"/>
      <c r="S24" s="120"/>
      <c r="T24" s="120"/>
      <c r="U24" s="120"/>
      <c r="V24" s="120"/>
      <c r="W24" s="120"/>
    </row>
    <row r="25" spans="1:24" ht="19.5" customHeight="1" thickBot="1" x14ac:dyDescent="0.25">
      <c r="B25" s="123"/>
      <c r="C25" s="122"/>
      <c r="D25" s="111">
        <v>0</v>
      </c>
      <c r="E25" s="92">
        <v>21</v>
      </c>
      <c r="F25" s="93" t="str">
        <f>BEGINBLAD!C24</f>
        <v>leerling 21</v>
      </c>
      <c r="G25" s="94">
        <f>'NIVEAU WAARDE - vorig jaar'!D29</f>
        <v>1.4</v>
      </c>
      <c r="H25" s="95">
        <f>'NIVEAU WAARDE - 1e toetsperiode'!D29</f>
        <v>2.4</v>
      </c>
      <c r="I25" s="96" t="str">
        <f t="shared" si="0"/>
        <v>C-4</v>
      </c>
      <c r="J25" s="431"/>
      <c r="K25" s="614"/>
      <c r="L25" s="325"/>
      <c r="M25" s="323"/>
      <c r="N25" s="99"/>
      <c r="O25" s="107"/>
      <c r="P25" s="113" t="s">
        <v>282</v>
      </c>
      <c r="Q25" s="116"/>
      <c r="R25" s="120"/>
      <c r="S25" s="120"/>
      <c r="T25" s="120"/>
      <c r="U25" s="120"/>
      <c r="V25" s="120"/>
      <c r="W25" s="120"/>
    </row>
    <row r="26" spans="1:24" ht="19.5" customHeight="1" x14ac:dyDescent="0.2">
      <c r="D26" s="111">
        <v>0</v>
      </c>
      <c r="E26" s="92">
        <v>22</v>
      </c>
      <c r="F26" s="93" t="str">
        <f>BEGINBLAD!C25</f>
        <v>leerling 22</v>
      </c>
      <c r="G26" s="94">
        <f>'NIVEAU WAARDE - vorig jaar'!D30</f>
        <v>0.8</v>
      </c>
      <c r="H26" s="95">
        <f>'NIVEAU WAARDE - 1e toetsperiode'!D30</f>
        <v>0.9</v>
      </c>
      <c r="I26" s="96" t="str">
        <f t="shared" si="0"/>
        <v>E-5</v>
      </c>
      <c r="J26" s="431"/>
      <c r="K26" s="614"/>
      <c r="L26" s="325"/>
      <c r="M26" s="323"/>
      <c r="N26" s="99"/>
      <c r="O26" s="1191" t="s">
        <v>135</v>
      </c>
      <c r="P26" s="1194" t="str">
        <f>'BASISAANPAK - 1e periode'!C6</f>
        <v>AVI niveau moet één vooruit
leesplezier bevorderen: stillezen, bieb project, boekenbeurt</v>
      </c>
      <c r="Q26" s="89"/>
      <c r="R26" s="114"/>
      <c r="S26" s="114"/>
      <c r="T26" s="114"/>
      <c r="U26" s="114"/>
      <c r="V26" s="114"/>
      <c r="W26" s="114"/>
    </row>
    <row r="27" spans="1:24" s="126" customFormat="1" ht="19.5" customHeight="1" x14ac:dyDescent="0.4">
      <c r="A27" s="89"/>
      <c r="B27" s="1132" t="s">
        <v>43</v>
      </c>
      <c r="C27" s="90" t="s">
        <v>210</v>
      </c>
      <c r="D27" s="105">
        <v>0</v>
      </c>
      <c r="E27" s="92">
        <v>23</v>
      </c>
      <c r="F27" s="93" t="str">
        <f>BEGINBLAD!C26</f>
        <v>leerling 23</v>
      </c>
      <c r="G27" s="94">
        <f>'NIVEAU WAARDE - vorig jaar'!D31</f>
        <v>4.2</v>
      </c>
      <c r="H27" s="95">
        <f>'NIVEAU WAARDE - 1e toetsperiode'!D31</f>
        <v>4.2</v>
      </c>
      <c r="I27" s="96" t="str">
        <f t="shared" si="0"/>
        <v>A-1</v>
      </c>
      <c r="J27" s="431"/>
      <c r="K27" s="614"/>
      <c r="L27" s="325"/>
      <c r="M27" s="323"/>
      <c r="N27" s="99"/>
      <c r="O27" s="1192"/>
      <c r="P27" s="1195"/>
      <c r="Q27" s="125"/>
      <c r="R27" s="125"/>
      <c r="S27" s="125"/>
      <c r="T27" s="125"/>
      <c r="U27" s="125"/>
      <c r="V27" s="125"/>
      <c r="W27" s="125"/>
    </row>
    <row r="28" spans="1:24" ht="19.5" customHeight="1" x14ac:dyDescent="0.4">
      <c r="A28" s="89"/>
      <c r="B28" s="1132"/>
      <c r="C28" s="101" t="s">
        <v>200</v>
      </c>
      <c r="D28" s="105">
        <v>0</v>
      </c>
      <c r="E28" s="92">
        <v>24</v>
      </c>
      <c r="F28" s="93" t="str">
        <f>BEGINBLAD!C27</f>
        <v>leerling 24</v>
      </c>
      <c r="G28" s="94">
        <f>'NIVEAU WAARDE - vorig jaar'!D32</f>
        <v>2.7</v>
      </c>
      <c r="H28" s="95">
        <f>'NIVEAU WAARDE - 1e toetsperiode'!D32</f>
        <v>4</v>
      </c>
      <c r="I28" s="96" t="str">
        <f t="shared" si="0"/>
        <v>A-2</v>
      </c>
      <c r="J28" s="431"/>
      <c r="K28" s="614"/>
      <c r="L28" s="325"/>
      <c r="M28" s="323"/>
      <c r="N28" s="99"/>
      <c r="O28" s="1192" t="s">
        <v>137</v>
      </c>
      <c r="P28" s="1200" t="str">
        <f>'BASISAANPAK - 1e periode'!C8</f>
        <v xml:space="preserve">Elke dag stillezen: ma (15 min), di (15 min), wo en do: (tijdens Estafettelezen 30 min) , Groep 6/7/8 lezen dan voorzichzelf drie kinderen  helpen de kinderen van groep 3 met bouw. --- lezen voor zichzelf in het stilleesboek. Groep 6 doet mee met Estafettelezen. --- lezen op dinsdag en donderdag Estafette. Op woensdag lezen zij in hun eigen boek.
Duo lezen: mag ook tijdens de stilleesmomenten
</v>
      </c>
      <c r="Q28" s="77"/>
      <c r="R28" s="127"/>
      <c r="S28" s="88"/>
      <c r="T28" s="88"/>
      <c r="U28" s="88"/>
      <c r="V28" s="88"/>
      <c r="W28" s="88"/>
    </row>
    <row r="29" spans="1:24" ht="19.5" customHeight="1" x14ac:dyDescent="0.2">
      <c r="A29" s="102"/>
      <c r="B29" s="326">
        <v>7</v>
      </c>
      <c r="C29" s="328" t="s">
        <v>490</v>
      </c>
      <c r="D29" s="91">
        <v>0</v>
      </c>
      <c r="E29" s="92">
        <v>25</v>
      </c>
      <c r="F29" s="93" t="str">
        <f>BEGINBLAD!C28</f>
        <v>leerling 25</v>
      </c>
      <c r="G29" s="94">
        <f>'NIVEAU WAARDE - vorig jaar'!D33</f>
        <v>2</v>
      </c>
      <c r="H29" s="95">
        <f>'NIVEAU WAARDE - 1e toetsperiode'!D33</f>
        <v>2.1</v>
      </c>
      <c r="I29" s="96" t="str">
        <f t="shared" si="0"/>
        <v>C-4</v>
      </c>
      <c r="J29" s="431"/>
      <c r="K29" s="614"/>
      <c r="L29" s="325"/>
      <c r="M29" s="323"/>
      <c r="N29" s="99"/>
      <c r="O29" s="1192"/>
      <c r="P29" s="1200"/>
      <c r="Q29" s="128"/>
      <c r="R29" s="117"/>
      <c r="S29" s="117"/>
      <c r="T29" s="117"/>
      <c r="U29" s="117"/>
      <c r="V29" s="117"/>
      <c r="W29" s="117"/>
    </row>
    <row r="30" spans="1:24" ht="19.5" customHeight="1" x14ac:dyDescent="0.2">
      <c r="A30" s="102"/>
      <c r="B30" s="326">
        <v>8</v>
      </c>
      <c r="C30" s="328" t="s">
        <v>491</v>
      </c>
      <c r="D30" s="91">
        <v>0</v>
      </c>
      <c r="E30" s="92">
        <v>26</v>
      </c>
      <c r="F30" s="93" t="str">
        <f>BEGINBLAD!C29</f>
        <v>leerling 26</v>
      </c>
      <c r="G30" s="94">
        <f>'NIVEAU WAARDE - vorig jaar'!D34</f>
        <v>1.6</v>
      </c>
      <c r="H30" s="95">
        <f>'NIVEAU WAARDE - 1e toetsperiode'!D34</f>
        <v>1.8</v>
      </c>
      <c r="I30" s="96" t="str">
        <f t="shared" si="0"/>
        <v>D-4</v>
      </c>
      <c r="J30" s="431"/>
      <c r="K30" s="612"/>
      <c r="L30" s="325"/>
      <c r="M30" s="323"/>
      <c r="N30" s="99"/>
      <c r="O30" s="1192"/>
      <c r="P30" s="1200"/>
      <c r="Q30" s="116"/>
      <c r="R30" s="120"/>
      <c r="S30" s="120"/>
      <c r="T30" s="120"/>
      <c r="U30" s="120"/>
      <c r="V30" s="120"/>
      <c r="W30" s="120"/>
    </row>
    <row r="31" spans="1:24" ht="19.5" customHeight="1" x14ac:dyDescent="0.2">
      <c r="A31" s="102"/>
      <c r="B31" s="326">
        <v>8</v>
      </c>
      <c r="C31" s="328" t="s">
        <v>489</v>
      </c>
      <c r="D31" s="91">
        <v>0</v>
      </c>
      <c r="E31" s="92">
        <v>27</v>
      </c>
      <c r="F31" s="93">
        <f>BEGINBLAD!C30</f>
        <v>0</v>
      </c>
      <c r="G31" s="94">
        <f>'NIVEAU WAARDE - vorig jaar'!D35</f>
        <v>0</v>
      </c>
      <c r="H31" s="95">
        <f>'NIVEAU WAARDE - 1e toetsperiode'!D35</f>
        <v>0</v>
      </c>
      <c r="I31" s="96" t="str">
        <f t="shared" si="0"/>
        <v/>
      </c>
      <c r="J31" s="431"/>
      <c r="K31" s="612"/>
      <c r="L31" s="325"/>
      <c r="M31" s="323"/>
      <c r="N31" s="99"/>
      <c r="O31" s="1192"/>
      <c r="P31" s="1200"/>
      <c r="Q31" s="116"/>
      <c r="R31" s="120"/>
      <c r="S31" s="120"/>
      <c r="T31" s="120"/>
      <c r="U31" s="120"/>
      <c r="V31" s="120"/>
      <c r="W31" s="120"/>
    </row>
    <row r="32" spans="1:24" ht="19.5" customHeight="1" x14ac:dyDescent="0.2">
      <c r="A32" s="102"/>
      <c r="B32" s="326"/>
      <c r="C32" s="328"/>
      <c r="D32" s="91">
        <v>0</v>
      </c>
      <c r="E32" s="92">
        <v>28</v>
      </c>
      <c r="F32" s="93">
        <f>BEGINBLAD!C31</f>
        <v>0</v>
      </c>
      <c r="G32" s="94">
        <f>'NIVEAU WAARDE - vorig jaar'!D36</f>
        <v>0</v>
      </c>
      <c r="H32" s="95">
        <f>'NIVEAU WAARDE - 1e toetsperiode'!D36</f>
        <v>0</v>
      </c>
      <c r="I32" s="96" t="str">
        <f t="shared" si="0"/>
        <v/>
      </c>
      <c r="J32" s="431"/>
      <c r="K32" s="612"/>
      <c r="L32" s="603"/>
      <c r="M32" s="323"/>
      <c r="N32" s="99"/>
      <c r="O32" s="1192"/>
      <c r="P32" s="1200"/>
      <c r="Q32" s="116"/>
      <c r="R32" s="120"/>
      <c r="S32" s="120"/>
      <c r="T32" s="120"/>
      <c r="U32" s="120"/>
      <c r="V32" s="120"/>
      <c r="W32" s="120"/>
    </row>
    <row r="33" spans="1:27" ht="19.5" customHeight="1" x14ac:dyDescent="0.2">
      <c r="A33" s="102"/>
      <c r="B33" s="326"/>
      <c r="C33" s="328"/>
      <c r="D33" s="91">
        <v>0</v>
      </c>
      <c r="E33" s="92">
        <v>29</v>
      </c>
      <c r="F33" s="93">
        <f>BEGINBLAD!C32</f>
        <v>0</v>
      </c>
      <c r="G33" s="94">
        <f>'NIVEAU WAARDE - vorig jaar'!D37</f>
        <v>0</v>
      </c>
      <c r="H33" s="95">
        <f>'NIVEAU WAARDE - 1e toetsperiode'!D37</f>
        <v>0</v>
      </c>
      <c r="I33" s="96" t="str">
        <f t="shared" si="0"/>
        <v/>
      </c>
      <c r="J33" s="431"/>
      <c r="K33" s="612"/>
      <c r="L33" s="603"/>
      <c r="M33" s="323"/>
      <c r="N33" s="99"/>
      <c r="O33" s="1192"/>
      <c r="P33" s="1200"/>
      <c r="Q33" s="116"/>
      <c r="R33" s="120"/>
      <c r="S33" s="120"/>
      <c r="T33" s="120"/>
      <c r="U33" s="120"/>
      <c r="V33" s="120"/>
      <c r="W33" s="120"/>
    </row>
    <row r="34" spans="1:27" ht="19.5" customHeight="1" x14ac:dyDescent="0.2">
      <c r="A34" s="102"/>
      <c r="B34" s="103"/>
      <c r="C34" s="689"/>
      <c r="D34" s="91">
        <v>0</v>
      </c>
      <c r="E34" s="92">
        <v>30</v>
      </c>
      <c r="F34" s="93">
        <f>BEGINBLAD!C33</f>
        <v>0</v>
      </c>
      <c r="G34" s="94">
        <f>'NIVEAU WAARDE - vorig jaar'!D38</f>
        <v>0</v>
      </c>
      <c r="H34" s="95">
        <f>'NIVEAU WAARDE - 1e toetsperiode'!D38</f>
        <v>0</v>
      </c>
      <c r="I34" s="96" t="str">
        <f t="shared" si="0"/>
        <v/>
      </c>
      <c r="J34" s="431"/>
      <c r="K34" s="604"/>
      <c r="L34" s="603"/>
      <c r="M34" s="323"/>
      <c r="N34" s="99"/>
      <c r="O34" s="1192"/>
      <c r="P34" s="1200"/>
      <c r="Q34" s="116"/>
      <c r="R34" s="120"/>
      <c r="S34" s="120"/>
      <c r="T34" s="120"/>
      <c r="U34" s="120"/>
      <c r="V34" s="120"/>
      <c r="W34" s="120"/>
    </row>
    <row r="35" spans="1:27" ht="19.5" customHeight="1" thickBot="1" x14ac:dyDescent="0.25">
      <c r="A35" s="102"/>
      <c r="B35" s="103"/>
      <c r="C35" s="689"/>
      <c r="D35" s="91">
        <v>0</v>
      </c>
      <c r="E35" s="92">
        <v>31</v>
      </c>
      <c r="F35" s="93">
        <f>BEGINBLAD!C34</f>
        <v>0</v>
      </c>
      <c r="G35" s="94">
        <f>'NIVEAU WAARDE - vorig jaar'!D39</f>
        <v>0</v>
      </c>
      <c r="H35" s="95">
        <f>'NIVEAU WAARDE - 1e toetsperiode'!D39</f>
        <v>0</v>
      </c>
      <c r="I35" s="96" t="str">
        <f t="shared" si="0"/>
        <v/>
      </c>
      <c r="J35" s="431"/>
      <c r="K35" s="604"/>
      <c r="L35" s="603"/>
      <c r="M35" s="323"/>
      <c r="N35" s="99"/>
      <c r="O35" s="1193"/>
      <c r="P35" s="1201"/>
      <c r="Q35" s="116"/>
      <c r="R35" s="120"/>
      <c r="S35" s="120"/>
      <c r="T35" s="120"/>
      <c r="U35" s="120"/>
      <c r="V35" s="120"/>
      <c r="W35" s="120"/>
    </row>
    <row r="36" spans="1:27" ht="19.5" customHeight="1" thickBot="1" x14ac:dyDescent="0.25">
      <c r="A36" s="102"/>
      <c r="B36" s="103"/>
      <c r="C36" s="689"/>
      <c r="D36" s="91">
        <v>0</v>
      </c>
      <c r="E36" s="92">
        <v>32</v>
      </c>
      <c r="F36" s="93">
        <f>BEGINBLAD!C35</f>
        <v>0</v>
      </c>
      <c r="G36" s="94">
        <f>'NIVEAU WAARDE - vorig jaar'!D40</f>
        <v>0</v>
      </c>
      <c r="H36" s="95">
        <f>'NIVEAU WAARDE - 1e toetsperiode'!D40</f>
        <v>0</v>
      </c>
      <c r="I36" s="96" t="str">
        <f t="shared" si="0"/>
        <v/>
      </c>
      <c r="J36" s="431"/>
      <c r="K36" s="605"/>
      <c r="L36" s="603"/>
      <c r="M36" s="323"/>
      <c r="N36" s="99"/>
      <c r="O36" s="107"/>
      <c r="P36" s="113" t="s">
        <v>108</v>
      </c>
      <c r="Q36" s="116"/>
      <c r="R36" s="120"/>
      <c r="S36" s="120"/>
      <c r="T36" s="120"/>
      <c r="U36" s="120"/>
      <c r="V36" s="120"/>
      <c r="W36" s="120"/>
    </row>
    <row r="37" spans="1:27" ht="19.5" customHeight="1" x14ac:dyDescent="0.2">
      <c r="A37" s="102"/>
      <c r="B37" s="103"/>
      <c r="C37" s="689"/>
      <c r="D37" s="91">
        <v>0</v>
      </c>
      <c r="E37" s="92">
        <v>33</v>
      </c>
      <c r="F37" s="93">
        <f>BEGINBLAD!C36</f>
        <v>0</v>
      </c>
      <c r="G37" s="94">
        <f>'NIVEAU WAARDE - vorig jaar'!D41</f>
        <v>0</v>
      </c>
      <c r="H37" s="95">
        <f>'NIVEAU WAARDE - 1e toetsperiode'!D41</f>
        <v>0</v>
      </c>
      <c r="I37" s="96" t="str">
        <f t="shared" si="0"/>
        <v/>
      </c>
      <c r="J37" s="431"/>
      <c r="K37" s="605"/>
      <c r="L37" s="603"/>
      <c r="M37" s="323"/>
      <c r="N37" s="99"/>
      <c r="O37" s="1191" t="s">
        <v>135</v>
      </c>
      <c r="P37" s="1194" t="str">
        <f>'VERRIJKT - 1e periode'!C6</f>
        <v xml:space="preserve"> - gemotiveerd blijven
 - eigen initiatief ontwikkelen = zelf verantwoordelijk zijn
 - leren plannen</v>
      </c>
      <c r="Q37" s="116"/>
      <c r="R37" s="120"/>
      <c r="S37" s="120"/>
      <c r="T37" s="120"/>
      <c r="U37" s="120"/>
      <c r="V37" s="120"/>
      <c r="W37" s="120"/>
    </row>
    <row r="38" spans="1:27" ht="19.5" customHeight="1" x14ac:dyDescent="0.2">
      <c r="A38" s="102"/>
      <c r="B38" s="103"/>
      <c r="C38" s="689"/>
      <c r="D38" s="91">
        <v>0</v>
      </c>
      <c r="E38" s="92">
        <v>34</v>
      </c>
      <c r="F38" s="93">
        <f>BEGINBLAD!C37</f>
        <v>0</v>
      </c>
      <c r="G38" s="94">
        <f>'NIVEAU WAARDE - vorig jaar'!D42</f>
        <v>0</v>
      </c>
      <c r="H38" s="95">
        <f>'NIVEAU WAARDE - 1e toetsperiode'!D42</f>
        <v>0</v>
      </c>
      <c r="I38" s="96" t="str">
        <f t="shared" si="0"/>
        <v/>
      </c>
      <c r="J38" s="431"/>
      <c r="K38" s="605"/>
      <c r="L38" s="603"/>
      <c r="M38" s="323"/>
      <c r="N38" s="99"/>
      <c r="O38" s="1192"/>
      <c r="P38" s="1195"/>
      <c r="Q38" s="116"/>
      <c r="R38" s="120"/>
      <c r="S38" s="120"/>
      <c r="T38" s="120"/>
      <c r="U38" s="120"/>
      <c r="V38" s="120"/>
      <c r="W38" s="120"/>
    </row>
    <row r="39" spans="1:27" ht="19.5" customHeight="1" x14ac:dyDescent="0.2">
      <c r="A39" s="102"/>
      <c r="B39" s="103"/>
      <c r="C39" s="689"/>
      <c r="D39" s="91">
        <v>0</v>
      </c>
      <c r="E39" s="92">
        <v>35</v>
      </c>
      <c r="F39" s="93">
        <f>BEGINBLAD!C38</f>
        <v>0</v>
      </c>
      <c r="G39" s="94">
        <f>'NIVEAU WAARDE - vorig jaar'!D43</f>
        <v>0</v>
      </c>
      <c r="H39" s="95">
        <f>'NIVEAU WAARDE - 1e toetsperiode'!D43</f>
        <v>0</v>
      </c>
      <c r="I39" s="96" t="str">
        <f t="shared" si="0"/>
        <v/>
      </c>
      <c r="J39" s="431"/>
      <c r="K39" s="606"/>
      <c r="L39" s="603"/>
      <c r="M39" s="607"/>
      <c r="N39" s="99"/>
      <c r="O39" s="1192" t="s">
        <v>137</v>
      </c>
      <c r="P39" s="1189" t="str">
        <f>'VERRIJKT - 1e periode'!C8</f>
        <v xml:space="preserve"> - ---(gr.7), --- (gr.8) werken  met Levelwerk
 - ze krijgen instructie door de IB-er op maandag</v>
      </c>
      <c r="Q39" s="116"/>
      <c r="R39" s="120"/>
      <c r="S39" s="120"/>
      <c r="T39" s="120"/>
      <c r="U39" s="120"/>
      <c r="V39" s="120"/>
      <c r="W39" s="120"/>
    </row>
    <row r="40" spans="1:27" s="89" customFormat="1" ht="19.5" customHeight="1" thickBot="1" x14ac:dyDescent="0.25">
      <c r="A40" s="102"/>
      <c r="B40" s="103"/>
      <c r="C40" s="689"/>
      <c r="D40" s="91">
        <v>0</v>
      </c>
      <c r="E40" s="130">
        <v>36</v>
      </c>
      <c r="F40" s="131">
        <f>BEGINBLAD!C39</f>
        <v>0</v>
      </c>
      <c r="G40" s="132">
        <f>'NIVEAU WAARDE - vorig jaar'!D44</f>
        <v>0</v>
      </c>
      <c r="H40" s="133">
        <f>'NIVEAU WAARDE - 1e toetsperiode'!D44</f>
        <v>0</v>
      </c>
      <c r="I40" s="134" t="str">
        <f t="shared" si="0"/>
        <v/>
      </c>
      <c r="J40" s="608"/>
      <c r="K40" s="609"/>
      <c r="L40" s="610"/>
      <c r="M40" s="611"/>
      <c r="N40" s="99"/>
      <c r="O40" s="1192"/>
      <c r="P40" s="1189"/>
      <c r="Q40" s="116"/>
      <c r="R40" s="120"/>
      <c r="S40" s="120"/>
      <c r="T40" s="120"/>
      <c r="U40" s="120"/>
      <c r="V40" s="120"/>
      <c r="W40" s="120"/>
      <c r="X40" s="114"/>
      <c r="Y40" s="114"/>
      <c r="Z40" s="114"/>
      <c r="AA40" s="114"/>
    </row>
    <row r="41" spans="1:27" ht="19.5" customHeight="1" thickBot="1" x14ac:dyDescent="0.25">
      <c r="A41" s="137"/>
      <c r="B41" s="138"/>
      <c r="C41" s="1202" t="s">
        <v>109</v>
      </c>
      <c r="D41" s="1202"/>
      <c r="E41" s="1202"/>
      <c r="F41" s="1202"/>
      <c r="G41" s="1203" t="s">
        <v>108</v>
      </c>
      <c r="H41" s="1203"/>
      <c r="I41" s="1203"/>
      <c r="J41" s="1203"/>
      <c r="K41" s="1203"/>
      <c r="L41" s="1203"/>
      <c r="M41" s="1203"/>
      <c r="O41" s="1192"/>
      <c r="P41" s="1189"/>
      <c r="Q41" s="116"/>
      <c r="R41" s="139"/>
      <c r="S41" s="139"/>
      <c r="T41" s="139"/>
      <c r="U41" s="139"/>
      <c r="V41" s="139"/>
      <c r="W41" s="139"/>
    </row>
    <row r="42" spans="1:27" ht="19.5" customHeight="1" x14ac:dyDescent="0.2">
      <c r="A42" s="116"/>
      <c r="B42" s="159"/>
      <c r="C42" s="166" t="s">
        <v>214</v>
      </c>
      <c r="D42" s="1204"/>
      <c r="E42" s="1205"/>
      <c r="F42" s="1206"/>
      <c r="G42" s="1207" t="s">
        <v>214</v>
      </c>
      <c r="H42" s="1208"/>
      <c r="I42" s="1219" t="s">
        <v>283</v>
      </c>
      <c r="J42" s="1220"/>
      <c r="K42" s="1220"/>
      <c r="L42" s="1220"/>
      <c r="M42" s="1221"/>
      <c r="O42" s="1192"/>
      <c r="P42" s="1189"/>
      <c r="Q42" s="116"/>
      <c r="R42" s="139"/>
      <c r="S42" s="139"/>
      <c r="T42" s="139"/>
      <c r="U42" s="139"/>
      <c r="V42" s="139"/>
      <c r="W42" s="139"/>
    </row>
    <row r="43" spans="1:27" ht="19.5" customHeight="1" x14ac:dyDescent="0.2">
      <c r="A43" s="116"/>
      <c r="B43" s="160"/>
      <c r="C43" s="167" t="s">
        <v>215</v>
      </c>
      <c r="D43" s="1210" t="s">
        <v>284</v>
      </c>
      <c r="E43" s="1211"/>
      <c r="F43" s="1212"/>
      <c r="G43" s="1213" t="s">
        <v>215</v>
      </c>
      <c r="H43" s="1214"/>
      <c r="I43" s="1215"/>
      <c r="J43" s="1216"/>
      <c r="K43" s="1216"/>
      <c r="L43" s="1216"/>
      <c r="M43" s="1217"/>
      <c r="O43" s="1192"/>
      <c r="P43" s="1189"/>
      <c r="Q43" s="116"/>
      <c r="R43" s="139"/>
      <c r="S43" s="139"/>
      <c r="T43" s="139"/>
      <c r="U43" s="139"/>
      <c r="V43" s="139"/>
      <c r="W43" s="139"/>
    </row>
    <row r="44" spans="1:27" ht="19.5" customHeight="1" x14ac:dyDescent="0.2">
      <c r="A44" s="116"/>
      <c r="B44" s="160"/>
      <c r="C44" s="167" t="s">
        <v>216</v>
      </c>
      <c r="D44" s="1210" t="s">
        <v>285</v>
      </c>
      <c r="E44" s="1211"/>
      <c r="F44" s="1212"/>
      <c r="G44" s="1213" t="s">
        <v>216</v>
      </c>
      <c r="H44" s="1214"/>
      <c r="I44" s="1215" t="s">
        <v>286</v>
      </c>
      <c r="J44" s="1216"/>
      <c r="K44" s="1216"/>
      <c r="L44" s="1216"/>
      <c r="M44" s="1217"/>
      <c r="O44" s="1192"/>
      <c r="P44" s="1189"/>
      <c r="Q44" s="116"/>
      <c r="R44" s="139"/>
      <c r="S44" s="139"/>
      <c r="T44" s="139"/>
      <c r="U44" s="139"/>
      <c r="V44" s="139"/>
      <c r="W44" s="139"/>
    </row>
    <row r="45" spans="1:27" ht="19.5" customHeight="1" x14ac:dyDescent="0.2">
      <c r="A45" s="116"/>
      <c r="B45" s="160"/>
      <c r="C45" s="167" t="s">
        <v>217</v>
      </c>
      <c r="D45" s="1210" t="s">
        <v>287</v>
      </c>
      <c r="E45" s="1211"/>
      <c r="F45" s="1212"/>
      <c r="G45" s="1213" t="s">
        <v>217</v>
      </c>
      <c r="H45" s="1214"/>
      <c r="I45" s="1215"/>
      <c r="J45" s="1216"/>
      <c r="K45" s="1216"/>
      <c r="L45" s="1216"/>
      <c r="M45" s="1217"/>
      <c r="O45" s="1192"/>
      <c r="P45" s="1189"/>
      <c r="Q45" s="116"/>
      <c r="R45" s="139"/>
      <c r="S45" s="139"/>
      <c r="T45" s="139"/>
      <c r="U45" s="139"/>
      <c r="V45" s="139"/>
      <c r="W45" s="139"/>
    </row>
    <row r="46" spans="1:27" ht="19.5" customHeight="1" thickBot="1" x14ac:dyDescent="0.25">
      <c r="A46" s="116"/>
      <c r="B46" s="160"/>
      <c r="C46" s="168" t="s">
        <v>218</v>
      </c>
      <c r="D46" s="1222"/>
      <c r="E46" s="1223"/>
      <c r="F46" s="1224"/>
      <c r="G46" s="1225" t="s">
        <v>218</v>
      </c>
      <c r="H46" s="1226"/>
      <c r="I46" s="1227"/>
      <c r="J46" s="1228"/>
      <c r="K46" s="1228"/>
      <c r="L46" s="1228"/>
      <c r="M46" s="1229"/>
      <c r="O46" s="1193"/>
      <c r="P46" s="1190"/>
      <c r="Q46" s="116"/>
      <c r="R46" s="120"/>
      <c r="S46" s="120"/>
      <c r="T46" s="120"/>
      <c r="U46" s="120"/>
      <c r="V46" s="120"/>
      <c r="W46" s="120"/>
    </row>
    <row r="47" spans="1:27" x14ac:dyDescent="0.2">
      <c r="B47" s="140"/>
      <c r="C47" s="498"/>
      <c r="D47" s="495"/>
      <c r="E47" s="496"/>
      <c r="F47" s="496"/>
      <c r="G47" s="496"/>
      <c r="H47" s="497"/>
      <c r="I47" s="497"/>
      <c r="J47" s="497"/>
      <c r="K47" s="1218" t="s">
        <v>213</v>
      </c>
      <c r="L47" s="1218"/>
      <c r="M47" s="1218"/>
      <c r="N47" s="141"/>
      <c r="O47" s="151"/>
      <c r="P47" s="151"/>
      <c r="Q47" s="116"/>
      <c r="R47" s="120"/>
      <c r="S47" s="120"/>
      <c r="T47" s="120"/>
      <c r="U47" s="120"/>
      <c r="V47" s="120"/>
      <c r="W47" s="120"/>
    </row>
    <row r="48" spans="1:27" x14ac:dyDescent="0.2">
      <c r="B48" s="161"/>
      <c r="C48" s="154"/>
      <c r="D48" s="208">
        <f>BEGINBLAD!$D$40</f>
        <v>26</v>
      </c>
      <c r="E48" s="199"/>
      <c r="F48" s="200" t="s">
        <v>288</v>
      </c>
      <c r="G48" s="207">
        <f>H48/$D$49</f>
        <v>0</v>
      </c>
      <c r="H48" s="111">
        <f>COUNTIF($I$5:$I$40,"A-1+")</f>
        <v>0</v>
      </c>
      <c r="I48" s="111"/>
      <c r="J48" s="198" t="s">
        <v>289</v>
      </c>
      <c r="K48" s="198"/>
      <c r="L48" s="198"/>
      <c r="M48" s="222">
        <f>G48+G49+G50+G51+G52</f>
        <v>0.42307692307692307</v>
      </c>
      <c r="N48" s="222">
        <v>1</v>
      </c>
      <c r="O48" s="223"/>
      <c r="P48" s="141"/>
      <c r="Q48" s="116"/>
      <c r="R48" s="120"/>
      <c r="S48" s="120"/>
      <c r="T48" s="120"/>
      <c r="U48" s="120"/>
      <c r="V48" s="120"/>
      <c r="W48" s="120"/>
    </row>
    <row r="49" spans="2:23" x14ac:dyDescent="0.2">
      <c r="B49" s="161"/>
      <c r="C49" s="154"/>
      <c r="D49" s="205">
        <f>COUNTIF(H5:H40,"&gt;0")</f>
        <v>26</v>
      </c>
      <c r="E49" s="199"/>
      <c r="F49" s="200" t="s">
        <v>290</v>
      </c>
      <c r="G49" s="207">
        <f>H49/$D$49</f>
        <v>7.6923076923076927E-2</v>
      </c>
      <c r="H49" s="111">
        <f>COUNTIF($I$5:$I$40,"A-1")</f>
        <v>2</v>
      </c>
      <c r="I49" s="111"/>
      <c r="J49" s="198"/>
      <c r="K49" s="198"/>
      <c r="L49" s="198"/>
      <c r="M49" s="222"/>
      <c r="N49" s="222">
        <v>0.7</v>
      </c>
      <c r="O49" s="224"/>
      <c r="P49" s="153"/>
      <c r="Q49" s="116"/>
      <c r="R49" s="120"/>
      <c r="S49" s="120"/>
      <c r="T49" s="120"/>
      <c r="U49" s="120"/>
      <c r="V49" s="120"/>
      <c r="W49" s="120"/>
    </row>
    <row r="50" spans="2:23" x14ac:dyDescent="0.2">
      <c r="B50" s="161"/>
      <c r="C50" s="154"/>
      <c r="D50" s="201"/>
      <c r="E50" s="199"/>
      <c r="F50" s="202" t="s">
        <v>291</v>
      </c>
      <c r="G50" s="207">
        <f>(H50+I50)/$D$49</f>
        <v>0.15384615384615385</v>
      </c>
      <c r="H50" s="111">
        <f>COUNTIF($I$5:$I$40,"A-2")</f>
        <v>3</v>
      </c>
      <c r="I50" s="111">
        <f>COUNTIF($I$5:$I$40,"B-2")</f>
        <v>1</v>
      </c>
      <c r="J50" s="198"/>
      <c r="K50" s="198"/>
      <c r="L50" s="198"/>
      <c r="M50" s="222"/>
      <c r="N50" s="222">
        <v>0.6</v>
      </c>
      <c r="O50" s="224"/>
      <c r="P50" s="153"/>
      <c r="Q50" s="116"/>
      <c r="R50" s="120"/>
      <c r="S50" s="120"/>
      <c r="T50" s="120"/>
      <c r="U50" s="120"/>
      <c r="V50" s="120"/>
      <c r="W50" s="120"/>
    </row>
    <row r="51" spans="2:23" x14ac:dyDescent="0.2">
      <c r="B51" s="161"/>
      <c r="C51" s="154"/>
      <c r="D51" s="201"/>
      <c r="E51" s="199"/>
      <c r="F51" s="200" t="s">
        <v>292</v>
      </c>
      <c r="G51" s="207">
        <f>H51/$D$49</f>
        <v>0.11538461538461539</v>
      </c>
      <c r="H51" s="111">
        <f>COUNTIF($I$5:$I$40,"B-3")</f>
        <v>3</v>
      </c>
      <c r="I51" s="111"/>
      <c r="J51" s="198"/>
      <c r="K51" s="198"/>
      <c r="L51" s="198"/>
      <c r="M51" s="222"/>
      <c r="N51" s="222">
        <f>$M$48</f>
        <v>0.42307692307692307</v>
      </c>
      <c r="O51" s="224"/>
      <c r="P51" s="153"/>
      <c r="Q51" s="116"/>
      <c r="R51" s="120"/>
      <c r="S51" s="120"/>
      <c r="T51" s="120"/>
      <c r="U51" s="120"/>
      <c r="V51" s="120"/>
      <c r="W51" s="120"/>
    </row>
    <row r="52" spans="2:23" x14ac:dyDescent="0.2">
      <c r="B52" s="161"/>
      <c r="C52" s="154"/>
      <c r="D52" s="201"/>
      <c r="E52" s="199"/>
      <c r="F52" s="200" t="s">
        <v>293</v>
      </c>
      <c r="G52" s="207">
        <f>H52/$D$49</f>
        <v>7.6923076923076927E-2</v>
      </c>
      <c r="H52" s="111">
        <f>COUNTIF($I$5:$I$40,"c-3")</f>
        <v>2</v>
      </c>
      <c r="I52" s="111"/>
      <c r="J52" s="198" t="s">
        <v>294</v>
      </c>
      <c r="K52" s="198"/>
      <c r="L52" s="198"/>
      <c r="M52" s="222">
        <f>G53+G54+G55+G57</f>
        <v>0.57692307692307687</v>
      </c>
      <c r="N52" s="225"/>
      <c r="O52" s="224"/>
      <c r="P52" s="153"/>
      <c r="Q52" s="116"/>
      <c r="R52" s="120"/>
      <c r="S52" s="120"/>
      <c r="T52" s="120"/>
      <c r="U52" s="120"/>
      <c r="V52" s="120"/>
      <c r="W52" s="120"/>
    </row>
    <row r="53" spans="2:23" x14ac:dyDescent="0.2">
      <c r="B53" s="161"/>
      <c r="C53" s="154"/>
      <c r="D53" s="201"/>
      <c r="E53" s="199"/>
      <c r="F53" s="202" t="s">
        <v>295</v>
      </c>
      <c r="G53" s="207">
        <f>H53/$D$49</f>
        <v>0.19230769230769232</v>
      </c>
      <c r="H53" s="111">
        <f>COUNTIF($I$5:$I$40,"c-4")</f>
        <v>5</v>
      </c>
      <c r="I53" s="208"/>
      <c r="J53" s="198"/>
      <c r="K53" s="198"/>
      <c r="L53" s="198"/>
      <c r="M53" s="222"/>
      <c r="N53" s="225"/>
      <c r="O53" s="224"/>
      <c r="P53" s="153"/>
      <c r="Q53" s="116"/>
      <c r="R53" s="120"/>
      <c r="S53" s="120"/>
      <c r="T53" s="120"/>
      <c r="U53" s="120"/>
      <c r="V53" s="120"/>
      <c r="W53" s="120"/>
    </row>
    <row r="54" spans="2:23" x14ac:dyDescent="0.2">
      <c r="B54" s="161"/>
      <c r="C54" s="154"/>
      <c r="D54" s="201"/>
      <c r="E54" s="199"/>
      <c r="F54" s="199" t="s">
        <v>296</v>
      </c>
      <c r="G54" s="207">
        <f>H54/$D$49</f>
        <v>0.11538461538461539</v>
      </c>
      <c r="H54" s="111">
        <f>COUNTIF($I$5:$I$40,"d-4")</f>
        <v>3</v>
      </c>
      <c r="I54" s="208"/>
      <c r="J54" s="198"/>
      <c r="K54" s="198"/>
      <c r="L54" s="198"/>
      <c r="M54" s="222"/>
      <c r="N54" s="225"/>
      <c r="O54" s="224"/>
      <c r="P54" s="153"/>
      <c r="Q54" s="116"/>
      <c r="R54" s="120"/>
      <c r="S54" s="120"/>
      <c r="T54" s="120"/>
      <c r="U54" s="120"/>
      <c r="V54" s="120"/>
      <c r="W54" s="120"/>
    </row>
    <row r="55" spans="2:23" x14ac:dyDescent="0.2">
      <c r="B55" s="161"/>
      <c r="C55" s="154"/>
      <c r="D55" s="201"/>
      <c r="E55" s="199"/>
      <c r="F55" s="200" t="s">
        <v>297</v>
      </c>
      <c r="G55" s="207">
        <f>(H55+I55)/$D$49</f>
        <v>0.26923076923076922</v>
      </c>
      <c r="H55" s="111">
        <f>COUNTIF($I$5:$I$40,"d-5")</f>
        <v>5</v>
      </c>
      <c r="I55" s="111">
        <f>COUNTIF($I$5:$I$40,"e-5")</f>
        <v>2</v>
      </c>
      <c r="J55" s="198"/>
      <c r="K55" s="198"/>
      <c r="L55" s="198"/>
      <c r="M55" s="222"/>
      <c r="N55" s="225"/>
      <c r="O55" s="224"/>
      <c r="P55" s="153"/>
      <c r="Q55" s="116"/>
      <c r="R55" s="120"/>
      <c r="S55" s="120"/>
      <c r="T55" s="120"/>
      <c r="U55" s="120"/>
      <c r="V55" s="120"/>
      <c r="W55" s="120"/>
    </row>
    <row r="56" spans="2:23" x14ac:dyDescent="0.2">
      <c r="B56" s="161"/>
      <c r="C56" s="154"/>
      <c r="D56" s="201"/>
      <c r="E56" s="199"/>
      <c r="F56" s="200"/>
      <c r="G56" s="207"/>
      <c r="H56" s="111"/>
      <c r="I56" s="111"/>
      <c r="J56" s="198" t="s">
        <v>50</v>
      </c>
      <c r="K56" s="198"/>
      <c r="L56" s="198"/>
      <c r="M56" s="222">
        <f>M48+M52</f>
        <v>1</v>
      </c>
      <c r="N56" s="1209"/>
      <c r="O56" s="224"/>
      <c r="P56" s="153"/>
      <c r="Q56" s="116"/>
      <c r="R56" s="120"/>
      <c r="S56" s="120"/>
      <c r="T56" s="120"/>
      <c r="U56" s="120"/>
      <c r="V56" s="120"/>
      <c r="W56" s="120"/>
    </row>
    <row r="57" spans="2:23" x14ac:dyDescent="0.2">
      <c r="B57" s="161"/>
      <c r="C57" s="154"/>
      <c r="D57" s="201"/>
      <c r="E57" s="199"/>
      <c r="F57" s="203" t="s">
        <v>298</v>
      </c>
      <c r="G57" s="207">
        <f>H57/$D$49</f>
        <v>0</v>
      </c>
      <c r="H57" s="111">
        <f>COUNTIF($I$5:$I$40,"e-5-")</f>
        <v>0</v>
      </c>
      <c r="I57" s="111"/>
      <c r="J57" s="198"/>
      <c r="K57" s="198"/>
      <c r="L57" s="198"/>
      <c r="M57" s="222"/>
      <c r="N57" s="1209"/>
      <c r="O57" s="224"/>
      <c r="P57" s="153"/>
      <c r="Q57" s="116"/>
      <c r="R57" s="120"/>
      <c r="S57" s="120"/>
      <c r="T57" s="120"/>
      <c r="U57" s="120"/>
      <c r="V57" s="120"/>
      <c r="W57" s="120"/>
    </row>
    <row r="58" spans="2:23" x14ac:dyDescent="0.2">
      <c r="B58" s="161"/>
      <c r="C58" s="145"/>
      <c r="D58" s="201"/>
      <c r="E58" s="199"/>
      <c r="F58" s="200" t="s">
        <v>50</v>
      </c>
      <c r="G58" s="204">
        <f>SUM(G48:G57)</f>
        <v>1</v>
      </c>
      <c r="H58" s="693">
        <f>SUM(H48:H57)</f>
        <v>23</v>
      </c>
      <c r="I58" s="693">
        <f>SUM(I48:I57)</f>
        <v>3</v>
      </c>
      <c r="J58" s="208"/>
      <c r="K58" s="208"/>
      <c r="L58" s="223"/>
      <c r="M58" s="223"/>
      <c r="N58" s="223"/>
      <c r="O58" s="223"/>
      <c r="P58" s="151"/>
      <c r="Q58" s="116"/>
      <c r="R58" s="120"/>
      <c r="S58" s="120"/>
      <c r="T58" s="120"/>
      <c r="U58" s="120"/>
      <c r="V58" s="120"/>
      <c r="W58" s="120"/>
    </row>
    <row r="59" spans="2:23" x14ac:dyDescent="0.2">
      <c r="B59" s="161"/>
      <c r="C59" s="145"/>
      <c r="D59" s="201"/>
      <c r="E59" s="199"/>
      <c r="F59" s="196"/>
      <c r="G59" s="196"/>
      <c r="H59" s="208">
        <f>SUM(H58+I58)</f>
        <v>26</v>
      </c>
      <c r="I59" s="208"/>
      <c r="J59" s="208"/>
      <c r="K59" s="208"/>
      <c r="L59" s="223"/>
      <c r="M59" s="223"/>
      <c r="N59" s="223"/>
      <c r="O59" s="223"/>
      <c r="P59" s="151"/>
      <c r="Q59" s="116"/>
      <c r="R59" s="120"/>
      <c r="S59" s="120"/>
      <c r="T59" s="120"/>
      <c r="U59" s="120"/>
      <c r="V59" s="120"/>
      <c r="W59" s="120"/>
    </row>
    <row r="60" spans="2:23" x14ac:dyDescent="0.2">
      <c r="B60" s="161"/>
      <c r="C60" s="145"/>
      <c r="D60" s="205"/>
      <c r="E60" s="196"/>
      <c r="F60" s="199"/>
      <c r="G60" s="207"/>
      <c r="H60" s="197"/>
      <c r="I60" s="197"/>
      <c r="J60" s="197"/>
      <c r="K60" s="197"/>
      <c r="L60" s="223"/>
      <c r="M60" s="223"/>
      <c r="N60" s="223"/>
      <c r="O60" s="223"/>
      <c r="P60" s="151"/>
      <c r="Q60" s="116"/>
      <c r="R60" s="120"/>
      <c r="S60" s="120"/>
      <c r="T60" s="120"/>
      <c r="U60" s="120"/>
      <c r="V60" s="120"/>
      <c r="W60" s="120"/>
    </row>
    <row r="61" spans="2:23" x14ac:dyDescent="0.2">
      <c r="B61" s="161"/>
      <c r="C61" s="145"/>
      <c r="D61" s="205"/>
      <c r="E61" s="196"/>
      <c r="F61" s="206"/>
      <c r="G61" s="207"/>
      <c r="H61" s="197"/>
      <c r="I61" s="197"/>
      <c r="J61" s="197"/>
      <c r="K61" s="197"/>
      <c r="L61" s="223"/>
      <c r="M61" s="223"/>
      <c r="N61" s="223"/>
      <c r="O61" s="223"/>
      <c r="P61" s="151"/>
      <c r="Q61" s="116"/>
      <c r="R61" s="120"/>
      <c r="S61" s="120"/>
      <c r="T61" s="120"/>
      <c r="U61" s="120"/>
      <c r="V61" s="120"/>
      <c r="W61" s="120"/>
    </row>
    <row r="62" spans="2:23" x14ac:dyDescent="0.2">
      <c r="B62" s="162"/>
      <c r="C62" s="169"/>
      <c r="D62" s="144"/>
      <c r="E62" s="145"/>
      <c r="F62" s="170"/>
      <c r="G62" s="171"/>
      <c r="H62" s="142"/>
      <c r="I62" s="142"/>
      <c r="J62" s="142"/>
      <c r="K62" s="142"/>
      <c r="L62" s="141"/>
      <c r="M62" s="141"/>
      <c r="N62" s="141"/>
      <c r="O62" s="141"/>
      <c r="P62" s="151"/>
      <c r="Q62" s="116"/>
      <c r="R62" s="120"/>
      <c r="S62" s="120"/>
      <c r="T62" s="120"/>
      <c r="U62" s="120"/>
      <c r="V62" s="120"/>
      <c r="W62" s="120"/>
    </row>
    <row r="63" spans="2:23" x14ac:dyDescent="0.2">
      <c r="B63" s="161"/>
      <c r="C63" s="145"/>
      <c r="D63" s="144"/>
      <c r="E63" s="145"/>
      <c r="F63" s="145"/>
      <c r="G63" s="145"/>
      <c r="H63" s="142"/>
      <c r="I63" s="142"/>
      <c r="J63" s="142"/>
      <c r="K63" s="142"/>
      <c r="L63" s="141"/>
      <c r="M63" s="141"/>
      <c r="N63" s="141"/>
      <c r="O63" s="141"/>
      <c r="P63" s="151"/>
      <c r="Q63" s="116"/>
      <c r="R63" s="120"/>
      <c r="S63" s="120"/>
      <c r="T63" s="120"/>
      <c r="U63" s="120"/>
      <c r="V63" s="120"/>
      <c r="W63" s="120"/>
    </row>
    <row r="64" spans="2:23" x14ac:dyDescent="0.2">
      <c r="B64" s="161"/>
      <c r="C64" s="143"/>
      <c r="D64" s="144"/>
      <c r="E64" s="145"/>
      <c r="F64" s="145"/>
      <c r="G64" s="145"/>
      <c r="H64" s="142"/>
      <c r="I64" s="142"/>
      <c r="J64" s="142"/>
      <c r="K64" s="142"/>
      <c r="L64" s="143"/>
      <c r="M64" s="141"/>
      <c r="N64" s="141"/>
      <c r="O64" s="141"/>
      <c r="P64" s="141"/>
      <c r="Q64" s="116"/>
      <c r="R64" s="120"/>
      <c r="S64" s="120"/>
      <c r="T64" s="120"/>
      <c r="U64" s="120"/>
      <c r="V64" s="120"/>
      <c r="W64" s="120"/>
    </row>
    <row r="65" spans="3:24" x14ac:dyDescent="0.2">
      <c r="C65" s="143"/>
      <c r="D65" s="144"/>
      <c r="E65" s="145"/>
      <c r="F65" s="145"/>
      <c r="G65" s="145"/>
      <c r="H65" s="142"/>
      <c r="I65" s="142"/>
      <c r="J65" s="142"/>
      <c r="K65" s="142"/>
      <c r="L65" s="143"/>
      <c r="M65" s="141"/>
      <c r="N65" s="141"/>
      <c r="O65" s="141"/>
      <c r="P65" s="141"/>
      <c r="Q65" s="116"/>
      <c r="R65" s="120"/>
      <c r="S65" s="120"/>
      <c r="T65" s="120"/>
      <c r="U65" s="120"/>
      <c r="V65" s="120"/>
      <c r="W65" s="120"/>
    </row>
    <row r="66" spans="3:24" x14ac:dyDescent="0.2">
      <c r="C66" s="143"/>
      <c r="D66" s="144"/>
      <c r="E66" s="145"/>
      <c r="F66" s="145"/>
      <c r="G66" s="145"/>
      <c r="H66" s="142"/>
      <c r="I66" s="142"/>
      <c r="J66" s="142"/>
      <c r="K66" s="142"/>
      <c r="L66" s="143"/>
      <c r="M66" s="141"/>
      <c r="N66" s="155"/>
      <c r="O66" s="141"/>
      <c r="P66" s="141"/>
      <c r="Q66" s="116"/>
      <c r="R66" s="120"/>
      <c r="S66" s="120"/>
      <c r="T66" s="120"/>
      <c r="U66" s="120"/>
      <c r="V66" s="120"/>
      <c r="W66" s="120"/>
      <c r="X66" s="146"/>
    </row>
    <row r="67" spans="3:24" ht="20.25" x14ac:dyDescent="0.2">
      <c r="C67" s="145"/>
      <c r="D67" s="154"/>
      <c r="E67" s="145"/>
      <c r="F67" s="145"/>
      <c r="G67" s="145"/>
      <c r="H67" s="142"/>
      <c r="I67" s="142"/>
      <c r="J67" s="156"/>
      <c r="K67" s="142"/>
      <c r="L67" s="145"/>
      <c r="M67" s="141"/>
      <c r="N67" s="141"/>
      <c r="O67" s="155"/>
      <c r="P67" s="155"/>
      <c r="Q67" s="116"/>
      <c r="R67" s="117"/>
      <c r="S67" s="117"/>
      <c r="T67" s="117"/>
      <c r="U67" s="118"/>
      <c r="V67" s="118"/>
      <c r="W67" s="118"/>
      <c r="X67" s="119"/>
    </row>
    <row r="68" spans="3:24" ht="20.25" x14ac:dyDescent="0.2">
      <c r="C68" s="145"/>
      <c r="D68" s="154"/>
      <c r="E68" s="145"/>
      <c r="F68" s="145"/>
      <c r="G68" s="145"/>
      <c r="H68" s="142"/>
      <c r="I68" s="142"/>
      <c r="J68" s="156"/>
      <c r="K68" s="142"/>
      <c r="L68" s="145"/>
      <c r="M68" s="141"/>
      <c r="N68" s="141"/>
      <c r="O68" s="141"/>
      <c r="P68" s="141"/>
      <c r="Q68" s="116"/>
      <c r="R68" s="120"/>
      <c r="S68" s="120"/>
      <c r="T68" s="120"/>
      <c r="U68" s="120"/>
      <c r="V68" s="120"/>
      <c r="W68" s="120"/>
    </row>
    <row r="69" spans="3:24" ht="20.25" x14ac:dyDescent="0.2">
      <c r="C69" s="143"/>
      <c r="D69" s="154"/>
      <c r="E69" s="143"/>
      <c r="F69" s="143"/>
      <c r="G69" s="143"/>
      <c r="H69" s="142"/>
      <c r="I69" s="142"/>
      <c r="J69" s="156"/>
      <c r="K69" s="142"/>
      <c r="L69" s="143"/>
      <c r="M69" s="141"/>
      <c r="N69" s="141"/>
      <c r="O69" s="141"/>
      <c r="P69" s="141"/>
      <c r="Q69" s="116"/>
      <c r="R69" s="120"/>
      <c r="S69" s="120"/>
      <c r="T69" s="120"/>
      <c r="U69" s="120"/>
      <c r="V69" s="120"/>
      <c r="W69" s="120"/>
    </row>
    <row r="70" spans="3:24" ht="20.25" x14ac:dyDescent="0.2">
      <c r="C70" s="143"/>
      <c r="D70" s="154"/>
      <c r="E70" s="143"/>
      <c r="F70" s="143"/>
      <c r="G70" s="143"/>
      <c r="H70" s="142"/>
      <c r="I70" s="142"/>
      <c r="J70" s="156"/>
      <c r="K70" s="142"/>
      <c r="L70" s="143"/>
      <c r="M70" s="141"/>
      <c r="N70" s="141"/>
      <c r="O70" s="141"/>
      <c r="P70" s="141"/>
      <c r="Q70" s="116"/>
      <c r="R70" s="120"/>
      <c r="S70" s="120"/>
      <c r="T70" s="120"/>
      <c r="U70" s="120"/>
      <c r="V70" s="120"/>
      <c r="W70" s="120"/>
    </row>
    <row r="71" spans="3:24" ht="20.25" x14ac:dyDescent="0.2">
      <c r="C71" s="143"/>
      <c r="D71" s="154"/>
      <c r="E71" s="143"/>
      <c r="F71" s="143"/>
      <c r="G71" s="143"/>
      <c r="H71" s="142"/>
      <c r="I71" s="142"/>
      <c r="J71" s="156"/>
      <c r="K71" s="142"/>
      <c r="L71" s="143"/>
      <c r="M71" s="141"/>
      <c r="N71" s="141"/>
      <c r="O71" s="141"/>
      <c r="P71" s="141"/>
      <c r="Q71" s="116"/>
      <c r="R71" s="120"/>
      <c r="S71" s="120"/>
      <c r="T71" s="120"/>
      <c r="U71" s="120"/>
      <c r="V71" s="120"/>
      <c r="W71" s="120"/>
    </row>
    <row r="72" spans="3:24" x14ac:dyDescent="0.2">
      <c r="C72" s="143"/>
      <c r="D72" s="144"/>
      <c r="E72" s="143"/>
      <c r="F72" s="143"/>
      <c r="G72" s="143"/>
      <c r="H72" s="142"/>
      <c r="I72" s="142"/>
      <c r="J72" s="142"/>
      <c r="K72" s="142"/>
      <c r="L72" s="143"/>
      <c r="M72" s="141"/>
      <c r="N72" s="141"/>
      <c r="O72" s="141"/>
      <c r="P72" s="141"/>
      <c r="Q72" s="116"/>
      <c r="R72" s="120"/>
      <c r="S72" s="120"/>
      <c r="T72" s="120"/>
      <c r="U72" s="120"/>
      <c r="V72" s="120"/>
      <c r="W72" s="120"/>
    </row>
    <row r="73" spans="3:24" x14ac:dyDescent="0.2">
      <c r="C73" s="143"/>
      <c r="D73" s="144"/>
      <c r="E73" s="143"/>
      <c r="F73" s="143"/>
      <c r="G73" s="143"/>
      <c r="H73" s="142"/>
      <c r="I73" s="142"/>
      <c r="J73" s="142"/>
      <c r="K73" s="142"/>
      <c r="L73" s="143"/>
      <c r="M73" s="141"/>
      <c r="N73" s="141"/>
      <c r="O73" s="141"/>
      <c r="P73" s="141"/>
      <c r="Q73" s="116"/>
      <c r="R73" s="120"/>
      <c r="S73" s="120"/>
      <c r="T73" s="120"/>
      <c r="U73" s="120"/>
      <c r="V73" s="120"/>
      <c r="W73" s="120"/>
    </row>
    <row r="74" spans="3:24" x14ac:dyDescent="0.2">
      <c r="C74" s="143"/>
      <c r="D74" s="144"/>
      <c r="E74" s="143"/>
      <c r="F74" s="143"/>
      <c r="G74" s="143"/>
      <c r="H74" s="142"/>
      <c r="I74" s="142"/>
      <c r="J74" s="142"/>
      <c r="K74" s="142"/>
      <c r="L74" s="143"/>
      <c r="M74" s="141"/>
      <c r="N74" s="141"/>
      <c r="O74" s="141"/>
      <c r="P74" s="141"/>
      <c r="Q74" s="116"/>
      <c r="R74" s="120"/>
      <c r="S74" s="120"/>
      <c r="T74" s="120"/>
      <c r="U74" s="120"/>
      <c r="V74" s="120"/>
      <c r="W74" s="120"/>
    </row>
    <row r="75" spans="3:24" x14ac:dyDescent="0.2">
      <c r="C75" s="143"/>
      <c r="D75" s="144"/>
      <c r="E75" s="143"/>
      <c r="F75" s="143"/>
      <c r="G75" s="143"/>
      <c r="H75" s="142"/>
      <c r="I75" s="142"/>
      <c r="J75" s="142"/>
      <c r="K75" s="142"/>
      <c r="L75" s="143"/>
      <c r="M75" s="141"/>
      <c r="N75" s="141"/>
      <c r="O75" s="141"/>
      <c r="P75" s="141"/>
      <c r="Q75" s="116"/>
      <c r="R75" s="120"/>
      <c r="S75" s="120"/>
      <c r="T75" s="120"/>
      <c r="U75" s="120"/>
      <c r="V75" s="120"/>
      <c r="W75" s="120"/>
    </row>
    <row r="76" spans="3:24" x14ac:dyDescent="0.2">
      <c r="C76" s="143"/>
      <c r="D76" s="144"/>
      <c r="E76" s="143"/>
      <c r="F76" s="143"/>
      <c r="G76" s="143"/>
      <c r="H76" s="142"/>
      <c r="I76" s="142"/>
      <c r="J76" s="142"/>
      <c r="K76" s="142"/>
      <c r="L76" s="143"/>
      <c r="M76" s="141"/>
      <c r="N76" s="141"/>
      <c r="O76" s="141"/>
      <c r="P76" s="141"/>
      <c r="Q76" s="116"/>
      <c r="R76" s="120"/>
      <c r="S76" s="120"/>
      <c r="T76" s="120"/>
      <c r="U76" s="120"/>
      <c r="V76" s="120"/>
      <c r="W76" s="120"/>
    </row>
    <row r="77" spans="3:24" x14ac:dyDescent="0.2">
      <c r="C77" s="143"/>
      <c r="D77" s="144"/>
      <c r="E77" s="143"/>
      <c r="F77" s="143"/>
      <c r="G77" s="143"/>
      <c r="H77" s="142"/>
      <c r="I77" s="142"/>
      <c r="J77" s="142"/>
      <c r="K77" s="142"/>
      <c r="L77" s="143"/>
      <c r="M77" s="141"/>
      <c r="N77" s="141"/>
      <c r="O77" s="141"/>
      <c r="P77" s="141"/>
      <c r="Q77" s="116"/>
      <c r="R77" s="120"/>
      <c r="S77" s="120"/>
      <c r="T77" s="120"/>
      <c r="U77" s="120"/>
      <c r="V77" s="120"/>
      <c r="W77" s="120"/>
    </row>
    <row r="78" spans="3:24" x14ac:dyDescent="0.2">
      <c r="C78" s="143"/>
      <c r="D78" s="144"/>
      <c r="E78" s="143"/>
      <c r="F78" s="143"/>
      <c r="G78" s="143"/>
      <c r="H78" s="142"/>
      <c r="I78" s="142"/>
      <c r="J78" s="142"/>
      <c r="K78" s="142"/>
      <c r="L78" s="143"/>
      <c r="M78" s="141"/>
      <c r="N78" s="141"/>
      <c r="O78" s="141"/>
      <c r="P78" s="141"/>
      <c r="Q78" s="116"/>
      <c r="R78" s="120"/>
      <c r="S78" s="120"/>
      <c r="T78" s="120"/>
      <c r="U78" s="120"/>
      <c r="V78" s="120"/>
      <c r="W78" s="120"/>
    </row>
    <row r="79" spans="3:24" x14ac:dyDescent="0.2">
      <c r="C79" s="143"/>
      <c r="D79" s="144"/>
      <c r="E79" s="143"/>
      <c r="F79" s="143"/>
      <c r="G79" s="143"/>
      <c r="H79" s="142"/>
      <c r="I79" s="142"/>
      <c r="J79" s="142"/>
      <c r="K79" s="142"/>
      <c r="L79" s="143"/>
      <c r="M79" s="141"/>
      <c r="N79" s="141"/>
      <c r="O79" s="141"/>
      <c r="P79" s="141"/>
      <c r="Q79" s="116"/>
      <c r="R79" s="120"/>
      <c r="S79" s="120"/>
      <c r="T79" s="120"/>
      <c r="U79" s="120"/>
      <c r="V79" s="120"/>
      <c r="W79" s="120"/>
    </row>
    <row r="80" spans="3:24" x14ac:dyDescent="0.2">
      <c r="C80" s="143"/>
      <c r="D80" s="144"/>
      <c r="E80" s="143"/>
      <c r="F80" s="143"/>
      <c r="G80" s="143"/>
      <c r="H80" s="142"/>
      <c r="I80" s="142"/>
      <c r="J80" s="142"/>
      <c r="K80" s="142"/>
      <c r="L80" s="143"/>
      <c r="M80" s="141"/>
      <c r="N80" s="141"/>
      <c r="O80" s="141"/>
      <c r="P80" s="141"/>
      <c r="Q80" s="116"/>
      <c r="R80" s="120"/>
      <c r="S80" s="120"/>
      <c r="T80" s="120"/>
      <c r="U80" s="120"/>
      <c r="V80" s="120"/>
      <c r="W80" s="120"/>
    </row>
    <row r="81" spans="3:23" x14ac:dyDescent="0.2">
      <c r="C81" s="143"/>
      <c r="D81" s="144"/>
      <c r="E81" s="143"/>
      <c r="F81" s="143"/>
      <c r="G81" s="143"/>
      <c r="H81" s="142"/>
      <c r="I81" s="142"/>
      <c r="J81" s="142"/>
      <c r="K81" s="142"/>
      <c r="L81" s="143"/>
      <c r="M81" s="141"/>
      <c r="N81" s="141"/>
      <c r="O81" s="141"/>
      <c r="P81" s="141"/>
      <c r="Q81" s="116"/>
      <c r="R81" s="120"/>
      <c r="S81" s="120"/>
      <c r="T81" s="120"/>
      <c r="U81" s="120"/>
      <c r="V81" s="120"/>
      <c r="W81" s="120"/>
    </row>
    <row r="82" spans="3:23" x14ac:dyDescent="0.2">
      <c r="C82" s="143"/>
      <c r="D82" s="144"/>
      <c r="E82" s="143"/>
      <c r="F82" s="143"/>
      <c r="G82" s="143"/>
      <c r="H82" s="142"/>
      <c r="I82" s="142"/>
      <c r="J82" s="142"/>
      <c r="K82" s="142"/>
      <c r="L82" s="143"/>
      <c r="M82" s="141"/>
      <c r="N82" s="141"/>
      <c r="O82" s="141"/>
      <c r="P82" s="141"/>
      <c r="Q82" s="116"/>
      <c r="R82" s="120"/>
      <c r="S82" s="120"/>
      <c r="T82" s="120"/>
      <c r="U82" s="120"/>
      <c r="V82" s="120"/>
      <c r="W82" s="120"/>
    </row>
    <row r="83" spans="3:23" x14ac:dyDescent="0.2">
      <c r="C83" s="143"/>
      <c r="D83" s="144"/>
      <c r="E83" s="143"/>
      <c r="F83" s="143"/>
      <c r="G83" s="143"/>
      <c r="H83" s="142"/>
      <c r="I83" s="142"/>
      <c r="J83" s="142"/>
      <c r="K83" s="142"/>
      <c r="L83" s="143"/>
      <c r="M83" s="141"/>
      <c r="N83" s="141"/>
      <c r="O83" s="141"/>
      <c r="P83" s="141"/>
      <c r="Q83" s="116"/>
      <c r="R83" s="120"/>
      <c r="S83" s="120"/>
      <c r="T83" s="120"/>
      <c r="U83" s="120"/>
      <c r="V83" s="120"/>
      <c r="W83" s="120"/>
    </row>
    <row r="84" spans="3:23" x14ac:dyDescent="0.2">
      <c r="C84" s="143"/>
      <c r="D84" s="144"/>
      <c r="E84" s="143"/>
      <c r="F84" s="143"/>
      <c r="G84" s="143"/>
      <c r="H84" s="142"/>
      <c r="I84" s="142"/>
      <c r="J84" s="142"/>
      <c r="K84" s="142"/>
      <c r="L84" s="143"/>
      <c r="M84" s="141"/>
      <c r="N84" s="141"/>
      <c r="O84" s="141"/>
      <c r="P84" s="141"/>
      <c r="Q84" s="116"/>
      <c r="R84" s="120"/>
      <c r="S84" s="120"/>
      <c r="T84" s="120"/>
      <c r="U84" s="120"/>
      <c r="V84" s="120"/>
      <c r="W84" s="120"/>
    </row>
    <row r="85" spans="3:23" x14ac:dyDescent="0.2">
      <c r="C85" s="143"/>
      <c r="D85" s="152"/>
      <c r="E85" s="157"/>
      <c r="F85" s="157"/>
      <c r="G85" s="157"/>
      <c r="H85" s="158"/>
      <c r="I85" s="158"/>
      <c r="J85" s="158"/>
      <c r="K85" s="158"/>
      <c r="L85" s="143"/>
      <c r="M85" s="141"/>
      <c r="N85" s="141"/>
      <c r="O85" s="141"/>
      <c r="P85" s="141"/>
      <c r="Q85" s="116"/>
      <c r="R85" s="120"/>
      <c r="S85" s="120"/>
      <c r="T85" s="120"/>
      <c r="U85" s="120"/>
      <c r="V85" s="120"/>
      <c r="W85" s="120"/>
    </row>
    <row r="86" spans="3:23" x14ac:dyDescent="0.2">
      <c r="D86" s="144"/>
      <c r="E86" s="143"/>
      <c r="F86" s="143"/>
      <c r="G86" s="143"/>
      <c r="H86" s="142"/>
      <c r="I86" s="142"/>
      <c r="J86" s="142"/>
      <c r="K86" s="142"/>
      <c r="L86" s="143"/>
      <c r="M86" s="494"/>
      <c r="N86" s="89"/>
      <c r="O86" s="89"/>
      <c r="P86" s="89"/>
      <c r="Q86" s="116"/>
      <c r="R86" s="120"/>
      <c r="S86" s="120"/>
      <c r="T86" s="120"/>
      <c r="U86" s="120"/>
      <c r="V86" s="120"/>
      <c r="W86" s="120"/>
    </row>
    <row r="87" spans="3:23" x14ac:dyDescent="0.2">
      <c r="D87" s="144"/>
      <c r="E87" s="143"/>
      <c r="F87" s="143"/>
      <c r="G87" s="143"/>
      <c r="H87" s="142"/>
      <c r="I87" s="142"/>
      <c r="J87" s="142"/>
      <c r="K87" s="142"/>
      <c r="L87" s="143"/>
      <c r="M87" s="494"/>
      <c r="N87" s="89"/>
      <c r="O87" s="89"/>
      <c r="P87" s="89"/>
      <c r="Q87" s="116"/>
      <c r="R87" s="120"/>
      <c r="S87" s="120"/>
      <c r="T87" s="120"/>
      <c r="U87" s="120"/>
      <c r="V87" s="120"/>
      <c r="W87" s="120"/>
    </row>
    <row r="88" spans="3:23" x14ac:dyDescent="0.2">
      <c r="D88" s="144"/>
      <c r="E88" s="143"/>
      <c r="F88" s="143"/>
      <c r="G88" s="143"/>
      <c r="H88" s="142"/>
      <c r="I88" s="142"/>
      <c r="J88" s="142"/>
      <c r="K88" s="142"/>
      <c r="L88" s="143"/>
      <c r="M88" s="494"/>
      <c r="N88" s="89"/>
      <c r="O88" s="89"/>
      <c r="P88" s="89"/>
      <c r="Q88" s="89"/>
      <c r="R88" s="120"/>
      <c r="S88" s="120"/>
      <c r="T88" s="120"/>
      <c r="U88" s="120"/>
      <c r="V88" s="120"/>
      <c r="W88" s="120"/>
    </row>
    <row r="89" spans="3:23" x14ac:dyDescent="0.2">
      <c r="D89" s="144"/>
      <c r="E89" s="143"/>
      <c r="F89" s="143"/>
      <c r="G89" s="143"/>
      <c r="H89" s="142"/>
      <c r="I89" s="142"/>
      <c r="J89" s="142"/>
      <c r="K89" s="142"/>
      <c r="L89" s="143"/>
      <c r="M89" s="494"/>
      <c r="N89" s="89"/>
      <c r="O89" s="89"/>
      <c r="P89" s="89"/>
      <c r="Q89" s="89"/>
      <c r="R89" s="120"/>
      <c r="S89" s="120"/>
      <c r="T89" s="120"/>
      <c r="U89" s="120"/>
      <c r="V89" s="120"/>
      <c r="W89" s="120"/>
    </row>
    <row r="90" spans="3:23" x14ac:dyDescent="0.2">
      <c r="D90" s="144"/>
      <c r="E90" s="143"/>
      <c r="F90" s="143"/>
      <c r="G90" s="143"/>
      <c r="H90" s="142"/>
      <c r="I90" s="142"/>
      <c r="J90" s="142"/>
      <c r="K90" s="142"/>
      <c r="L90" s="143"/>
      <c r="M90" s="494"/>
      <c r="N90" s="89"/>
      <c r="O90" s="89"/>
      <c r="P90" s="89"/>
      <c r="Q90" s="89"/>
      <c r="R90" s="120"/>
      <c r="S90" s="120"/>
      <c r="T90" s="120"/>
      <c r="U90" s="120"/>
      <c r="V90" s="120"/>
      <c r="W90" s="120"/>
    </row>
    <row r="91" spans="3:23" x14ac:dyDescent="0.2">
      <c r="D91" s="144"/>
      <c r="E91" s="143"/>
      <c r="F91" s="143"/>
      <c r="G91" s="143"/>
      <c r="H91" s="142"/>
      <c r="I91" s="142"/>
      <c r="J91" s="142"/>
      <c r="K91" s="142"/>
      <c r="L91" s="143"/>
      <c r="M91" s="494"/>
      <c r="N91" s="89"/>
      <c r="O91" s="89"/>
      <c r="P91" s="89"/>
      <c r="Q91" s="89"/>
      <c r="R91" s="120"/>
      <c r="S91" s="120"/>
      <c r="T91" s="120"/>
      <c r="U91" s="120"/>
      <c r="V91" s="120"/>
      <c r="W91" s="120"/>
    </row>
    <row r="92" spans="3:23" x14ac:dyDescent="0.2">
      <c r="D92" s="144"/>
      <c r="E92" s="143"/>
      <c r="F92" s="143"/>
      <c r="G92" s="143"/>
      <c r="H92" s="142"/>
      <c r="I92" s="142"/>
      <c r="J92" s="142"/>
      <c r="K92" s="142"/>
      <c r="L92" s="143"/>
      <c r="M92" s="151"/>
      <c r="R92" s="146"/>
      <c r="S92" s="146"/>
      <c r="T92" s="146"/>
      <c r="U92" s="146"/>
      <c r="V92" s="146"/>
      <c r="W92" s="146"/>
    </row>
    <row r="93" spans="3:23" x14ac:dyDescent="0.2">
      <c r="D93" s="144"/>
      <c r="E93" s="143"/>
      <c r="F93" s="143"/>
      <c r="G93" s="143"/>
      <c r="H93" s="142"/>
      <c r="I93" s="142"/>
      <c r="J93" s="142"/>
      <c r="K93" s="142"/>
      <c r="L93" s="143"/>
      <c r="M93" s="151"/>
      <c r="R93" s="146"/>
      <c r="S93" s="146"/>
      <c r="T93" s="146"/>
      <c r="U93" s="146"/>
      <c r="V93" s="146"/>
      <c r="W93" s="146"/>
    </row>
    <row r="94" spans="3:23" x14ac:dyDescent="0.2">
      <c r="D94" s="144"/>
      <c r="E94" s="143"/>
      <c r="F94" s="143"/>
      <c r="G94" s="143"/>
      <c r="H94" s="142"/>
      <c r="I94" s="142"/>
      <c r="J94" s="142"/>
      <c r="K94" s="142"/>
      <c r="L94" s="143"/>
      <c r="M94" s="151"/>
      <c r="R94" s="146"/>
      <c r="S94" s="146"/>
      <c r="T94" s="146"/>
      <c r="U94" s="146"/>
      <c r="V94" s="146"/>
      <c r="W94" s="146"/>
    </row>
    <row r="95" spans="3:23" x14ac:dyDescent="0.2">
      <c r="D95" s="144"/>
      <c r="E95" s="143"/>
      <c r="F95" s="143"/>
      <c r="G95" s="143"/>
      <c r="H95" s="142"/>
      <c r="I95" s="142"/>
      <c r="J95" s="142"/>
      <c r="K95" s="142"/>
      <c r="L95" s="143"/>
      <c r="M95" s="151"/>
      <c r="R95" s="146"/>
      <c r="S95" s="146"/>
      <c r="T95" s="146"/>
      <c r="U95" s="146"/>
      <c r="V95" s="146"/>
      <c r="W95" s="146"/>
    </row>
    <row r="96" spans="3:23" x14ac:dyDescent="0.2">
      <c r="D96" s="144"/>
      <c r="E96" s="143"/>
      <c r="F96" s="143"/>
      <c r="G96" s="143"/>
      <c r="H96" s="142"/>
      <c r="I96" s="142"/>
      <c r="J96" s="142"/>
      <c r="K96" s="142"/>
      <c r="L96" s="143"/>
      <c r="M96" s="151"/>
      <c r="R96" s="146"/>
      <c r="S96" s="146"/>
      <c r="T96" s="146"/>
      <c r="U96" s="146"/>
      <c r="V96" s="146"/>
      <c r="W96" s="146"/>
    </row>
    <row r="97" spans="4:23" x14ac:dyDescent="0.2">
      <c r="D97" s="144"/>
      <c r="E97" s="143"/>
      <c r="F97" s="143"/>
      <c r="G97" s="143"/>
      <c r="H97" s="142"/>
      <c r="I97" s="142"/>
      <c r="J97" s="142"/>
      <c r="K97" s="142"/>
      <c r="L97" s="143"/>
      <c r="M97" s="151"/>
      <c r="R97" s="146"/>
      <c r="S97" s="146"/>
      <c r="T97" s="146"/>
      <c r="U97" s="146"/>
      <c r="V97" s="146"/>
      <c r="W97" s="146"/>
    </row>
    <row r="98" spans="4:23" x14ac:dyDescent="0.2">
      <c r="D98" s="144"/>
      <c r="E98" s="143"/>
      <c r="F98" s="143"/>
      <c r="G98" s="143"/>
      <c r="H98" s="142"/>
      <c r="I98" s="142"/>
      <c r="J98" s="142"/>
      <c r="K98" s="142"/>
      <c r="L98" s="143"/>
      <c r="M98" s="151"/>
      <c r="R98" s="146"/>
      <c r="S98" s="146"/>
      <c r="T98" s="146"/>
      <c r="U98" s="146"/>
      <c r="V98" s="146"/>
      <c r="W98" s="146"/>
    </row>
    <row r="99" spans="4:23" x14ac:dyDescent="0.2">
      <c r="D99" s="144"/>
      <c r="E99" s="143"/>
      <c r="F99" s="143"/>
      <c r="G99" s="143"/>
      <c r="H99" s="142"/>
      <c r="I99" s="142"/>
      <c r="J99" s="142"/>
      <c r="K99" s="142"/>
      <c r="L99" s="143"/>
      <c r="M99" s="151"/>
      <c r="R99" s="146"/>
      <c r="S99" s="146"/>
      <c r="T99" s="146"/>
      <c r="U99" s="146"/>
      <c r="V99" s="146"/>
      <c r="W99" s="146"/>
    </row>
    <row r="100" spans="4:23" x14ac:dyDescent="0.2">
      <c r="D100" s="144"/>
      <c r="E100" s="143"/>
      <c r="F100" s="143"/>
      <c r="G100" s="143"/>
      <c r="H100" s="142"/>
      <c r="I100" s="142"/>
      <c r="J100" s="142"/>
      <c r="K100" s="142"/>
      <c r="L100" s="143"/>
      <c r="M100" s="151"/>
      <c r="R100" s="146"/>
      <c r="S100" s="146"/>
      <c r="T100" s="146"/>
      <c r="U100" s="146"/>
      <c r="V100" s="146"/>
      <c r="W100" s="146"/>
    </row>
    <row r="101" spans="4:23" x14ac:dyDescent="0.2">
      <c r="D101" s="144"/>
      <c r="E101" s="143"/>
      <c r="F101" s="143"/>
      <c r="G101" s="143"/>
      <c r="H101" s="142"/>
      <c r="I101" s="142"/>
      <c r="J101" s="142"/>
      <c r="K101" s="142"/>
      <c r="L101" s="143"/>
      <c r="M101" s="151"/>
      <c r="R101" s="146"/>
      <c r="S101" s="146"/>
      <c r="T101" s="146"/>
      <c r="U101" s="146"/>
      <c r="V101" s="146"/>
      <c r="W101" s="146"/>
    </row>
    <row r="102" spans="4:23" x14ac:dyDescent="0.2">
      <c r="D102" s="144"/>
      <c r="E102" s="143"/>
      <c r="F102" s="143"/>
      <c r="G102" s="143"/>
      <c r="H102" s="142"/>
      <c r="I102" s="142"/>
      <c r="J102" s="142"/>
      <c r="K102" s="142"/>
      <c r="L102" s="143"/>
      <c r="M102" s="151"/>
      <c r="R102" s="146"/>
      <c r="S102" s="146"/>
      <c r="T102" s="146"/>
      <c r="U102" s="146"/>
      <c r="V102" s="146"/>
      <c r="W102" s="146"/>
    </row>
    <row r="103" spans="4:23" x14ac:dyDescent="0.2">
      <c r="D103" s="144"/>
      <c r="E103" s="143"/>
      <c r="F103" s="143"/>
      <c r="G103" s="143"/>
      <c r="H103" s="142"/>
      <c r="I103" s="142"/>
      <c r="J103" s="142"/>
      <c r="K103" s="142"/>
      <c r="L103" s="143"/>
      <c r="M103" s="151"/>
      <c r="R103" s="146"/>
      <c r="S103" s="146"/>
      <c r="T103" s="146"/>
      <c r="U103" s="146"/>
      <c r="V103" s="146"/>
      <c r="W103" s="146"/>
    </row>
    <row r="104" spans="4:23" x14ac:dyDescent="0.2">
      <c r="D104" s="144"/>
      <c r="E104" s="143"/>
      <c r="F104" s="143"/>
      <c r="G104" s="143"/>
      <c r="H104" s="142"/>
      <c r="I104" s="142"/>
      <c r="J104" s="142"/>
      <c r="K104" s="142"/>
      <c r="L104" s="143"/>
      <c r="M104" s="151"/>
      <c r="R104" s="146"/>
      <c r="S104" s="146"/>
      <c r="T104" s="146"/>
      <c r="U104" s="146"/>
      <c r="V104" s="146"/>
      <c r="W104" s="146"/>
    </row>
    <row r="105" spans="4:23" x14ac:dyDescent="0.2">
      <c r="D105" s="144"/>
      <c r="E105" s="143"/>
      <c r="F105" s="143"/>
      <c r="G105" s="143"/>
      <c r="H105" s="142"/>
      <c r="I105" s="142"/>
      <c r="J105" s="142"/>
      <c r="K105" s="142"/>
      <c r="L105" s="143"/>
      <c r="M105" s="151"/>
      <c r="R105" s="146"/>
      <c r="S105" s="146"/>
      <c r="T105" s="146"/>
      <c r="U105" s="146"/>
      <c r="V105" s="146"/>
      <c r="W105" s="146"/>
    </row>
    <row r="106" spans="4:23" x14ac:dyDescent="0.2">
      <c r="D106" s="144"/>
      <c r="E106" s="143"/>
      <c r="F106" s="143"/>
      <c r="G106" s="143"/>
      <c r="H106" s="142"/>
      <c r="I106" s="142"/>
      <c r="J106" s="142"/>
      <c r="K106" s="142"/>
      <c r="L106" s="143"/>
      <c r="M106" s="151"/>
      <c r="R106" s="146"/>
      <c r="S106" s="146"/>
      <c r="T106" s="146"/>
      <c r="U106" s="146"/>
      <c r="V106" s="146"/>
      <c r="W106" s="146"/>
    </row>
    <row r="107" spans="4:23" x14ac:dyDescent="0.2">
      <c r="D107" s="144"/>
      <c r="E107" s="143"/>
      <c r="F107" s="143"/>
      <c r="G107" s="143"/>
      <c r="H107" s="142"/>
      <c r="I107" s="142"/>
      <c r="J107" s="142"/>
      <c r="K107" s="142"/>
      <c r="L107" s="143"/>
      <c r="M107" s="151"/>
      <c r="R107" s="146"/>
      <c r="S107" s="146"/>
      <c r="T107" s="146"/>
      <c r="U107" s="146"/>
      <c r="V107" s="146"/>
      <c r="W107" s="146"/>
    </row>
    <row r="108" spans="4:23" x14ac:dyDescent="0.2">
      <c r="D108" s="144"/>
      <c r="E108" s="143"/>
      <c r="F108" s="143"/>
      <c r="G108" s="143"/>
      <c r="H108" s="142"/>
      <c r="I108" s="142"/>
      <c r="J108" s="142"/>
      <c r="K108" s="142"/>
      <c r="L108" s="143"/>
      <c r="M108" s="151"/>
      <c r="R108" s="146"/>
      <c r="S108" s="146"/>
      <c r="T108" s="146"/>
      <c r="U108" s="146"/>
      <c r="V108" s="146"/>
      <c r="W108" s="146"/>
    </row>
    <row r="109" spans="4:23" x14ac:dyDescent="0.2">
      <c r="D109" s="144"/>
      <c r="E109" s="143"/>
      <c r="F109" s="143"/>
      <c r="G109" s="143"/>
      <c r="H109" s="142"/>
      <c r="I109" s="142"/>
      <c r="J109" s="142"/>
      <c r="K109" s="142"/>
      <c r="L109" s="143"/>
      <c r="M109" s="151"/>
      <c r="R109" s="146"/>
      <c r="S109" s="146"/>
      <c r="T109" s="146"/>
      <c r="U109" s="146"/>
      <c r="V109" s="146"/>
      <c r="W109" s="146"/>
    </row>
    <row r="110" spans="4:23" x14ac:dyDescent="0.2">
      <c r="D110" s="144"/>
      <c r="E110" s="143"/>
      <c r="F110" s="143"/>
      <c r="G110" s="143"/>
      <c r="H110" s="142"/>
      <c r="I110" s="142"/>
      <c r="J110" s="142"/>
      <c r="K110" s="142"/>
      <c r="L110" s="143"/>
      <c r="M110" s="151"/>
      <c r="R110" s="146"/>
      <c r="S110" s="146"/>
      <c r="T110" s="146"/>
      <c r="U110" s="146"/>
      <c r="V110" s="146"/>
      <c r="W110" s="146"/>
    </row>
    <row r="111" spans="4:23" x14ac:dyDescent="0.2">
      <c r="D111" s="144"/>
      <c r="E111" s="143"/>
      <c r="F111" s="143"/>
      <c r="G111" s="143"/>
      <c r="H111" s="142"/>
      <c r="I111" s="142"/>
      <c r="J111" s="142"/>
      <c r="K111" s="142"/>
      <c r="L111" s="143"/>
      <c r="M111" s="151"/>
      <c r="R111" s="146"/>
      <c r="S111" s="146"/>
      <c r="T111" s="146"/>
      <c r="U111" s="146"/>
      <c r="V111" s="146"/>
      <c r="W111" s="146"/>
    </row>
    <row r="112" spans="4:23" x14ac:dyDescent="0.2">
      <c r="D112" s="144"/>
      <c r="E112" s="143"/>
      <c r="F112" s="143"/>
      <c r="G112" s="143"/>
      <c r="H112" s="142"/>
      <c r="I112" s="142"/>
      <c r="J112" s="142"/>
      <c r="K112" s="142"/>
      <c r="L112" s="143"/>
      <c r="M112" s="151"/>
      <c r="R112" s="146"/>
      <c r="S112" s="146"/>
      <c r="T112" s="146"/>
      <c r="U112" s="146"/>
      <c r="V112" s="146"/>
      <c r="W112" s="146"/>
    </row>
    <row r="113" spans="4:23" x14ac:dyDescent="0.2">
      <c r="D113" s="144"/>
      <c r="E113" s="143"/>
      <c r="F113" s="143"/>
      <c r="G113" s="143"/>
      <c r="H113" s="142"/>
      <c r="I113" s="142"/>
      <c r="J113" s="142"/>
      <c r="K113" s="142"/>
      <c r="L113" s="143"/>
      <c r="M113" s="151"/>
      <c r="R113" s="146"/>
      <c r="S113" s="146"/>
      <c r="T113" s="146"/>
      <c r="U113" s="146"/>
      <c r="V113" s="146"/>
      <c r="W113" s="146"/>
    </row>
    <row r="114" spans="4:23" x14ac:dyDescent="0.2">
      <c r="D114" s="144"/>
      <c r="E114" s="143"/>
      <c r="F114" s="143"/>
      <c r="G114" s="143"/>
      <c r="H114" s="142"/>
      <c r="I114" s="142"/>
      <c r="J114" s="142"/>
      <c r="K114" s="142"/>
      <c r="L114" s="143"/>
      <c r="M114" s="151"/>
      <c r="R114" s="146"/>
      <c r="S114" s="146"/>
      <c r="T114" s="146"/>
      <c r="U114" s="146"/>
      <c r="V114" s="146"/>
      <c r="W114" s="146"/>
    </row>
    <row r="115" spans="4:23" x14ac:dyDescent="0.2">
      <c r="D115" s="144"/>
      <c r="E115" s="143"/>
      <c r="F115" s="143"/>
      <c r="G115" s="143"/>
      <c r="H115" s="142"/>
      <c r="I115" s="142"/>
      <c r="J115" s="142"/>
      <c r="K115" s="142"/>
      <c r="L115" s="143"/>
      <c r="M115" s="151"/>
      <c r="R115" s="146"/>
      <c r="S115" s="146"/>
      <c r="T115" s="146"/>
      <c r="U115" s="146"/>
      <c r="V115" s="146"/>
      <c r="W115" s="146"/>
    </row>
    <row r="116" spans="4:23" x14ac:dyDescent="0.2">
      <c r="D116" s="144"/>
      <c r="E116" s="143"/>
      <c r="F116" s="143"/>
      <c r="G116" s="143"/>
      <c r="H116" s="142"/>
      <c r="I116" s="142"/>
      <c r="J116" s="142"/>
      <c r="K116" s="142"/>
      <c r="L116" s="143"/>
      <c r="M116" s="151"/>
      <c r="R116" s="146"/>
      <c r="S116" s="146"/>
      <c r="T116" s="146"/>
      <c r="U116" s="146"/>
      <c r="V116" s="146"/>
      <c r="W116" s="146"/>
    </row>
    <row r="117" spans="4:23" x14ac:dyDescent="0.2">
      <c r="D117" s="144"/>
      <c r="E117" s="143"/>
      <c r="F117" s="143"/>
      <c r="G117" s="143"/>
      <c r="H117" s="142"/>
      <c r="I117" s="142"/>
      <c r="J117" s="142"/>
      <c r="K117" s="142"/>
      <c r="L117" s="143"/>
      <c r="M117" s="151"/>
      <c r="R117" s="146"/>
      <c r="S117" s="146"/>
      <c r="T117" s="146"/>
      <c r="U117" s="146"/>
      <c r="V117" s="146"/>
      <c r="W117" s="146"/>
    </row>
    <row r="118" spans="4:23" x14ac:dyDescent="0.2">
      <c r="D118" s="144"/>
      <c r="E118" s="143"/>
      <c r="F118" s="143"/>
      <c r="G118" s="143"/>
      <c r="H118" s="142"/>
      <c r="I118" s="142"/>
      <c r="J118" s="142"/>
      <c r="K118" s="142"/>
      <c r="L118" s="143"/>
      <c r="M118" s="151"/>
      <c r="R118" s="146"/>
      <c r="S118" s="146"/>
      <c r="T118" s="146"/>
      <c r="U118" s="146"/>
      <c r="V118" s="146"/>
      <c r="W118" s="146"/>
    </row>
    <row r="119" spans="4:23" x14ac:dyDescent="0.2">
      <c r="D119" s="144"/>
      <c r="E119" s="143"/>
      <c r="F119" s="143"/>
      <c r="G119" s="143"/>
      <c r="H119" s="142"/>
      <c r="I119" s="142"/>
      <c r="J119" s="142"/>
      <c r="K119" s="142"/>
      <c r="L119" s="143"/>
      <c r="M119" s="151"/>
      <c r="R119" s="146"/>
      <c r="S119" s="146"/>
      <c r="T119" s="146"/>
      <c r="U119" s="146"/>
      <c r="V119" s="146"/>
      <c r="W119" s="146"/>
    </row>
    <row r="120" spans="4:23" x14ac:dyDescent="0.2">
      <c r="D120" s="144"/>
      <c r="E120" s="143"/>
      <c r="F120" s="143"/>
      <c r="G120" s="143"/>
      <c r="H120" s="142"/>
      <c r="I120" s="142"/>
      <c r="J120" s="142"/>
      <c r="K120" s="142"/>
      <c r="L120" s="143"/>
      <c r="M120" s="151"/>
      <c r="R120" s="146"/>
      <c r="S120" s="146"/>
      <c r="T120" s="146"/>
      <c r="U120" s="146"/>
      <c r="V120" s="146"/>
      <c r="W120" s="146"/>
    </row>
    <row r="121" spans="4:23" x14ac:dyDescent="0.2">
      <c r="D121" s="144"/>
      <c r="E121" s="143"/>
      <c r="F121" s="143"/>
      <c r="G121" s="143"/>
      <c r="H121" s="142"/>
      <c r="I121" s="142"/>
      <c r="J121" s="142"/>
      <c r="K121" s="142"/>
      <c r="L121" s="143"/>
      <c r="M121" s="151"/>
      <c r="R121" s="146"/>
      <c r="S121" s="146"/>
      <c r="T121" s="146"/>
      <c r="U121" s="146"/>
      <c r="V121" s="146"/>
      <c r="W121" s="146"/>
    </row>
    <row r="122" spans="4:23" x14ac:dyDescent="0.2">
      <c r="D122" s="144"/>
      <c r="E122" s="143"/>
      <c r="F122" s="143"/>
      <c r="G122" s="143"/>
      <c r="H122" s="142"/>
      <c r="I122" s="142"/>
      <c r="J122" s="142"/>
      <c r="K122" s="142"/>
      <c r="L122" s="143"/>
      <c r="M122" s="151"/>
      <c r="R122" s="146"/>
      <c r="S122" s="146"/>
      <c r="T122" s="146"/>
      <c r="U122" s="146"/>
      <c r="V122" s="146"/>
      <c r="W122" s="146"/>
    </row>
    <row r="123" spans="4:23" x14ac:dyDescent="0.2">
      <c r="D123" s="144"/>
      <c r="E123" s="143"/>
      <c r="F123" s="143"/>
      <c r="G123" s="143"/>
      <c r="H123" s="142"/>
      <c r="I123" s="142"/>
      <c r="J123" s="142"/>
      <c r="K123" s="142"/>
      <c r="L123" s="143"/>
      <c r="M123" s="151"/>
      <c r="R123" s="146"/>
      <c r="S123" s="146"/>
      <c r="T123" s="146"/>
      <c r="U123" s="146"/>
      <c r="V123" s="146"/>
      <c r="W123" s="146"/>
    </row>
    <row r="124" spans="4:23" x14ac:dyDescent="0.2">
      <c r="D124" s="144"/>
      <c r="E124" s="143"/>
      <c r="F124" s="143"/>
      <c r="G124" s="143"/>
      <c r="H124" s="142"/>
      <c r="I124" s="142"/>
      <c r="J124" s="142"/>
      <c r="K124" s="142"/>
      <c r="L124" s="143"/>
      <c r="M124" s="151"/>
      <c r="R124" s="146"/>
      <c r="S124" s="146"/>
      <c r="T124" s="146"/>
      <c r="U124" s="146"/>
      <c r="V124" s="146"/>
      <c r="W124" s="146"/>
    </row>
    <row r="125" spans="4:23" x14ac:dyDescent="0.2">
      <c r="D125" s="144"/>
      <c r="E125" s="143"/>
      <c r="F125" s="143"/>
      <c r="G125" s="143"/>
      <c r="H125" s="142"/>
      <c r="I125" s="142"/>
      <c r="J125" s="142"/>
      <c r="K125" s="142"/>
      <c r="L125" s="143"/>
      <c r="M125" s="151"/>
      <c r="R125" s="146"/>
      <c r="S125" s="146"/>
      <c r="T125" s="146"/>
      <c r="U125" s="146"/>
      <c r="V125" s="146"/>
      <c r="W125" s="146"/>
    </row>
    <row r="126" spans="4:23" x14ac:dyDescent="0.2">
      <c r="D126" s="144"/>
      <c r="E126" s="143"/>
      <c r="F126" s="143"/>
      <c r="G126" s="143"/>
      <c r="H126" s="142"/>
      <c r="I126" s="142"/>
      <c r="J126" s="142"/>
      <c r="K126" s="142"/>
      <c r="L126" s="143"/>
      <c r="M126" s="151"/>
      <c r="R126" s="146"/>
      <c r="S126" s="146"/>
      <c r="T126" s="146"/>
      <c r="U126" s="146"/>
      <c r="V126" s="146"/>
      <c r="W126" s="146"/>
    </row>
    <row r="127" spans="4:23" x14ac:dyDescent="0.2">
      <c r="R127" s="146"/>
      <c r="S127" s="146"/>
      <c r="T127" s="146"/>
      <c r="U127" s="146"/>
      <c r="V127" s="146"/>
      <c r="W127" s="146"/>
    </row>
    <row r="128" spans="4:23" x14ac:dyDescent="0.2">
      <c r="R128" s="146"/>
      <c r="S128" s="146"/>
      <c r="T128" s="146"/>
      <c r="U128" s="146"/>
      <c r="V128" s="146"/>
      <c r="W128" s="146"/>
    </row>
    <row r="129" spans="18:23" x14ac:dyDescent="0.2">
      <c r="R129" s="146"/>
      <c r="S129" s="146"/>
      <c r="T129" s="146"/>
      <c r="U129" s="146"/>
      <c r="V129" s="146"/>
      <c r="W129" s="146"/>
    </row>
    <row r="130" spans="18:23" x14ac:dyDescent="0.2">
      <c r="R130" s="146"/>
      <c r="S130" s="146"/>
      <c r="T130" s="146"/>
      <c r="U130" s="146"/>
      <c r="V130" s="146"/>
      <c r="W130" s="146"/>
    </row>
    <row r="131" spans="18:23" x14ac:dyDescent="0.2">
      <c r="R131" s="146"/>
      <c r="S131" s="146"/>
      <c r="T131" s="146"/>
      <c r="U131" s="146"/>
      <c r="V131" s="146"/>
      <c r="W131" s="146"/>
    </row>
    <row r="132" spans="18:23" x14ac:dyDescent="0.2">
      <c r="R132" s="146"/>
      <c r="S132" s="146"/>
      <c r="T132" s="146"/>
      <c r="U132" s="146"/>
      <c r="V132" s="146"/>
      <c r="W132" s="146"/>
    </row>
    <row r="133" spans="18:23" x14ac:dyDescent="0.2">
      <c r="R133" s="146"/>
      <c r="S133" s="146"/>
      <c r="T133" s="146"/>
      <c r="U133" s="146"/>
      <c r="V133" s="146"/>
      <c r="W133" s="146"/>
    </row>
    <row r="134" spans="18:23" x14ac:dyDescent="0.2">
      <c r="R134" s="146"/>
      <c r="S134" s="146"/>
      <c r="T134" s="146"/>
      <c r="U134" s="146"/>
      <c r="V134" s="146"/>
      <c r="W134" s="146"/>
    </row>
    <row r="135" spans="18:23" x14ac:dyDescent="0.2">
      <c r="R135" s="146"/>
      <c r="S135" s="146"/>
      <c r="T135" s="146"/>
      <c r="U135" s="146"/>
      <c r="V135" s="146"/>
      <c r="W135" s="146"/>
    </row>
    <row r="136" spans="18:23" x14ac:dyDescent="0.2">
      <c r="R136" s="146"/>
      <c r="S136" s="146"/>
      <c r="T136" s="146"/>
      <c r="U136" s="146"/>
      <c r="V136" s="146"/>
      <c r="W136" s="146"/>
    </row>
    <row r="137" spans="18:23" x14ac:dyDescent="0.2">
      <c r="R137" s="146"/>
      <c r="S137" s="146"/>
      <c r="T137" s="146"/>
      <c r="U137" s="146"/>
      <c r="V137" s="146"/>
      <c r="W137" s="146"/>
    </row>
    <row r="138" spans="18:23" x14ac:dyDescent="0.2">
      <c r="R138" s="146"/>
      <c r="S138" s="146"/>
      <c r="T138" s="146"/>
      <c r="U138" s="146"/>
      <c r="V138" s="146"/>
      <c r="W138" s="146"/>
    </row>
    <row r="139" spans="18:23" x14ac:dyDescent="0.2">
      <c r="R139" s="146"/>
      <c r="S139" s="146"/>
      <c r="T139" s="146"/>
      <c r="U139" s="146"/>
      <c r="V139" s="146"/>
      <c r="W139" s="146"/>
    </row>
    <row r="140" spans="18:23" x14ac:dyDescent="0.2">
      <c r="R140" s="146"/>
      <c r="S140" s="146"/>
      <c r="T140" s="146"/>
      <c r="U140" s="146"/>
      <c r="V140" s="146"/>
      <c r="W140" s="146"/>
    </row>
    <row r="141" spans="18:23" x14ac:dyDescent="0.2">
      <c r="R141" s="146"/>
      <c r="S141" s="146"/>
      <c r="T141" s="146"/>
      <c r="U141" s="146"/>
      <c r="V141" s="146"/>
      <c r="W141" s="146"/>
    </row>
    <row r="142" spans="18:23" x14ac:dyDescent="0.2">
      <c r="R142" s="146"/>
      <c r="S142" s="146"/>
      <c r="T142" s="146"/>
      <c r="U142" s="146"/>
      <c r="V142" s="146"/>
      <c r="W142" s="146"/>
    </row>
    <row r="143" spans="18:23" x14ac:dyDescent="0.2">
      <c r="R143" s="146"/>
      <c r="S143" s="146"/>
      <c r="T143" s="146"/>
      <c r="U143" s="146"/>
      <c r="V143" s="146"/>
      <c r="W143" s="146"/>
    </row>
    <row r="144" spans="18:23" x14ac:dyDescent="0.2">
      <c r="R144" s="146"/>
      <c r="S144" s="146"/>
      <c r="T144" s="146"/>
      <c r="U144" s="146"/>
      <c r="V144" s="146"/>
      <c r="W144" s="146"/>
    </row>
    <row r="145" spans="18:23" x14ac:dyDescent="0.2">
      <c r="R145" s="146"/>
      <c r="S145" s="146"/>
      <c r="T145" s="146"/>
      <c r="U145" s="146"/>
      <c r="V145" s="146"/>
      <c r="W145" s="146"/>
    </row>
    <row r="146" spans="18:23" x14ac:dyDescent="0.2">
      <c r="R146" s="146"/>
      <c r="S146" s="146"/>
      <c r="T146" s="146"/>
      <c r="U146" s="146"/>
      <c r="V146" s="146"/>
      <c r="W146" s="146"/>
    </row>
    <row r="147" spans="18:23" x14ac:dyDescent="0.2">
      <c r="R147" s="146"/>
      <c r="S147" s="146"/>
      <c r="T147" s="146"/>
      <c r="U147" s="146"/>
      <c r="V147" s="146"/>
      <c r="W147" s="146"/>
    </row>
    <row r="148" spans="18:23" x14ac:dyDescent="0.2">
      <c r="R148" s="146"/>
      <c r="S148" s="146"/>
      <c r="T148" s="146"/>
      <c r="U148" s="146"/>
      <c r="V148" s="146"/>
      <c r="W148" s="146"/>
    </row>
    <row r="149" spans="18:23" x14ac:dyDescent="0.2">
      <c r="R149" s="146"/>
      <c r="S149" s="146"/>
      <c r="T149" s="146"/>
      <c r="U149" s="146"/>
      <c r="V149" s="146"/>
      <c r="W149" s="146"/>
    </row>
    <row r="150" spans="18:23" x14ac:dyDescent="0.2">
      <c r="R150" s="146"/>
      <c r="S150" s="146"/>
      <c r="T150" s="146"/>
      <c r="U150" s="146"/>
      <c r="V150" s="146"/>
      <c r="W150" s="146"/>
    </row>
    <row r="151" spans="18:23" x14ac:dyDescent="0.2">
      <c r="R151" s="146"/>
      <c r="S151" s="146"/>
      <c r="T151" s="146"/>
      <c r="U151" s="146"/>
      <c r="V151" s="146"/>
      <c r="W151" s="146"/>
    </row>
    <row r="152" spans="18:23" x14ac:dyDescent="0.2">
      <c r="R152" s="146"/>
      <c r="S152" s="146"/>
      <c r="T152" s="146"/>
      <c r="U152" s="146"/>
      <c r="V152" s="146"/>
      <c r="W152" s="146"/>
    </row>
    <row r="153" spans="18:23" x14ac:dyDescent="0.2">
      <c r="R153" s="146"/>
      <c r="S153" s="146"/>
      <c r="T153" s="146"/>
      <c r="U153" s="146"/>
      <c r="V153" s="146"/>
      <c r="W153" s="146"/>
    </row>
    <row r="154" spans="18:23" x14ac:dyDescent="0.2">
      <c r="R154" s="146"/>
      <c r="S154" s="146"/>
      <c r="T154" s="146"/>
      <c r="U154" s="146"/>
      <c r="V154" s="146"/>
      <c r="W154" s="146"/>
    </row>
    <row r="155" spans="18:23" x14ac:dyDescent="0.2">
      <c r="R155" s="146"/>
      <c r="S155" s="146"/>
      <c r="T155" s="146"/>
      <c r="U155" s="146"/>
      <c r="V155" s="146"/>
      <c r="W155" s="146"/>
    </row>
    <row r="156" spans="18:23" x14ac:dyDescent="0.2">
      <c r="R156" s="146"/>
      <c r="S156" s="146"/>
      <c r="T156" s="146"/>
      <c r="U156" s="146"/>
      <c r="V156" s="146"/>
      <c r="W156" s="146"/>
    </row>
    <row r="157" spans="18:23" x14ac:dyDescent="0.2">
      <c r="R157" s="146"/>
      <c r="S157" s="146"/>
      <c r="T157" s="146"/>
      <c r="U157" s="146"/>
      <c r="V157" s="146"/>
      <c r="W157" s="146"/>
    </row>
    <row r="158" spans="18:23" x14ac:dyDescent="0.2">
      <c r="R158" s="146"/>
      <c r="S158" s="146"/>
      <c r="T158" s="146"/>
      <c r="U158" s="146"/>
      <c r="V158" s="146"/>
      <c r="W158" s="146"/>
    </row>
    <row r="159" spans="18:23" x14ac:dyDescent="0.2">
      <c r="R159" s="146"/>
      <c r="S159" s="146"/>
      <c r="T159" s="146"/>
      <c r="U159" s="146"/>
      <c r="V159" s="146"/>
      <c r="W159" s="146"/>
    </row>
    <row r="160" spans="18:23" x14ac:dyDescent="0.2">
      <c r="R160" s="146"/>
      <c r="S160" s="146"/>
      <c r="T160" s="146"/>
      <c r="U160" s="146"/>
      <c r="V160" s="146"/>
      <c r="W160" s="146"/>
    </row>
    <row r="161" spans="18:23" x14ac:dyDescent="0.2">
      <c r="R161" s="146"/>
      <c r="S161" s="146"/>
      <c r="T161" s="146"/>
      <c r="U161" s="146"/>
      <c r="V161" s="146"/>
      <c r="W161" s="146"/>
    </row>
    <row r="162" spans="18:23" x14ac:dyDescent="0.2">
      <c r="R162" s="146"/>
      <c r="S162" s="146"/>
      <c r="T162" s="146"/>
      <c r="U162" s="146"/>
      <c r="V162" s="146"/>
      <c r="W162" s="146"/>
    </row>
    <row r="163" spans="18:23" x14ac:dyDescent="0.2">
      <c r="R163" s="146"/>
      <c r="S163" s="146"/>
      <c r="T163" s="146"/>
      <c r="U163" s="146"/>
      <c r="V163" s="146"/>
      <c r="W163" s="146"/>
    </row>
    <row r="164" spans="18:23" x14ac:dyDescent="0.2">
      <c r="R164" s="146"/>
      <c r="S164" s="146"/>
      <c r="T164" s="146"/>
      <c r="U164" s="146"/>
      <c r="V164" s="146"/>
      <c r="W164" s="146"/>
    </row>
    <row r="165" spans="18:23" x14ac:dyDescent="0.2">
      <c r="R165" s="146"/>
      <c r="S165" s="146"/>
      <c r="T165" s="146"/>
      <c r="U165" s="146"/>
      <c r="V165" s="146"/>
      <c r="W165" s="146"/>
    </row>
    <row r="166" spans="18:23" x14ac:dyDescent="0.2">
      <c r="R166" s="146"/>
      <c r="S166" s="146"/>
      <c r="T166" s="146"/>
      <c r="U166" s="146"/>
      <c r="V166" s="146"/>
      <c r="W166" s="146"/>
    </row>
    <row r="167" spans="18:23" x14ac:dyDescent="0.2">
      <c r="R167" s="146"/>
      <c r="S167" s="146"/>
      <c r="T167" s="146"/>
      <c r="U167" s="146"/>
      <c r="V167" s="146"/>
      <c r="W167" s="146"/>
    </row>
    <row r="168" spans="18:23" x14ac:dyDescent="0.2">
      <c r="R168" s="146"/>
      <c r="S168" s="146"/>
      <c r="T168" s="146"/>
      <c r="U168" s="146"/>
      <c r="V168" s="146"/>
      <c r="W168" s="146"/>
    </row>
    <row r="169" spans="18:23" x14ac:dyDescent="0.2">
      <c r="R169" s="146"/>
      <c r="S169" s="146"/>
      <c r="T169" s="146"/>
      <c r="U169" s="146"/>
      <c r="V169" s="146"/>
      <c r="W169" s="146"/>
    </row>
    <row r="170" spans="18:23" x14ac:dyDescent="0.2">
      <c r="R170" s="146"/>
      <c r="S170" s="146"/>
      <c r="T170" s="146"/>
      <c r="U170" s="146"/>
      <c r="V170" s="146"/>
      <c r="W170" s="146"/>
    </row>
    <row r="171" spans="18:23" x14ac:dyDescent="0.2">
      <c r="R171" s="146"/>
      <c r="S171" s="146"/>
      <c r="T171" s="146"/>
      <c r="U171" s="146"/>
      <c r="V171" s="146"/>
      <c r="W171" s="146"/>
    </row>
    <row r="172" spans="18:23" x14ac:dyDescent="0.2">
      <c r="R172" s="146"/>
      <c r="S172" s="146"/>
      <c r="T172" s="146"/>
      <c r="U172" s="146"/>
      <c r="V172" s="146"/>
      <c r="W172" s="146"/>
    </row>
    <row r="173" spans="18:23" x14ac:dyDescent="0.2">
      <c r="R173" s="146"/>
      <c r="S173" s="146"/>
      <c r="T173" s="146"/>
      <c r="U173" s="146"/>
      <c r="V173" s="146"/>
      <c r="W173" s="146"/>
    </row>
    <row r="174" spans="18:23" x14ac:dyDescent="0.2">
      <c r="R174" s="146"/>
      <c r="S174" s="146"/>
      <c r="T174" s="146"/>
      <c r="U174" s="146"/>
      <c r="V174" s="146"/>
      <c r="W174" s="146"/>
    </row>
    <row r="175" spans="18:23" x14ac:dyDescent="0.2">
      <c r="R175" s="146"/>
      <c r="S175" s="146"/>
      <c r="T175" s="146"/>
      <c r="U175" s="146"/>
      <c r="V175" s="146"/>
      <c r="W175" s="146"/>
    </row>
    <row r="176" spans="18:23" x14ac:dyDescent="0.2">
      <c r="R176" s="146"/>
      <c r="S176" s="146"/>
      <c r="T176" s="146"/>
      <c r="U176" s="146"/>
      <c r="V176" s="146"/>
      <c r="W176" s="146"/>
    </row>
    <row r="177" spans="18:23" x14ac:dyDescent="0.2">
      <c r="R177" s="146"/>
      <c r="S177" s="146"/>
      <c r="T177" s="146"/>
      <c r="U177" s="146"/>
      <c r="V177" s="146"/>
      <c r="W177" s="146"/>
    </row>
    <row r="178" spans="18:23" x14ac:dyDescent="0.2">
      <c r="R178" s="146"/>
      <c r="S178" s="146"/>
      <c r="T178" s="146"/>
      <c r="U178" s="146"/>
      <c r="V178" s="146"/>
      <c r="W178" s="146"/>
    </row>
    <row r="179" spans="18:23" x14ac:dyDescent="0.2">
      <c r="R179" s="146"/>
      <c r="S179" s="146"/>
      <c r="T179" s="146"/>
      <c r="U179" s="146"/>
      <c r="V179" s="146"/>
      <c r="W179" s="146"/>
    </row>
    <row r="180" spans="18:23" x14ac:dyDescent="0.2">
      <c r="R180" s="146"/>
      <c r="S180" s="146"/>
      <c r="T180" s="146"/>
      <c r="U180" s="146"/>
      <c r="V180" s="146"/>
      <c r="W180" s="146"/>
    </row>
    <row r="181" spans="18:23" x14ac:dyDescent="0.2">
      <c r="R181" s="146"/>
      <c r="S181" s="146"/>
      <c r="T181" s="146"/>
      <c r="U181" s="146"/>
      <c r="V181" s="146"/>
      <c r="W181" s="146"/>
    </row>
    <row r="182" spans="18:23" x14ac:dyDescent="0.2">
      <c r="R182" s="146"/>
      <c r="S182" s="146"/>
      <c r="T182" s="146"/>
      <c r="U182" s="146"/>
      <c r="V182" s="146"/>
      <c r="W182" s="146"/>
    </row>
    <row r="183" spans="18:23" x14ac:dyDescent="0.2">
      <c r="R183" s="146"/>
      <c r="S183" s="146"/>
      <c r="T183" s="146"/>
      <c r="U183" s="146"/>
      <c r="V183" s="146"/>
      <c r="W183" s="146"/>
    </row>
    <row r="184" spans="18:23" x14ac:dyDescent="0.2">
      <c r="R184" s="146"/>
      <c r="S184" s="146"/>
      <c r="T184" s="146"/>
      <c r="U184" s="146"/>
      <c r="V184" s="146"/>
      <c r="W184" s="146"/>
    </row>
    <row r="185" spans="18:23" x14ac:dyDescent="0.2">
      <c r="R185" s="146"/>
      <c r="S185" s="146"/>
      <c r="T185" s="146"/>
      <c r="U185" s="146"/>
      <c r="V185" s="146"/>
      <c r="W185" s="146"/>
    </row>
    <row r="186" spans="18:23" x14ac:dyDescent="0.2">
      <c r="R186" s="146"/>
      <c r="S186" s="146"/>
      <c r="T186" s="146"/>
      <c r="U186" s="146"/>
      <c r="V186" s="146"/>
      <c r="W186" s="146"/>
    </row>
    <row r="187" spans="18:23" x14ac:dyDescent="0.2">
      <c r="R187" s="146"/>
      <c r="S187" s="146"/>
      <c r="T187" s="146"/>
      <c r="U187" s="146"/>
      <c r="V187" s="146"/>
      <c r="W187" s="146"/>
    </row>
    <row r="188" spans="18:23" x14ac:dyDescent="0.2">
      <c r="R188" s="146"/>
      <c r="S188" s="146"/>
      <c r="T188" s="146"/>
      <c r="U188" s="146"/>
      <c r="V188" s="146"/>
      <c r="W188" s="146"/>
    </row>
    <row r="189" spans="18:23" x14ac:dyDescent="0.2">
      <c r="R189" s="146"/>
      <c r="S189" s="146"/>
      <c r="T189" s="146"/>
      <c r="U189" s="146"/>
      <c r="V189" s="146"/>
      <c r="W189" s="146"/>
    </row>
  </sheetData>
  <sheetProtection sheet="1" objects="1" scenarios="1"/>
  <dataConsolidate link="1"/>
  <mergeCells count="37">
    <mergeCell ref="O26:O27"/>
    <mergeCell ref="P26:P27"/>
    <mergeCell ref="B5:B6"/>
    <mergeCell ref="C2:D2"/>
    <mergeCell ref="K1:O1"/>
    <mergeCell ref="I42:M42"/>
    <mergeCell ref="D46:F46"/>
    <mergeCell ref="G46:H46"/>
    <mergeCell ref="I46:M46"/>
    <mergeCell ref="B27:B28"/>
    <mergeCell ref="N56:N57"/>
    <mergeCell ref="D43:F43"/>
    <mergeCell ref="G43:H43"/>
    <mergeCell ref="I43:M43"/>
    <mergeCell ref="D44:F44"/>
    <mergeCell ref="G44:H44"/>
    <mergeCell ref="I44:M44"/>
    <mergeCell ref="D45:F45"/>
    <mergeCell ref="G45:H45"/>
    <mergeCell ref="I45:M45"/>
    <mergeCell ref="K47:M47"/>
    <mergeCell ref="P39:P46"/>
    <mergeCell ref="O37:O38"/>
    <mergeCell ref="O39:O46"/>
    <mergeCell ref="C1:J1"/>
    <mergeCell ref="G2:I2"/>
    <mergeCell ref="P37:P38"/>
    <mergeCell ref="P17:P24"/>
    <mergeCell ref="O17:O24"/>
    <mergeCell ref="P28:P35"/>
    <mergeCell ref="O28:O35"/>
    <mergeCell ref="P15:P16"/>
    <mergeCell ref="O15:O16"/>
    <mergeCell ref="C41:F41"/>
    <mergeCell ref="G41:M41"/>
    <mergeCell ref="D42:F42"/>
    <mergeCell ref="G42:H42"/>
  </mergeCells>
  <conditionalFormatting sqref="C13:C18">
    <cfRule type="expression" dxfId="1318" priority="280" stopIfTrue="1">
      <formula>B13=3</formula>
    </cfRule>
    <cfRule type="expression" dxfId="1317" priority="281" stopIfTrue="1">
      <formula>B13=4</formula>
    </cfRule>
    <cfRule type="expression" dxfId="1316" priority="282" stopIfTrue="1">
      <formula>B13=5</formula>
    </cfRule>
  </conditionalFormatting>
  <conditionalFormatting sqref="F5:F40">
    <cfRule type="expression" dxfId="1315" priority="276">
      <formula>$H5=0</formula>
    </cfRule>
    <cfRule type="expression" dxfId="1314" priority="279">
      <formula>$H5=0</formula>
    </cfRule>
  </conditionalFormatting>
  <conditionalFormatting sqref="H5:H40">
    <cfRule type="cellIs" dxfId="1313" priority="283" stopIfTrue="1" operator="between">
      <formula>0.1</formula>
      <formula>1.9</formula>
    </cfRule>
    <cfRule type="cellIs" dxfId="1312" priority="284" stopIfTrue="1" operator="between">
      <formula>3</formula>
      <formula>3.9</formula>
    </cfRule>
    <cfRule type="cellIs" dxfId="1311" priority="285" stopIfTrue="1" operator="between">
      <formula>4</formula>
      <formula>5</formula>
    </cfRule>
  </conditionalFormatting>
  <conditionalFormatting sqref="F5:F40">
    <cfRule type="expression" dxfId="1310" priority="277">
      <formula>$H5&lt;#REF!</formula>
    </cfRule>
    <cfRule type="expression" dxfId="1309" priority="278">
      <formula>$H5&gt;=#REF!</formula>
    </cfRule>
  </conditionalFormatting>
  <conditionalFormatting sqref="E5:E40">
    <cfRule type="expression" dxfId="1308" priority="270">
      <formula>$D5=3</formula>
    </cfRule>
    <cfRule type="expression" dxfId="1307" priority="271">
      <formula>$D5=4</formula>
    </cfRule>
    <cfRule type="expression" dxfId="1306" priority="272">
      <formula>$D5=5</formula>
    </cfRule>
    <cfRule type="expression" dxfId="1305" priority="273">
      <formula>$D5=8</formula>
    </cfRule>
    <cfRule type="expression" dxfId="1304" priority="274">
      <formula>$D5=7</formula>
    </cfRule>
    <cfRule type="expression" dxfId="1303" priority="275">
      <formula>$D5=6</formula>
    </cfRule>
  </conditionalFormatting>
  <conditionalFormatting sqref="C13:C18">
    <cfRule type="cellIs" dxfId="1302" priority="266" operator="equal">
      <formula>""</formula>
    </cfRule>
    <cfRule type="expression" dxfId="1301" priority="267" stopIfTrue="1">
      <formula>B13=8</formula>
    </cfRule>
    <cfRule type="expression" dxfId="1300" priority="268" stopIfTrue="1">
      <formula>B13=7</formula>
    </cfRule>
    <cfRule type="expression" dxfId="1299" priority="269" stopIfTrue="1">
      <formula>B13=6</formula>
    </cfRule>
  </conditionalFormatting>
  <conditionalFormatting sqref="C34:C40">
    <cfRule type="expression" dxfId="1298" priority="263" stopIfTrue="1">
      <formula>B34=3</formula>
    </cfRule>
    <cfRule type="expression" dxfId="1297" priority="264" stopIfTrue="1">
      <formula>B34=4</formula>
    </cfRule>
    <cfRule type="expression" dxfId="1296" priority="265" stopIfTrue="1">
      <formula>B34=5</formula>
    </cfRule>
  </conditionalFormatting>
  <conditionalFormatting sqref="C34:C40">
    <cfRule type="cellIs" dxfId="1295" priority="259" operator="equal">
      <formula>""</formula>
    </cfRule>
    <cfRule type="expression" dxfId="1294" priority="260" stopIfTrue="1">
      <formula>B34=8</formula>
    </cfRule>
    <cfRule type="expression" dxfId="1293" priority="261" stopIfTrue="1">
      <formula>B34=7</formula>
    </cfRule>
    <cfRule type="expression" dxfId="1292" priority="262" stopIfTrue="1">
      <formula>B34=6</formula>
    </cfRule>
  </conditionalFormatting>
  <conditionalFormatting sqref="N5:N40">
    <cfRule type="cellIs" dxfId="1291" priority="257" operator="equal">
      <formula>"*"</formula>
    </cfRule>
    <cfRule type="cellIs" dxfId="1290" priority="258" operator="equal">
      <formula>"!"</formula>
    </cfRule>
  </conditionalFormatting>
  <conditionalFormatting sqref="G42:G46">
    <cfRule type="cellIs" dxfId="1289" priority="256" operator="notEqual">
      <formula>""</formula>
    </cfRule>
  </conditionalFormatting>
  <conditionalFormatting sqref="S7:U7 S9:U9 S11:U11">
    <cfRule type="cellIs" dxfId="1288" priority="246" operator="equal">
      <formula>0</formula>
    </cfRule>
  </conditionalFormatting>
  <conditionalFormatting sqref="V13 V15">
    <cfRule type="cellIs" dxfId="1287" priority="245" operator="equal">
      <formula>0</formula>
    </cfRule>
  </conditionalFormatting>
  <conditionalFormatting sqref="R13 R15">
    <cfRule type="cellIs" dxfId="1286" priority="244" operator="equal">
      <formula>0</formula>
    </cfRule>
  </conditionalFormatting>
  <conditionalFormatting sqref="R7 R9 R11">
    <cfRule type="cellIs" dxfId="1285" priority="243" operator="equal">
      <formula>0</formula>
    </cfRule>
  </conditionalFormatting>
  <conditionalFormatting sqref="V7 V9 V11">
    <cfRule type="cellIs" dxfId="1284" priority="242" operator="equal">
      <formula>0</formula>
    </cfRule>
  </conditionalFormatting>
  <conditionalFormatting sqref="S13:U13 S15:U15">
    <cfRule type="cellIs" dxfId="1283" priority="241" operator="equal">
      <formula>0</formula>
    </cfRule>
  </conditionalFormatting>
  <conditionalFormatting sqref="R6">
    <cfRule type="cellIs" dxfId="1282" priority="240" operator="equal">
      <formula>0</formula>
    </cfRule>
  </conditionalFormatting>
  <conditionalFormatting sqref="V6">
    <cfRule type="cellIs" dxfId="1281" priority="239" operator="equal">
      <formula>0</formula>
    </cfRule>
  </conditionalFormatting>
  <conditionalFormatting sqref="I5:I40">
    <cfRule type="cellIs" dxfId="1280" priority="236" stopIfTrue="1" operator="between">
      <formula>"D-3"</formula>
      <formula>"E-5"</formula>
    </cfRule>
    <cfRule type="cellIs" dxfId="1279" priority="237" stopIfTrue="1" operator="between">
      <formula>"B-2"</formula>
      <formula>"B-3"</formula>
    </cfRule>
    <cfRule type="cellIs" dxfId="1278" priority="238" stopIfTrue="1" operator="between">
      <formula>"A-1"</formula>
      <formula>"A-2"</formula>
    </cfRule>
  </conditionalFormatting>
  <conditionalFormatting sqref="I5:I40">
    <cfRule type="cellIs" dxfId="1277" priority="234" operator="equal">
      <formula>"E-5-"</formula>
    </cfRule>
    <cfRule type="cellIs" dxfId="1276" priority="235" operator="equal">
      <formula>"A-1+"</formula>
    </cfRule>
  </conditionalFormatting>
  <conditionalFormatting sqref="C42:C46">
    <cfRule type="cellIs" dxfId="1275" priority="226" operator="notEqual">
      <formula>""</formula>
    </cfRule>
  </conditionalFormatting>
  <conditionalFormatting sqref="C32:C33">
    <cfRule type="expression" dxfId="1274" priority="117" stopIfTrue="1">
      <formula>B32=3</formula>
    </cfRule>
    <cfRule type="expression" dxfId="1273" priority="118" stopIfTrue="1">
      <formula>B32=4</formula>
    </cfRule>
    <cfRule type="expression" dxfId="1272" priority="119" stopIfTrue="1">
      <formula>B32=5</formula>
    </cfRule>
  </conditionalFormatting>
  <conditionalFormatting sqref="C32:C33">
    <cfRule type="cellIs" dxfId="1271" priority="113" operator="equal">
      <formula>""</formula>
    </cfRule>
    <cfRule type="expression" dxfId="1270" priority="114" stopIfTrue="1">
      <formula>B32=8</formula>
    </cfRule>
    <cfRule type="expression" dxfId="1269" priority="115" stopIfTrue="1">
      <formula>B32=7</formula>
    </cfRule>
    <cfRule type="expression" dxfId="1268" priority="116" stopIfTrue="1">
      <formula>B32=6</formula>
    </cfRule>
  </conditionalFormatting>
  <conditionalFormatting sqref="C29:C31">
    <cfRule type="expression" dxfId="1267" priority="110" stopIfTrue="1">
      <formula>B29=3</formula>
    </cfRule>
    <cfRule type="expression" dxfId="1266" priority="111" stopIfTrue="1">
      <formula>B29=4</formula>
    </cfRule>
    <cfRule type="expression" dxfId="1265" priority="112" stopIfTrue="1">
      <formula>B29=5</formula>
    </cfRule>
  </conditionalFormatting>
  <conditionalFormatting sqref="C29:C31">
    <cfRule type="cellIs" dxfId="1264" priority="106" operator="equal">
      <formula>""</formula>
    </cfRule>
    <cfRule type="expression" dxfId="1263" priority="107" stopIfTrue="1">
      <formula>B29=8</formula>
    </cfRule>
    <cfRule type="expression" dxfId="1262" priority="108" stopIfTrue="1">
      <formula>B29=7</formula>
    </cfRule>
    <cfRule type="expression" dxfId="1261" priority="109" stopIfTrue="1">
      <formula>B29=6</formula>
    </cfRule>
  </conditionalFormatting>
  <conditionalFormatting sqref="L34:L40">
    <cfRule type="cellIs" dxfId="1260" priority="103" stopIfTrue="1" operator="between">
      <formula>0.1</formula>
      <formula>1.9</formula>
    </cfRule>
    <cfRule type="cellIs" dxfId="1259" priority="104" stopIfTrue="1" operator="between">
      <formula>3</formula>
      <formula>3.9</formula>
    </cfRule>
    <cfRule type="cellIs" dxfId="1258" priority="105" stopIfTrue="1" operator="between">
      <formula>4</formula>
      <formula>5</formula>
    </cfRule>
  </conditionalFormatting>
  <conditionalFormatting sqref="L31:L33">
    <cfRule type="cellIs" dxfId="1257" priority="100" stopIfTrue="1" operator="between">
      <formula>0.1</formula>
      <formula>1.9</formula>
    </cfRule>
    <cfRule type="cellIs" dxfId="1256" priority="101" stopIfTrue="1" operator="between">
      <formula>3</formula>
      <formula>3.9</formula>
    </cfRule>
    <cfRule type="cellIs" dxfId="1255" priority="102" stopIfTrue="1" operator="between">
      <formula>4</formula>
      <formula>5</formula>
    </cfRule>
  </conditionalFormatting>
  <conditionalFormatting sqref="L27:L31">
    <cfRule type="cellIs" dxfId="1254" priority="97" stopIfTrue="1" operator="between">
      <formula>0.1</formula>
      <formula>1.9</formula>
    </cfRule>
    <cfRule type="cellIs" dxfId="1253" priority="98" stopIfTrue="1" operator="between">
      <formula>3</formula>
      <formula>3.9</formula>
    </cfRule>
    <cfRule type="cellIs" dxfId="1252" priority="99" stopIfTrue="1" operator="between">
      <formula>4</formula>
      <formula>5</formula>
    </cfRule>
  </conditionalFormatting>
  <conditionalFormatting sqref="L24:L29">
    <cfRule type="cellIs" dxfId="1251" priority="94" stopIfTrue="1" operator="between">
      <formula>0.1</formula>
      <formula>1.9</formula>
    </cfRule>
    <cfRule type="cellIs" dxfId="1250" priority="95" stopIfTrue="1" operator="between">
      <formula>3</formula>
      <formula>3.9</formula>
    </cfRule>
    <cfRule type="cellIs" dxfId="1249" priority="96" stopIfTrue="1" operator="between">
      <formula>4</formula>
      <formula>5</formula>
    </cfRule>
  </conditionalFormatting>
  <conditionalFormatting sqref="L19:L24">
    <cfRule type="cellIs" dxfId="1248" priority="91" stopIfTrue="1" operator="between">
      <formula>0.1</formula>
      <formula>1.9</formula>
    </cfRule>
    <cfRule type="cellIs" dxfId="1247" priority="92" stopIfTrue="1" operator="between">
      <formula>3</formula>
      <formula>3.9</formula>
    </cfRule>
    <cfRule type="cellIs" dxfId="1246" priority="93" stopIfTrue="1" operator="between">
      <formula>4</formula>
      <formula>5</formula>
    </cfRule>
  </conditionalFormatting>
  <conditionalFormatting sqref="L21:L25">
    <cfRule type="cellIs" dxfId="1245" priority="88" stopIfTrue="1" operator="between">
      <formula>0.1</formula>
      <formula>1.9</formula>
    </cfRule>
    <cfRule type="cellIs" dxfId="1244" priority="89" stopIfTrue="1" operator="between">
      <formula>3</formula>
      <formula>3.9</formula>
    </cfRule>
    <cfRule type="cellIs" dxfId="1243" priority="90" stopIfTrue="1" operator="between">
      <formula>4</formula>
      <formula>5</formula>
    </cfRule>
  </conditionalFormatting>
  <conditionalFormatting sqref="M19:M40">
    <cfRule type="cellIs" dxfId="1242" priority="78" operator="equal">
      <formula>""</formula>
    </cfRule>
    <cfRule type="cellIs" dxfId="1241" priority="81" operator="equal">
      <formula>"1+"</formula>
    </cfRule>
    <cfRule type="cellIs" dxfId="1240" priority="82" operator="between">
      <formula>4</formula>
      <formula>"5-"</formula>
    </cfRule>
    <cfRule type="cellIs" dxfId="1239" priority="83" operator="equal">
      <formula>2</formula>
    </cfRule>
    <cfRule type="cellIs" dxfId="1238" priority="84" operator="equal">
      <formula>1</formula>
    </cfRule>
    <cfRule type="cellIs" dxfId="1237" priority="85" operator="between">
      <formula>"D"</formula>
      <formula>"E"</formula>
    </cfRule>
    <cfRule type="cellIs" dxfId="1236" priority="86" operator="equal">
      <formula>"B"</formula>
    </cfRule>
    <cfRule type="cellIs" dxfId="1235" priority="87" operator="between">
      <formula>"A"</formula>
      <formula>"A+"</formula>
    </cfRule>
  </conditionalFormatting>
  <conditionalFormatting sqref="L19:L40">
    <cfRule type="cellIs" dxfId="1234" priority="79" operator="equal">
      <formula>""</formula>
    </cfRule>
  </conditionalFormatting>
  <conditionalFormatting sqref="M5:M8">
    <cfRule type="cellIs" dxfId="1233" priority="75" stopIfTrue="1" operator="between">
      <formula>"A+"</formula>
      <formula>"A"</formula>
    </cfRule>
    <cfRule type="cellIs" dxfId="1232" priority="76" stopIfTrue="1" operator="equal">
      <formula>"B"</formula>
    </cfRule>
    <cfRule type="cellIs" dxfId="1231" priority="77" stopIfTrue="1" operator="between">
      <formula>"D"</formula>
      <formula>"E"</formula>
    </cfRule>
  </conditionalFormatting>
  <conditionalFormatting sqref="L5:L8">
    <cfRule type="cellIs" dxfId="1230" priority="72" stopIfTrue="1" operator="between">
      <formula>0.1</formula>
      <formula>1.9</formula>
    </cfRule>
    <cfRule type="cellIs" dxfId="1229" priority="73" stopIfTrue="1" operator="between">
      <formula>3</formula>
      <formula>3.9</formula>
    </cfRule>
    <cfRule type="cellIs" dxfId="1228" priority="74" stopIfTrue="1" operator="between">
      <formula>4</formula>
      <formula>5</formula>
    </cfRule>
  </conditionalFormatting>
  <conditionalFormatting sqref="M9:M11 M13:M19">
    <cfRule type="cellIs" dxfId="1227" priority="69" stopIfTrue="1" operator="between">
      <formula>"A+"</formula>
      <formula>"A"</formula>
    </cfRule>
    <cfRule type="cellIs" dxfId="1226" priority="70" stopIfTrue="1" operator="equal">
      <formula>"B"</formula>
    </cfRule>
    <cfRule type="cellIs" dxfId="1225" priority="71" stopIfTrue="1" operator="between">
      <formula>"D"</formula>
      <formula>"E"</formula>
    </cfRule>
  </conditionalFormatting>
  <conditionalFormatting sqref="L12">
    <cfRule type="cellIs" dxfId="1224" priority="66" stopIfTrue="1" operator="between">
      <formula>0.1</formula>
      <formula>1.9</formula>
    </cfRule>
    <cfRule type="cellIs" dxfId="1223" priority="67" stopIfTrue="1" operator="between">
      <formula>3</formula>
      <formula>3.9</formula>
    </cfRule>
    <cfRule type="cellIs" dxfId="1222" priority="68" stopIfTrue="1" operator="between">
      <formula>4</formula>
      <formula>5</formula>
    </cfRule>
  </conditionalFormatting>
  <conditionalFormatting sqref="M12">
    <cfRule type="cellIs" dxfId="1221" priority="57" operator="equal">
      <formula>""</formula>
    </cfRule>
    <cfRule type="cellIs" dxfId="1220" priority="59" operator="equal">
      <formula>"1+"</formula>
    </cfRule>
    <cfRule type="cellIs" dxfId="1219" priority="60" operator="between">
      <formula>4</formula>
      <formula>"5-"</formula>
    </cfRule>
    <cfRule type="cellIs" dxfId="1218" priority="61" operator="equal">
      <formula>2</formula>
    </cfRule>
    <cfRule type="cellIs" dxfId="1217" priority="62" operator="equal">
      <formula>1</formula>
    </cfRule>
    <cfRule type="cellIs" dxfId="1216" priority="63" operator="between">
      <formula>"D"</formula>
      <formula>"E"</formula>
    </cfRule>
    <cfRule type="cellIs" dxfId="1215" priority="64" operator="equal">
      <formula>"B"</formula>
    </cfRule>
    <cfRule type="cellIs" dxfId="1214" priority="65" operator="between">
      <formula>"A"</formula>
      <formula>"A+"</formula>
    </cfRule>
  </conditionalFormatting>
  <conditionalFormatting sqref="L12">
    <cfRule type="cellIs" dxfId="1213" priority="58" operator="equal">
      <formula>""</formula>
    </cfRule>
  </conditionalFormatting>
  <conditionalFormatting sqref="M12">
    <cfRule type="cellIs" dxfId="1212" priority="54" stopIfTrue="1" operator="between">
      <formula>"A+"</formula>
      <formula>"A"</formula>
    </cfRule>
    <cfRule type="cellIs" dxfId="1211" priority="55" stopIfTrue="1" operator="equal">
      <formula>"B"</formula>
    </cfRule>
    <cfRule type="cellIs" dxfId="1210" priority="56" stopIfTrue="1" operator="between">
      <formula>"D"</formula>
      <formula>"E"</formula>
    </cfRule>
  </conditionalFormatting>
  <conditionalFormatting sqref="L29">
    <cfRule type="cellIs" dxfId="1209" priority="31" stopIfTrue="1" operator="between">
      <formula>0.1</formula>
      <formula>1.9</formula>
    </cfRule>
    <cfRule type="cellIs" dxfId="1208" priority="32" stopIfTrue="1" operator="between">
      <formula>3</formula>
      <formula>3.9</formula>
    </cfRule>
    <cfRule type="cellIs" dxfId="1207" priority="33" stopIfTrue="1" operator="between">
      <formula>4</formula>
      <formula>5</formula>
    </cfRule>
  </conditionalFormatting>
  <conditionalFormatting sqref="C10:C12">
    <cfRule type="expression" dxfId="1206" priority="19" stopIfTrue="1">
      <formula>B10=3</formula>
    </cfRule>
    <cfRule type="expression" dxfId="1205" priority="20" stopIfTrue="1">
      <formula>B10=4</formula>
    </cfRule>
    <cfRule type="expression" dxfId="1204" priority="21" stopIfTrue="1">
      <formula>B10=5</formula>
    </cfRule>
  </conditionalFormatting>
  <conditionalFormatting sqref="C10:C12">
    <cfRule type="cellIs" dxfId="1203" priority="15" operator="equal">
      <formula>""</formula>
    </cfRule>
    <cfRule type="expression" dxfId="1202" priority="16" stopIfTrue="1">
      <formula>B10=8</formula>
    </cfRule>
    <cfRule type="expression" dxfId="1201" priority="17" stopIfTrue="1">
      <formula>B10=7</formula>
    </cfRule>
    <cfRule type="expression" dxfId="1200" priority="18" stopIfTrue="1">
      <formula>B10=6</formula>
    </cfRule>
  </conditionalFormatting>
  <conditionalFormatting sqref="C7:C9">
    <cfRule type="expression" dxfId="1199" priority="12" stopIfTrue="1">
      <formula>B7=3</formula>
    </cfRule>
    <cfRule type="expression" dxfId="1198" priority="13" stopIfTrue="1">
      <formula>B7=4</formula>
    </cfRule>
    <cfRule type="expression" dxfId="1197" priority="14" stopIfTrue="1">
      <formula>B7=5</formula>
    </cfRule>
  </conditionalFormatting>
  <conditionalFormatting sqref="C7:C9">
    <cfRule type="cellIs" dxfId="1196" priority="8" operator="equal">
      <formula>""</formula>
    </cfRule>
    <cfRule type="expression" dxfId="1195" priority="9" stopIfTrue="1">
      <formula>B7=8</formula>
    </cfRule>
    <cfRule type="expression" dxfId="1194" priority="10" stopIfTrue="1">
      <formula>B7=7</formula>
    </cfRule>
    <cfRule type="expression" dxfId="1193" priority="11" stopIfTrue="1">
      <formula>B7=6</formula>
    </cfRule>
  </conditionalFormatting>
  <conditionalFormatting sqref="J5:J40">
    <cfRule type="cellIs" dxfId="1192" priority="1" operator="equal">
      <formula>1</formula>
    </cfRule>
    <cfRule type="cellIs" dxfId="1191" priority="2" operator="equal">
      <formula>7</formula>
    </cfRule>
    <cfRule type="cellIs" dxfId="1190" priority="3" operator="equal">
      <formula>6</formula>
    </cfRule>
    <cfRule type="cellIs" dxfId="1189" priority="4" operator="equal">
      <formula>5</formula>
    </cfRule>
    <cfRule type="cellIs" dxfId="1188" priority="5" operator="equal">
      <formula>4</formula>
    </cfRule>
    <cfRule type="cellIs" dxfId="1187" priority="6" operator="equal">
      <formula>3</formula>
    </cfRule>
    <cfRule type="cellIs" dxfId="1186" priority="7" operator="equal">
      <formula>2</formula>
    </cfRule>
  </conditionalFormatting>
  <dataValidations count="12">
    <dataValidation type="list" allowBlank="1" showInputMessage="1" showErrorMessage="1" sqref="C46 G46" xr:uid="{00000000-0002-0000-2300-000000000000}">
      <formula1>"vrijdag,"</formula1>
    </dataValidation>
    <dataValidation type="list" allowBlank="1" showInputMessage="1" showErrorMessage="1" sqref="C45 G45" xr:uid="{00000000-0002-0000-2300-000001000000}">
      <formula1>"donderdag,"</formula1>
    </dataValidation>
    <dataValidation type="list" allowBlank="1" showInputMessage="1" showErrorMessage="1" sqref="C44 G44" xr:uid="{00000000-0002-0000-2300-000002000000}">
      <formula1>"woensdag,"</formula1>
    </dataValidation>
    <dataValidation type="list" allowBlank="1" showInputMessage="1" showErrorMessage="1" sqref="C43 G43" xr:uid="{00000000-0002-0000-2300-000003000000}">
      <formula1>"dinsdag,"</formula1>
    </dataValidation>
    <dataValidation type="list" allowBlank="1" showInputMessage="1" showErrorMessage="1" sqref="C42 G42" xr:uid="{00000000-0002-0000-2300-000004000000}">
      <formula1>"maandag,"</formula1>
    </dataValidation>
    <dataValidation type="list" allowBlank="1" showInputMessage="1" showErrorMessage="1" sqref="B29:B40 B7:B18" xr:uid="{00000000-0002-0000-23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300-000006000000}">
      <formula1>2</formula1>
    </dataValidation>
    <dataValidation allowBlank="1" showInputMessage="1" showErrorMessage="1" promptTitle="Pulldown venster" prompt="groeps  HP: -_x000a_indiv.    HP:#_x000a_hele groep: $" sqref="C29:C39 C7:C17" xr:uid="{00000000-0002-0000-2300-000007000000}"/>
    <dataValidation allowBlank="1" showInputMessage="1" showErrorMessage="1" promptTitle="Pulldown menu" prompt="groeps  HP: -_x000a_indiv.    HP:#_x000a_hele groep: $" sqref="C18 C40" xr:uid="{00000000-0002-0000-2300-000008000000}"/>
    <dataValidation allowBlank="1" showInputMessage="1" showErrorMessage="1" promptTitle="Nieuwe regel:" prompt="druk op Alt-Enter" sqref="P15 P28 P17 P26 P37 P39" xr:uid="{00000000-0002-0000-2300-000009000000}"/>
    <dataValidation type="list" allowBlank="1" showInputMessage="1" showErrorMessage="1" promptTitle="Pulldown venster" prompt="Kies uit:_x000a_A+ / A / B / C / C- / D / E of_x000a_1+ / 1 / 2 / 3 / 4 / 5 / 5-" sqref="M5:M40" xr:uid="{00000000-0002-0000-2300-00000A000000}">
      <formula1>"--,A+,A,B,C,C-,D,E,1+,1,2,3,4,5,5-,"</formula1>
    </dataValidation>
    <dataValidation type="list" allowBlank="1" showInputMessage="1" showErrorMessage="1" promptTitle="EMT - Brus" prompt="kies uit:_x000a_1 = zeer goed = A+_x000a_2 = goed = A_x000a_3 = gemiddeld = C+B_x000a_4 = laag gemiddeld = D+_x000a_5 = beneden gemiddeld = D-_x000a_6 = zwak = E+ (dyslexie?)_x000a_7 = zeer zwak = E- (dyslexie?)" sqref="J5:J40" xr:uid="{00000000-0002-0000-2300-00000B000000}">
      <formula1>"1,2,3,4,5,6,7,"</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CCFFFF"/>
    <pageSetUpPr fitToPage="1"/>
  </sheetPr>
  <dimension ref="A1:AA189"/>
  <sheetViews>
    <sheetView showGridLines="0" showRowColHeaders="0" zoomScale="90" zoomScaleNormal="90" workbookViewId="0"/>
  </sheetViews>
  <sheetFormatPr defaultColWidth="9.140625" defaultRowHeight="12.75" x14ac:dyDescent="0.2"/>
  <cols>
    <col min="1" max="1" width="3.140625" style="69" customWidth="1"/>
    <col min="2" max="2" width="3.140625" style="70" bestFit="1" customWidth="1"/>
    <col min="3" max="3" width="11.85546875" style="74" bestFit="1" customWidth="1"/>
    <col min="4" max="4" width="3.140625" style="75" customWidth="1"/>
    <col min="5" max="5" width="5.85546875" style="74" customWidth="1"/>
    <col min="6" max="6" width="20.85546875" style="74" customWidth="1"/>
    <col min="7" max="7" width="5.85546875" style="74" customWidth="1"/>
    <col min="8" max="9" width="5.85546875" style="76" customWidth="1"/>
    <col min="10" max="10" width="3.140625" style="76" customWidth="1"/>
    <col min="11" max="11" width="5.85546875" style="76" customWidth="1"/>
    <col min="12" max="12" width="5.85546875" style="74" customWidth="1"/>
    <col min="13" max="13" width="5.85546875" style="69" customWidth="1"/>
    <col min="14" max="14" width="3.140625" style="69" customWidth="1"/>
    <col min="15" max="15" width="4.85546875" style="69" bestFit="1" customWidth="1"/>
    <col min="16" max="16" width="60.85546875" style="69" customWidth="1"/>
    <col min="17" max="17" width="6.85546875" style="69" customWidth="1"/>
    <col min="18" max="22" width="7.140625" style="73" customWidth="1"/>
    <col min="23" max="25" width="6.85546875" style="73" customWidth="1"/>
    <col min="26" max="26" width="6.140625" style="73" customWidth="1"/>
    <col min="27" max="27" width="9.140625" style="73"/>
    <col min="28" max="16384" width="9.140625" style="69"/>
  </cols>
  <sheetData>
    <row r="1" spans="1:24" s="66" customFormat="1" ht="30" customHeight="1" thickBot="1" x14ac:dyDescent="0.45">
      <c r="B1" s="615"/>
      <c r="C1" s="1128" t="s">
        <v>299</v>
      </c>
      <c r="D1" s="1129"/>
      <c r="E1" s="1129"/>
      <c r="F1" s="1129"/>
      <c r="G1" s="1129"/>
      <c r="H1" s="1129"/>
      <c r="I1" s="1129"/>
      <c r="J1" s="1129"/>
      <c r="K1" s="1230">
        <f>BEGINBLAD!$I$2</f>
        <v>0</v>
      </c>
      <c r="L1" s="1230"/>
      <c r="M1" s="1230"/>
      <c r="N1" s="240"/>
      <c r="O1" s="240"/>
      <c r="P1" s="239"/>
      <c r="X1" s="68"/>
    </row>
    <row r="2" spans="1:24" ht="24" customHeight="1" x14ac:dyDescent="0.2">
      <c r="C2" s="1130" t="str">
        <f>BEGINBLAD!$S$2</f>
        <v>mei.</v>
      </c>
      <c r="D2" s="1130"/>
      <c r="E2" s="241"/>
      <c r="F2" s="691" t="str">
        <f>BEGINBLAD!$T$2</f>
        <v>okt.</v>
      </c>
      <c r="G2" s="1131">
        <f>BEGINBLAD!$P$2</f>
        <v>2021</v>
      </c>
      <c r="H2" s="1131"/>
      <c r="I2" s="1131"/>
      <c r="M2" s="71"/>
      <c r="N2" s="72"/>
      <c r="O2" s="72"/>
    </row>
    <row r="3" spans="1:24" ht="13.5" thickBot="1" x14ac:dyDescent="0.25">
      <c r="M3" s="77"/>
      <c r="N3" s="77"/>
      <c r="O3" s="77"/>
      <c r="P3" s="77"/>
    </row>
    <row r="4" spans="1:24" ht="140.1" customHeight="1" x14ac:dyDescent="0.2">
      <c r="C4" s="78"/>
      <c r="D4" s="79"/>
      <c r="E4" s="80"/>
      <c r="F4" s="81" t="s">
        <v>44</v>
      </c>
      <c r="G4" s="82" t="s">
        <v>300</v>
      </c>
      <c r="H4" s="83" t="s">
        <v>267</v>
      </c>
      <c r="I4" s="84" t="s">
        <v>268</v>
      </c>
      <c r="J4" s="85" t="s">
        <v>269</v>
      </c>
      <c r="K4" s="82" t="s">
        <v>301</v>
      </c>
      <c r="L4" s="86" t="s">
        <v>270</v>
      </c>
      <c r="M4" s="87" t="s">
        <v>271</v>
      </c>
      <c r="N4" s="88"/>
      <c r="O4" s="88"/>
    </row>
    <row r="5" spans="1:24" ht="19.5" customHeight="1" x14ac:dyDescent="0.2">
      <c r="A5" s="89"/>
      <c r="B5" s="1132" t="s">
        <v>43</v>
      </c>
      <c r="C5" s="90" t="s">
        <v>198</v>
      </c>
      <c r="D5" s="91">
        <v>0</v>
      </c>
      <c r="E5" s="92">
        <v>1</v>
      </c>
      <c r="F5" s="165" t="str">
        <f>BEGINBLAD!C4</f>
        <v>leelring 1</v>
      </c>
      <c r="G5" s="94">
        <f>'NIVEAU WAARDE - 1e toetsperiode'!D9</f>
        <v>2</v>
      </c>
      <c r="H5" s="95">
        <f>'NIVEAU WAARDE - 2e toetsperiode'!D9</f>
        <v>0</v>
      </c>
      <c r="I5" s="96" t="str">
        <f>IF(H5=0,"",IF(H5&gt;4.5,"A-1+",IF(H5&gt;4,"A-1",IF(H5&gt;=4,"A-2",IF(H5&gt;3.4,"B-2",IF(H5&gt;=3,"B-3",IF(H5&gt;2.5,"C-3",IF(H5&gt;=2,"C-4",IF(H5&gt;1.6,"D-4",IF(H5&gt;=1,"D-5",IF(H5&gt;0.5,"E-5",IF(H5&gt;=0,"E-5-"))))))))))))</f>
        <v/>
      </c>
      <c r="J5" s="431">
        <v>2</v>
      </c>
      <c r="K5" s="243" t="str">
        <f>'TECHNISCH LEZEN - 1e periode'!L5</f>
        <v>E7</v>
      </c>
      <c r="L5" s="97" t="s">
        <v>273</v>
      </c>
      <c r="M5" s="98" t="s">
        <v>221</v>
      </c>
      <c r="N5" s="99"/>
      <c r="O5" s="100"/>
    </row>
    <row r="6" spans="1:24" ht="19.5" customHeight="1" x14ac:dyDescent="0.2">
      <c r="A6" s="89"/>
      <c r="B6" s="1132"/>
      <c r="C6" s="101" t="s">
        <v>200</v>
      </c>
      <c r="D6" s="91">
        <v>0</v>
      </c>
      <c r="E6" s="92">
        <v>2</v>
      </c>
      <c r="F6" s="93" t="str">
        <f>BEGINBLAD!C5</f>
        <v>leerling 2</v>
      </c>
      <c r="G6" s="94">
        <f>'NIVEAU WAARDE - 1e toetsperiode'!D10</f>
        <v>3</v>
      </c>
      <c r="H6" s="95">
        <f>'NIVEAU WAARDE - 2e toetsperiode'!D10</f>
        <v>0</v>
      </c>
      <c r="I6" s="96" t="str">
        <f t="shared" ref="I6:I40" si="0">IF(H6=0,"",IF(H6&gt;4.5,"A-1+",IF(H6&gt;4,"A-1",IF(H6&gt;=4,"A-2",IF(H6&gt;3.4,"B-2",IF(H6&gt;=3,"B-3",IF(H6&gt;2.5,"C-3",IF(H6&gt;=2,"C-4",IF(H6&gt;1.6,"D-4",IF(H6&gt;=1,"D-5",IF(H6&gt;0.5,"E-5",IF(H6&gt;=0,"E-5-"))))))))))))</f>
        <v/>
      </c>
      <c r="J6" s="431">
        <v>3</v>
      </c>
      <c r="K6" s="243" t="str">
        <f>'TECHNISCH LEZEN - 1e periode'!L6</f>
        <v>M6</v>
      </c>
      <c r="L6" s="97" t="s">
        <v>483</v>
      </c>
      <c r="M6" s="98" t="s">
        <v>221</v>
      </c>
      <c r="N6" s="99"/>
      <c r="O6" s="100"/>
      <c r="R6" s="147"/>
      <c r="S6" s="147"/>
      <c r="T6" s="147"/>
      <c r="U6" s="147"/>
      <c r="V6" s="147"/>
    </row>
    <row r="7" spans="1:24" ht="19.5" customHeight="1" x14ac:dyDescent="0.2">
      <c r="A7" s="102"/>
      <c r="B7" s="326"/>
      <c r="C7" s="327"/>
      <c r="D7" s="91">
        <v>0</v>
      </c>
      <c r="E7" s="92">
        <v>3</v>
      </c>
      <c r="F7" s="93" t="str">
        <f>BEGINBLAD!C6</f>
        <v>leerling 3</v>
      </c>
      <c r="G7" s="94">
        <f>'NIVEAU WAARDE - 1e toetsperiode'!D11</f>
        <v>1.6</v>
      </c>
      <c r="H7" s="95">
        <f>'NIVEAU WAARDE - 2e toetsperiode'!D11</f>
        <v>0</v>
      </c>
      <c r="I7" s="96" t="str">
        <f t="shared" si="0"/>
        <v/>
      </c>
      <c r="J7" s="431">
        <v>3</v>
      </c>
      <c r="K7" s="243" t="str">
        <f>'TECHNISCH LEZEN - 1e periode'!L7</f>
        <v>E6</v>
      </c>
      <c r="L7" s="97" t="s">
        <v>280</v>
      </c>
      <c r="M7" s="98" t="s">
        <v>221</v>
      </c>
      <c r="N7" s="99"/>
      <c r="O7" s="100"/>
      <c r="R7" s="148"/>
      <c r="S7" s="148"/>
      <c r="T7" s="148"/>
      <c r="U7" s="148"/>
      <c r="V7" s="148"/>
    </row>
    <row r="8" spans="1:24" ht="19.5" customHeight="1" x14ac:dyDescent="0.2">
      <c r="A8" s="102"/>
      <c r="B8" s="326"/>
      <c r="C8" s="328"/>
      <c r="D8" s="105">
        <v>0</v>
      </c>
      <c r="E8" s="92">
        <v>4</v>
      </c>
      <c r="F8" s="93" t="str">
        <f>BEGINBLAD!C7</f>
        <v>leerling 4</v>
      </c>
      <c r="G8" s="94">
        <f>'NIVEAU WAARDE - 1e toetsperiode'!D12</f>
        <v>1.6</v>
      </c>
      <c r="H8" s="95">
        <f>'NIVEAU WAARDE - 2e toetsperiode'!D12</f>
        <v>0</v>
      </c>
      <c r="I8" s="96" t="str">
        <f t="shared" si="0"/>
        <v/>
      </c>
      <c r="J8" s="431"/>
      <c r="K8" s="243">
        <f>'TECHNISCH LEZEN - 1e periode'!L8</f>
        <v>0</v>
      </c>
      <c r="L8" s="106"/>
      <c r="M8" s="98"/>
      <c r="N8" s="99"/>
      <c r="O8" s="107"/>
      <c r="R8" s="148"/>
      <c r="S8" s="148"/>
      <c r="T8" s="148"/>
      <c r="U8" s="148"/>
      <c r="V8" s="148"/>
    </row>
    <row r="9" spans="1:24" ht="19.5" customHeight="1" x14ac:dyDescent="0.2">
      <c r="A9" s="102"/>
      <c r="B9" s="326"/>
      <c r="C9" s="328"/>
      <c r="D9" s="108">
        <v>0</v>
      </c>
      <c r="E9" s="92">
        <v>5</v>
      </c>
      <c r="F9" s="93" t="str">
        <f>BEGINBLAD!C8</f>
        <v>leerling 5</v>
      </c>
      <c r="G9" s="94">
        <f>'NIVEAU WAARDE - 1e toetsperiode'!D13</f>
        <v>3.1</v>
      </c>
      <c r="H9" s="95">
        <f>'NIVEAU WAARDE - 2e toetsperiode'!D13</f>
        <v>0</v>
      </c>
      <c r="I9" s="96" t="str">
        <f t="shared" si="0"/>
        <v/>
      </c>
      <c r="J9" s="431">
        <v>5</v>
      </c>
      <c r="K9" s="243" t="str">
        <f>'TECHNISCH LEZEN - 1e periode'!L9</f>
        <v>M5E5</v>
      </c>
      <c r="L9" s="109" t="s">
        <v>274</v>
      </c>
      <c r="M9" s="98" t="s">
        <v>222</v>
      </c>
      <c r="N9" s="99"/>
      <c r="O9" s="110"/>
      <c r="R9" s="148"/>
      <c r="S9" s="148"/>
      <c r="T9" s="148"/>
      <c r="U9" s="148"/>
      <c r="V9" s="148"/>
    </row>
    <row r="10" spans="1:24" ht="19.5" customHeight="1" x14ac:dyDescent="0.2">
      <c r="A10" s="102"/>
      <c r="B10" s="326"/>
      <c r="C10" s="328"/>
      <c r="D10" s="111">
        <v>0</v>
      </c>
      <c r="E10" s="92">
        <v>6</v>
      </c>
      <c r="F10" s="93" t="str">
        <f>BEGINBLAD!C9</f>
        <v>leerling 6</v>
      </c>
      <c r="G10" s="94">
        <f>'NIVEAU WAARDE - 1e toetsperiode'!D14</f>
        <v>1.7</v>
      </c>
      <c r="H10" s="95">
        <f>'NIVEAU WAARDE - 2e toetsperiode'!D14</f>
        <v>0</v>
      </c>
      <c r="I10" s="96" t="str">
        <f t="shared" si="0"/>
        <v/>
      </c>
      <c r="J10" s="431">
        <v>3</v>
      </c>
      <c r="K10" s="243" t="str">
        <f>'TECHNISCH LEZEN - 1e periode'!L10</f>
        <v>PLUS</v>
      </c>
      <c r="L10" s="109" t="s">
        <v>279</v>
      </c>
      <c r="M10" s="98" t="s">
        <v>220</v>
      </c>
      <c r="N10" s="99"/>
      <c r="O10" s="112"/>
      <c r="R10" s="148"/>
      <c r="S10" s="148"/>
      <c r="T10" s="148"/>
      <c r="U10" s="148"/>
      <c r="V10" s="148"/>
    </row>
    <row r="11" spans="1:24" ht="19.5" customHeight="1" x14ac:dyDescent="0.2">
      <c r="A11" s="102"/>
      <c r="B11" s="326"/>
      <c r="C11" s="328"/>
      <c r="D11" s="111">
        <v>0</v>
      </c>
      <c r="E11" s="92">
        <v>7</v>
      </c>
      <c r="F11" s="93" t="str">
        <f>BEGINBLAD!C10</f>
        <v>leerling 7</v>
      </c>
      <c r="G11" s="94">
        <f>'NIVEAU WAARDE - 1e toetsperiode'!D15</f>
        <v>2.6</v>
      </c>
      <c r="H11" s="95">
        <f>'NIVEAU WAARDE - 2e toetsperiode'!D15</f>
        <v>0</v>
      </c>
      <c r="I11" s="96" t="str">
        <f t="shared" si="0"/>
        <v/>
      </c>
      <c r="J11" s="431">
        <v>3</v>
      </c>
      <c r="K11" s="243" t="str">
        <f>'TECHNISCH LEZEN - 1e periode'!L11</f>
        <v>M6</v>
      </c>
      <c r="L11" s="109" t="s">
        <v>272</v>
      </c>
      <c r="M11" s="98" t="s">
        <v>224</v>
      </c>
      <c r="N11" s="99"/>
      <c r="O11" s="77"/>
      <c r="R11" s="148"/>
      <c r="S11" s="148"/>
      <c r="T11" s="148"/>
      <c r="U11" s="148"/>
      <c r="V11" s="148"/>
    </row>
    <row r="12" spans="1:24" ht="19.5" customHeight="1" x14ac:dyDescent="0.2">
      <c r="A12" s="102"/>
      <c r="B12" s="326"/>
      <c r="C12" s="328"/>
      <c r="D12" s="91">
        <v>0</v>
      </c>
      <c r="E12" s="92">
        <v>8</v>
      </c>
      <c r="F12" s="93" t="str">
        <f>BEGINBLAD!C11</f>
        <v>leerling 8</v>
      </c>
      <c r="G12" s="94">
        <f>'NIVEAU WAARDE - 1e toetsperiode'!D16</f>
        <v>4.3</v>
      </c>
      <c r="H12" s="95">
        <f>'NIVEAU WAARDE - 2e toetsperiode'!D16</f>
        <v>0</v>
      </c>
      <c r="I12" s="96" t="str">
        <f t="shared" si="0"/>
        <v/>
      </c>
      <c r="J12" s="431">
        <v>3</v>
      </c>
      <c r="K12" s="243" t="str">
        <f>'TECHNISCH LEZEN - 1e periode'!L12</f>
        <v>E7</v>
      </c>
      <c r="L12" s="109" t="s">
        <v>280</v>
      </c>
      <c r="M12" s="98" t="s">
        <v>222</v>
      </c>
      <c r="N12" s="99"/>
      <c r="O12" s="88"/>
      <c r="R12" s="148"/>
      <c r="S12" s="148"/>
      <c r="T12" s="148"/>
      <c r="U12" s="148"/>
      <c r="V12" s="148"/>
    </row>
    <row r="13" spans="1:24" ht="19.5" customHeight="1" x14ac:dyDescent="0.2">
      <c r="A13" s="102"/>
      <c r="B13" s="326"/>
      <c r="C13" s="328"/>
      <c r="D13" s="91">
        <v>0</v>
      </c>
      <c r="E13" s="92">
        <v>9</v>
      </c>
      <c r="F13" s="93" t="str">
        <f>BEGINBLAD!C12</f>
        <v>leerling 9</v>
      </c>
      <c r="G13" s="94">
        <f>'NIVEAU WAARDE - 1e toetsperiode'!D17</f>
        <v>1.4</v>
      </c>
      <c r="H13" s="95">
        <f>'NIVEAU WAARDE - 2e toetsperiode'!D17</f>
        <v>0</v>
      </c>
      <c r="I13" s="96" t="str">
        <f t="shared" si="0"/>
        <v/>
      </c>
      <c r="J13" s="431">
        <v>6</v>
      </c>
      <c r="K13" s="243" t="str">
        <f>'TECHNISCH LEZEN - 1e periode'!L13</f>
        <v>E5</v>
      </c>
      <c r="L13" s="109" t="s">
        <v>276</v>
      </c>
      <c r="M13" s="98" t="s">
        <v>224</v>
      </c>
      <c r="N13" s="99"/>
      <c r="O13" s="100"/>
      <c r="R13" s="149"/>
      <c r="S13" s="149"/>
      <c r="T13" s="149"/>
      <c r="U13" s="149"/>
      <c r="V13" s="149"/>
    </row>
    <row r="14" spans="1:24" ht="19.5" customHeight="1" thickBot="1" x14ac:dyDescent="0.25">
      <c r="A14" s="102"/>
      <c r="B14" s="103"/>
      <c r="C14" s="689"/>
      <c r="D14" s="91">
        <v>0</v>
      </c>
      <c r="E14" s="92">
        <v>10</v>
      </c>
      <c r="F14" s="93" t="str">
        <f>BEGINBLAD!C13</f>
        <v>leerling 10</v>
      </c>
      <c r="G14" s="94">
        <f>'NIVEAU WAARDE - 1e toetsperiode'!D18</f>
        <v>1.8</v>
      </c>
      <c r="H14" s="95">
        <f>'NIVEAU WAARDE - 2e toetsperiode'!D18</f>
        <v>0</v>
      </c>
      <c r="I14" s="96" t="str">
        <f t="shared" si="0"/>
        <v/>
      </c>
      <c r="J14" s="431">
        <v>1</v>
      </c>
      <c r="K14" s="243" t="str">
        <f>'TECHNISCH LEZEN - 1e periode'!L14</f>
        <v>PLUS</v>
      </c>
      <c r="L14" s="109" t="s">
        <v>279</v>
      </c>
      <c r="M14" s="98" t="s">
        <v>220</v>
      </c>
      <c r="N14" s="99"/>
      <c r="O14" s="107"/>
      <c r="P14" s="113" t="s">
        <v>109</v>
      </c>
      <c r="R14" s="149"/>
      <c r="S14" s="149"/>
      <c r="T14" s="149"/>
      <c r="U14" s="149"/>
      <c r="V14" s="149"/>
    </row>
    <row r="15" spans="1:24" ht="19.5" customHeight="1" x14ac:dyDescent="0.2">
      <c r="A15" s="102"/>
      <c r="B15" s="103"/>
      <c r="C15" s="689"/>
      <c r="D15" s="91">
        <v>0</v>
      </c>
      <c r="E15" s="92">
        <v>11</v>
      </c>
      <c r="F15" s="93" t="str">
        <f>BEGINBLAD!C14</f>
        <v>leerling 11</v>
      </c>
      <c r="G15" s="94">
        <f>'NIVEAU WAARDE - 1e toetsperiode'!D19</f>
        <v>4</v>
      </c>
      <c r="H15" s="95">
        <f>'NIVEAU WAARDE - 2e toetsperiode'!D19</f>
        <v>0</v>
      </c>
      <c r="I15" s="96" t="str">
        <f t="shared" si="0"/>
        <v/>
      </c>
      <c r="J15" s="431">
        <v>5</v>
      </c>
      <c r="K15" s="243">
        <f>'TECHNISCH LEZEN - 1e periode'!L15</f>
        <v>0</v>
      </c>
      <c r="L15" s="109" t="s">
        <v>484</v>
      </c>
      <c r="M15" s="98" t="s">
        <v>224</v>
      </c>
      <c r="N15" s="99"/>
      <c r="O15" s="1191" t="s">
        <v>135</v>
      </c>
      <c r="P15" s="1194">
        <f>'INTENSIEF - 2e periode'!C6</f>
        <v>0</v>
      </c>
      <c r="R15" s="149"/>
      <c r="S15" s="149"/>
      <c r="T15" s="149"/>
      <c r="U15" s="149"/>
      <c r="V15" s="149"/>
    </row>
    <row r="16" spans="1:24" ht="19.5" customHeight="1" x14ac:dyDescent="0.2">
      <c r="A16" s="102"/>
      <c r="B16" s="103"/>
      <c r="C16" s="689"/>
      <c r="D16" s="91">
        <v>0</v>
      </c>
      <c r="E16" s="92">
        <v>12</v>
      </c>
      <c r="F16" s="93" t="str">
        <f>BEGINBLAD!C15</f>
        <v>leerling 12</v>
      </c>
      <c r="G16" s="94">
        <f>'NIVEAU WAARDE - 1e toetsperiode'!D20</f>
        <v>1.6</v>
      </c>
      <c r="H16" s="95">
        <f>'NIVEAU WAARDE - 2e toetsperiode'!D20</f>
        <v>0</v>
      </c>
      <c r="I16" s="96" t="str">
        <f t="shared" si="0"/>
        <v/>
      </c>
      <c r="J16" s="431">
        <v>3</v>
      </c>
      <c r="K16" s="243" t="str">
        <f>'TECHNISCH LEZEN - 1e periode'!L16</f>
        <v>E7M8</v>
      </c>
      <c r="L16" s="109" t="s">
        <v>273</v>
      </c>
      <c r="M16" s="98" t="s">
        <v>222</v>
      </c>
      <c r="N16" s="99"/>
      <c r="O16" s="1192"/>
      <c r="P16" s="1195"/>
      <c r="R16" s="149"/>
      <c r="S16" s="149"/>
      <c r="T16" s="149"/>
      <c r="U16" s="149"/>
      <c r="V16" s="149"/>
    </row>
    <row r="17" spans="1:24" ht="19.5" customHeight="1" x14ac:dyDescent="0.2">
      <c r="A17" s="102"/>
      <c r="B17" s="103"/>
      <c r="C17" s="689"/>
      <c r="D17" s="105">
        <v>0</v>
      </c>
      <c r="E17" s="92">
        <v>13</v>
      </c>
      <c r="F17" s="93" t="str">
        <f>BEGINBLAD!C16</f>
        <v>leerling 13</v>
      </c>
      <c r="G17" s="94">
        <f>'NIVEAU WAARDE - 1e toetsperiode'!D21</f>
        <v>3.8</v>
      </c>
      <c r="H17" s="95">
        <f>'NIVEAU WAARDE - 2e toetsperiode'!D21</f>
        <v>0</v>
      </c>
      <c r="I17" s="96" t="str">
        <f t="shared" si="0"/>
        <v/>
      </c>
      <c r="J17" s="431">
        <v>2</v>
      </c>
      <c r="K17" s="243" t="str">
        <f>'TECHNISCH LEZEN - 1e periode'!L17</f>
        <v>PLUS</v>
      </c>
      <c r="L17" s="109" t="s">
        <v>279</v>
      </c>
      <c r="M17" s="98" t="s">
        <v>221</v>
      </c>
      <c r="N17" s="99"/>
      <c r="O17" s="1198" t="s">
        <v>137</v>
      </c>
      <c r="P17" s="1196">
        <f>'INTENSIEF - 2e periode'!C8</f>
        <v>0</v>
      </c>
      <c r="R17" s="120"/>
      <c r="S17" s="120"/>
      <c r="T17" s="120"/>
      <c r="U17" s="120"/>
      <c r="V17" s="120"/>
    </row>
    <row r="18" spans="1:24" ht="19.5" customHeight="1" x14ac:dyDescent="0.2">
      <c r="A18" s="102"/>
      <c r="B18" s="103"/>
      <c r="C18" s="689"/>
      <c r="D18" s="111">
        <v>0</v>
      </c>
      <c r="E18" s="92">
        <v>14</v>
      </c>
      <c r="F18" s="93" t="str">
        <f>BEGINBLAD!C17</f>
        <v>leerling 14</v>
      </c>
      <c r="G18" s="94">
        <f>'NIVEAU WAARDE - 1e toetsperiode'!D22</f>
        <v>2.8</v>
      </c>
      <c r="H18" s="95">
        <f>'NIVEAU WAARDE - 2e toetsperiode'!D22</f>
        <v>0</v>
      </c>
      <c r="I18" s="96" t="str">
        <f t="shared" si="0"/>
        <v/>
      </c>
      <c r="J18" s="431">
        <v>1</v>
      </c>
      <c r="K18" s="243" t="str">
        <f>'TECHNISCH LEZEN - 1e periode'!L18</f>
        <v>PLUS</v>
      </c>
      <c r="L18" s="109" t="s">
        <v>279</v>
      </c>
      <c r="M18" s="98" t="s">
        <v>221</v>
      </c>
      <c r="N18" s="99"/>
      <c r="O18" s="1198"/>
      <c r="P18" s="1196"/>
      <c r="Q18" s="89"/>
      <c r="R18" s="114"/>
      <c r="S18" s="114"/>
      <c r="T18" s="114"/>
      <c r="U18" s="114"/>
      <c r="V18" s="114"/>
      <c r="W18" s="114"/>
    </row>
    <row r="19" spans="1:24" ht="19.5" customHeight="1" x14ac:dyDescent="0.2">
      <c r="D19" s="111">
        <v>0</v>
      </c>
      <c r="E19" s="92">
        <v>15</v>
      </c>
      <c r="F19" s="93" t="str">
        <f>BEGINBLAD!C18</f>
        <v>leerling 15</v>
      </c>
      <c r="G19" s="94">
        <f>'NIVEAU WAARDE - 1e toetsperiode'!D23</f>
        <v>2.1</v>
      </c>
      <c r="H19" s="95">
        <f>'NIVEAU WAARDE - 2e toetsperiode'!D23</f>
        <v>0</v>
      </c>
      <c r="I19" s="96" t="str">
        <f t="shared" si="0"/>
        <v/>
      </c>
      <c r="J19" s="431">
        <v>3</v>
      </c>
      <c r="K19" s="124" t="str">
        <f>'TECHNISCH LEZEN - 1e periode'!L19</f>
        <v>PLUS</v>
      </c>
      <c r="L19" s="106" t="s">
        <v>279</v>
      </c>
      <c r="M19" s="98" t="s">
        <v>221</v>
      </c>
      <c r="N19" s="99"/>
      <c r="O19" s="1198"/>
      <c r="P19" s="1196"/>
      <c r="Q19" s="116"/>
      <c r="R19" s="117"/>
      <c r="S19" s="117"/>
      <c r="T19" s="117"/>
      <c r="U19" s="118"/>
      <c r="V19" s="118"/>
      <c r="W19" s="118"/>
      <c r="X19" s="119"/>
    </row>
    <row r="20" spans="1:24" ht="19.5" customHeight="1" x14ac:dyDescent="0.2">
      <c r="D20" s="111">
        <v>0</v>
      </c>
      <c r="E20" s="92">
        <v>16</v>
      </c>
      <c r="F20" s="93" t="str">
        <f>BEGINBLAD!C19</f>
        <v>leerling 16</v>
      </c>
      <c r="G20" s="94">
        <f>'NIVEAU WAARDE - 1e toetsperiode'!D24</f>
        <v>1</v>
      </c>
      <c r="H20" s="95">
        <f>'NIVEAU WAARDE - 2e toetsperiode'!D24</f>
        <v>0</v>
      </c>
      <c r="I20" s="96" t="str">
        <f t="shared" si="0"/>
        <v/>
      </c>
      <c r="J20" s="431">
        <v>2</v>
      </c>
      <c r="K20" s="124" t="str">
        <f>'TECHNISCH LEZEN - 1e periode'!L20</f>
        <v>PLUS</v>
      </c>
      <c r="L20" s="106" t="s">
        <v>279</v>
      </c>
      <c r="M20" s="98" t="s">
        <v>221</v>
      </c>
      <c r="N20" s="99"/>
      <c r="O20" s="1198"/>
      <c r="P20" s="1196"/>
      <c r="Q20" s="116"/>
      <c r="R20" s="120"/>
      <c r="S20" s="120"/>
      <c r="T20" s="120"/>
      <c r="U20" s="120"/>
      <c r="V20" s="120"/>
      <c r="W20" s="120"/>
    </row>
    <row r="21" spans="1:24" ht="19.5" customHeight="1" x14ac:dyDescent="0.2">
      <c r="D21" s="111">
        <v>0</v>
      </c>
      <c r="E21" s="92">
        <v>17</v>
      </c>
      <c r="F21" s="93" t="str">
        <f>BEGINBLAD!C20</f>
        <v>leerling 17</v>
      </c>
      <c r="G21" s="94">
        <f>'NIVEAU WAARDE - 1e toetsperiode'!D25</f>
        <v>3.3</v>
      </c>
      <c r="H21" s="95">
        <f>'NIVEAU WAARDE - 2e toetsperiode'!D25</f>
        <v>0</v>
      </c>
      <c r="I21" s="96" t="str">
        <f t="shared" si="0"/>
        <v/>
      </c>
      <c r="J21" s="431">
        <v>3</v>
      </c>
      <c r="K21" s="124" t="str">
        <f>'TECHNISCH LEZEN - 1e periode'!L21</f>
        <v>PLUS</v>
      </c>
      <c r="L21" s="121" t="s">
        <v>279</v>
      </c>
      <c r="M21" s="98" t="s">
        <v>221</v>
      </c>
      <c r="N21" s="99"/>
      <c r="O21" s="1198"/>
      <c r="P21" s="1196"/>
      <c r="Q21" s="116"/>
      <c r="R21" s="120"/>
      <c r="S21" s="120"/>
      <c r="T21" s="120"/>
      <c r="U21" s="120"/>
      <c r="V21" s="120"/>
      <c r="W21" s="120"/>
    </row>
    <row r="22" spans="1:24" ht="19.5" customHeight="1" x14ac:dyDescent="0.2">
      <c r="D22" s="111">
        <v>0</v>
      </c>
      <c r="E22" s="92">
        <v>18</v>
      </c>
      <c r="F22" s="93" t="str">
        <f>BEGINBLAD!C21</f>
        <v>leerling 18</v>
      </c>
      <c r="G22" s="94">
        <f>'NIVEAU WAARDE - 1e toetsperiode'!D26</f>
        <v>2.2000000000000002</v>
      </c>
      <c r="H22" s="95">
        <f>'NIVEAU WAARDE - 2e toetsperiode'!D26</f>
        <v>0</v>
      </c>
      <c r="I22" s="96" t="str">
        <f t="shared" si="0"/>
        <v/>
      </c>
      <c r="J22" s="431"/>
      <c r="K22" s="124">
        <f>'TECHNISCH LEZEN - 1e periode'!L22</f>
        <v>0</v>
      </c>
      <c r="L22" s="97"/>
      <c r="M22" s="98"/>
      <c r="N22" s="99"/>
      <c r="O22" s="1198"/>
      <c r="P22" s="1196"/>
      <c r="Q22" s="116"/>
      <c r="R22" s="120"/>
      <c r="S22" s="120"/>
      <c r="T22" s="120"/>
      <c r="U22" s="120"/>
      <c r="V22" s="120"/>
      <c r="W22" s="120"/>
    </row>
    <row r="23" spans="1:24" ht="19.5" customHeight="1" x14ac:dyDescent="0.2">
      <c r="B23" s="122"/>
      <c r="C23" s="122"/>
      <c r="D23" s="111">
        <v>0</v>
      </c>
      <c r="E23" s="92">
        <v>19</v>
      </c>
      <c r="F23" s="93" t="str">
        <f>BEGINBLAD!C22</f>
        <v>leerling 19</v>
      </c>
      <c r="G23" s="94">
        <f>'NIVEAU WAARDE - 1e toetsperiode'!D27</f>
        <v>0.9</v>
      </c>
      <c r="H23" s="95">
        <f>'NIVEAU WAARDE - 2e toetsperiode'!D27</f>
        <v>0</v>
      </c>
      <c r="I23" s="96" t="str">
        <f t="shared" si="0"/>
        <v/>
      </c>
      <c r="J23" s="431"/>
      <c r="K23" s="124">
        <f>'TECHNISCH LEZEN - 1e periode'!L23</f>
        <v>0</v>
      </c>
      <c r="L23" s="121"/>
      <c r="M23" s="98"/>
      <c r="N23" s="99"/>
      <c r="O23" s="1198"/>
      <c r="P23" s="1196"/>
    </row>
    <row r="24" spans="1:24" ht="19.5" customHeight="1" thickBot="1" x14ac:dyDescent="0.25">
      <c r="B24" s="123"/>
      <c r="C24" s="122"/>
      <c r="D24" s="111">
        <v>0</v>
      </c>
      <c r="E24" s="92">
        <v>20</v>
      </c>
      <c r="F24" s="93" t="str">
        <f>BEGINBLAD!C23</f>
        <v>leerling 20</v>
      </c>
      <c r="G24" s="94">
        <f>'NIVEAU WAARDE - 1e toetsperiode'!D28</f>
        <v>4</v>
      </c>
      <c r="H24" s="95">
        <f>'NIVEAU WAARDE - 2e toetsperiode'!D28</f>
        <v>0</v>
      </c>
      <c r="I24" s="96" t="str">
        <f t="shared" si="0"/>
        <v/>
      </c>
      <c r="J24" s="431"/>
      <c r="K24" s="124">
        <f>'TECHNISCH LEZEN - 1e periode'!L24</f>
        <v>0</v>
      </c>
      <c r="L24" s="121"/>
      <c r="M24" s="98"/>
      <c r="N24" s="99"/>
      <c r="O24" s="1199"/>
      <c r="P24" s="1197"/>
      <c r="Q24" s="116"/>
      <c r="R24" s="120"/>
      <c r="S24" s="120"/>
      <c r="T24" s="120"/>
      <c r="U24" s="120"/>
      <c r="V24" s="120"/>
      <c r="W24" s="120"/>
    </row>
    <row r="25" spans="1:24" ht="19.5" customHeight="1" thickBot="1" x14ac:dyDescent="0.25">
      <c r="B25" s="123"/>
      <c r="C25" s="122"/>
      <c r="D25" s="111">
        <v>0</v>
      </c>
      <c r="E25" s="92">
        <v>21</v>
      </c>
      <c r="F25" s="93" t="str">
        <f>BEGINBLAD!C24</f>
        <v>leerling 21</v>
      </c>
      <c r="G25" s="94">
        <f>'NIVEAU WAARDE - 1e toetsperiode'!D29</f>
        <v>2.4</v>
      </c>
      <c r="H25" s="95">
        <f>'NIVEAU WAARDE - 2e toetsperiode'!D29</f>
        <v>0</v>
      </c>
      <c r="I25" s="96" t="str">
        <f t="shared" si="0"/>
        <v/>
      </c>
      <c r="J25" s="431"/>
      <c r="K25" s="124">
        <f>'TECHNISCH LEZEN - 1e periode'!L25</f>
        <v>0</v>
      </c>
      <c r="L25" s="121"/>
      <c r="M25" s="98"/>
      <c r="N25" s="99"/>
      <c r="O25" s="107"/>
      <c r="P25" s="113" t="s">
        <v>282</v>
      </c>
      <c r="Q25" s="116"/>
      <c r="R25" s="120"/>
      <c r="S25" s="120"/>
      <c r="T25" s="120"/>
      <c r="U25" s="120"/>
      <c r="V25" s="120"/>
      <c r="W25" s="120"/>
    </row>
    <row r="26" spans="1:24" ht="19.5" customHeight="1" x14ac:dyDescent="0.2">
      <c r="D26" s="111">
        <v>0</v>
      </c>
      <c r="E26" s="92">
        <v>22</v>
      </c>
      <c r="F26" s="93" t="str">
        <f>BEGINBLAD!C25</f>
        <v>leerling 22</v>
      </c>
      <c r="G26" s="94">
        <f>'NIVEAU WAARDE - 1e toetsperiode'!D30</f>
        <v>0.9</v>
      </c>
      <c r="H26" s="95">
        <f>'NIVEAU WAARDE - 2e toetsperiode'!D30</f>
        <v>0</v>
      </c>
      <c r="I26" s="96" t="str">
        <f t="shared" si="0"/>
        <v/>
      </c>
      <c r="J26" s="431"/>
      <c r="K26" s="124">
        <f>'TECHNISCH LEZEN - 1e periode'!L26</f>
        <v>0</v>
      </c>
      <c r="L26" s="121"/>
      <c r="M26" s="98"/>
      <c r="N26" s="99"/>
      <c r="O26" s="1191" t="s">
        <v>135</v>
      </c>
      <c r="P26" s="1194">
        <f>'BASISAANPAK - 2e periode'!C6</f>
        <v>0</v>
      </c>
      <c r="Q26" s="89"/>
      <c r="R26" s="114"/>
      <c r="S26" s="114"/>
      <c r="T26" s="114"/>
      <c r="U26" s="114"/>
      <c r="V26" s="114"/>
      <c r="W26" s="114"/>
    </row>
    <row r="27" spans="1:24" s="126" customFormat="1" ht="19.5" customHeight="1" x14ac:dyDescent="0.4">
      <c r="A27" s="89"/>
      <c r="B27" s="1132" t="s">
        <v>43</v>
      </c>
      <c r="C27" s="90" t="s">
        <v>210</v>
      </c>
      <c r="D27" s="105">
        <v>0</v>
      </c>
      <c r="E27" s="92">
        <v>23</v>
      </c>
      <c r="F27" s="93" t="str">
        <f>BEGINBLAD!C26</f>
        <v>leerling 23</v>
      </c>
      <c r="G27" s="94">
        <f>'NIVEAU WAARDE - 1e toetsperiode'!D31</f>
        <v>4.2</v>
      </c>
      <c r="H27" s="95">
        <f>'NIVEAU WAARDE - 2e toetsperiode'!D31</f>
        <v>0</v>
      </c>
      <c r="I27" s="96" t="str">
        <f t="shared" si="0"/>
        <v/>
      </c>
      <c r="J27" s="431"/>
      <c r="K27" s="124">
        <f>'TECHNISCH LEZEN - 1e periode'!L27</f>
        <v>0</v>
      </c>
      <c r="L27" s="121"/>
      <c r="M27" s="98"/>
      <c r="N27" s="99"/>
      <c r="O27" s="1192"/>
      <c r="P27" s="1195"/>
      <c r="Q27" s="125"/>
      <c r="R27" s="125"/>
      <c r="S27" s="125"/>
      <c r="T27" s="125"/>
      <c r="U27" s="125"/>
      <c r="V27" s="125"/>
      <c r="W27" s="125"/>
    </row>
    <row r="28" spans="1:24" ht="19.5" customHeight="1" x14ac:dyDescent="0.4">
      <c r="A28" s="89"/>
      <c r="B28" s="1132"/>
      <c r="C28" s="101" t="s">
        <v>200</v>
      </c>
      <c r="D28" s="105">
        <v>0</v>
      </c>
      <c r="E28" s="92">
        <v>24</v>
      </c>
      <c r="F28" s="93" t="str">
        <f>BEGINBLAD!C27</f>
        <v>leerling 24</v>
      </c>
      <c r="G28" s="94">
        <f>'NIVEAU WAARDE - 1e toetsperiode'!D32</f>
        <v>4</v>
      </c>
      <c r="H28" s="95">
        <f>'NIVEAU WAARDE - 2e toetsperiode'!D32</f>
        <v>0</v>
      </c>
      <c r="I28" s="96" t="str">
        <f t="shared" si="0"/>
        <v/>
      </c>
      <c r="J28" s="431"/>
      <c r="K28" s="124">
        <f>'TECHNISCH LEZEN - 1e periode'!L28</f>
        <v>0</v>
      </c>
      <c r="L28" s="121"/>
      <c r="M28" s="98"/>
      <c r="N28" s="99"/>
      <c r="O28" s="1192" t="s">
        <v>137</v>
      </c>
      <c r="P28" s="1200">
        <f>'BASISAANPAK - 2e periode'!C8</f>
        <v>0</v>
      </c>
      <c r="Q28" s="77"/>
      <c r="R28" s="127"/>
      <c r="S28" s="88"/>
      <c r="T28" s="88"/>
      <c r="U28" s="88"/>
      <c r="V28" s="88"/>
      <c r="W28" s="88"/>
    </row>
    <row r="29" spans="1:24" ht="19.5" customHeight="1" x14ac:dyDescent="0.2">
      <c r="A29" s="102"/>
      <c r="B29" s="103"/>
      <c r="C29" s="689"/>
      <c r="D29" s="91">
        <v>0</v>
      </c>
      <c r="E29" s="92">
        <v>25</v>
      </c>
      <c r="F29" s="93" t="str">
        <f>BEGINBLAD!C28</f>
        <v>leerling 25</v>
      </c>
      <c r="G29" s="94">
        <f>'NIVEAU WAARDE - 1e toetsperiode'!D33</f>
        <v>2.1</v>
      </c>
      <c r="H29" s="95">
        <f>'NIVEAU WAARDE - 2e toetsperiode'!D33</f>
        <v>0</v>
      </c>
      <c r="I29" s="96" t="str">
        <f t="shared" si="0"/>
        <v/>
      </c>
      <c r="J29" s="431"/>
      <c r="K29" s="124">
        <f>'TECHNISCH LEZEN - 1e periode'!L29</f>
        <v>0</v>
      </c>
      <c r="L29" s="121"/>
      <c r="M29" s="98"/>
      <c r="N29" s="99"/>
      <c r="O29" s="1192"/>
      <c r="P29" s="1200"/>
      <c r="Q29" s="128"/>
      <c r="R29" s="117"/>
      <c r="S29" s="117"/>
      <c r="T29" s="117"/>
      <c r="U29" s="117"/>
      <c r="V29" s="117"/>
      <c r="W29" s="117"/>
    </row>
    <row r="30" spans="1:24" ht="19.5" customHeight="1" x14ac:dyDescent="0.2">
      <c r="A30" s="102"/>
      <c r="B30" s="103"/>
      <c r="C30" s="689"/>
      <c r="D30" s="91">
        <v>0</v>
      </c>
      <c r="E30" s="92">
        <v>26</v>
      </c>
      <c r="F30" s="93" t="str">
        <f>BEGINBLAD!C29</f>
        <v>leerling 26</v>
      </c>
      <c r="G30" s="94">
        <f>'NIVEAU WAARDE - 1e toetsperiode'!D34</f>
        <v>1.8</v>
      </c>
      <c r="H30" s="95">
        <f>'NIVEAU WAARDE - 2e toetsperiode'!D34</f>
        <v>0</v>
      </c>
      <c r="I30" s="96" t="str">
        <f t="shared" si="0"/>
        <v/>
      </c>
      <c r="J30" s="431"/>
      <c r="K30" s="124">
        <f>'TECHNISCH LEZEN - 1e periode'!L30</f>
        <v>0</v>
      </c>
      <c r="L30" s="121"/>
      <c r="M30" s="98"/>
      <c r="N30" s="99"/>
      <c r="O30" s="1192"/>
      <c r="P30" s="1200"/>
      <c r="Q30" s="116"/>
      <c r="R30" s="120"/>
      <c r="S30" s="120"/>
      <c r="T30" s="120"/>
      <c r="U30" s="120"/>
      <c r="V30" s="120"/>
      <c r="W30" s="120"/>
    </row>
    <row r="31" spans="1:24" ht="19.5" customHeight="1" x14ac:dyDescent="0.2">
      <c r="A31" s="102"/>
      <c r="B31" s="103"/>
      <c r="C31" s="689"/>
      <c r="D31" s="91">
        <v>0</v>
      </c>
      <c r="E31" s="92">
        <v>27</v>
      </c>
      <c r="F31" s="93">
        <f>BEGINBLAD!C30</f>
        <v>0</v>
      </c>
      <c r="G31" s="94">
        <f>'NIVEAU WAARDE - 1e toetsperiode'!D35</f>
        <v>0</v>
      </c>
      <c r="H31" s="95">
        <f>'NIVEAU WAARDE - 2e toetsperiode'!D35</f>
        <v>0</v>
      </c>
      <c r="I31" s="96" t="str">
        <f t="shared" si="0"/>
        <v/>
      </c>
      <c r="J31" s="431"/>
      <c r="K31" s="124">
        <f>'TECHNISCH LEZEN - 1e periode'!L31</f>
        <v>0</v>
      </c>
      <c r="L31" s="121"/>
      <c r="M31" s="98"/>
      <c r="N31" s="99"/>
      <c r="O31" s="1192"/>
      <c r="P31" s="1200"/>
      <c r="Q31" s="116"/>
      <c r="R31" s="120"/>
      <c r="S31" s="120"/>
      <c r="T31" s="120"/>
      <c r="U31" s="120"/>
      <c r="V31" s="120"/>
      <c r="W31" s="120"/>
    </row>
    <row r="32" spans="1:24" ht="19.5" customHeight="1" x14ac:dyDescent="0.2">
      <c r="A32" s="102"/>
      <c r="B32" s="103"/>
      <c r="C32" s="689"/>
      <c r="D32" s="91">
        <v>0</v>
      </c>
      <c r="E32" s="92">
        <v>28</v>
      </c>
      <c r="F32" s="93">
        <f>BEGINBLAD!C31</f>
        <v>0</v>
      </c>
      <c r="G32" s="94">
        <f>'NIVEAU WAARDE - 1e toetsperiode'!D36</f>
        <v>0</v>
      </c>
      <c r="H32" s="95">
        <f>'NIVEAU WAARDE - 2e toetsperiode'!D36</f>
        <v>0</v>
      </c>
      <c r="I32" s="96" t="str">
        <f t="shared" si="0"/>
        <v/>
      </c>
      <c r="J32" s="431"/>
      <c r="K32" s="124">
        <f>'TECHNISCH LEZEN - 1e periode'!L32</f>
        <v>0</v>
      </c>
      <c r="L32" s="121"/>
      <c r="M32" s="98"/>
      <c r="N32" s="99"/>
      <c r="O32" s="1192"/>
      <c r="P32" s="1200"/>
      <c r="Q32" s="116"/>
      <c r="R32" s="120"/>
      <c r="S32" s="120"/>
      <c r="T32" s="120"/>
      <c r="U32" s="120"/>
      <c r="V32" s="120"/>
      <c r="W32" s="120"/>
    </row>
    <row r="33" spans="1:27" ht="19.5" customHeight="1" x14ac:dyDescent="0.2">
      <c r="A33" s="102"/>
      <c r="B33" s="103"/>
      <c r="C33" s="689"/>
      <c r="D33" s="91">
        <v>0</v>
      </c>
      <c r="E33" s="92">
        <v>29</v>
      </c>
      <c r="F33" s="93">
        <f>BEGINBLAD!C32</f>
        <v>0</v>
      </c>
      <c r="G33" s="94">
        <f>'NIVEAU WAARDE - 1e toetsperiode'!D37</f>
        <v>0</v>
      </c>
      <c r="H33" s="95">
        <f>'NIVEAU WAARDE - 2e toetsperiode'!D37</f>
        <v>0</v>
      </c>
      <c r="I33" s="96" t="str">
        <f t="shared" si="0"/>
        <v/>
      </c>
      <c r="J33" s="431"/>
      <c r="K33" s="124">
        <f>'TECHNISCH LEZEN - 1e periode'!L33</f>
        <v>0</v>
      </c>
      <c r="L33" s="121"/>
      <c r="M33" s="98"/>
      <c r="N33" s="99"/>
      <c r="O33" s="1192"/>
      <c r="P33" s="1200"/>
      <c r="Q33" s="116"/>
      <c r="R33" s="120"/>
      <c r="S33" s="120"/>
      <c r="T33" s="120"/>
      <c r="U33" s="120"/>
      <c r="V33" s="120"/>
      <c r="W33" s="120"/>
    </row>
    <row r="34" spans="1:27" ht="19.5" customHeight="1" x14ac:dyDescent="0.2">
      <c r="A34" s="102"/>
      <c r="B34" s="103"/>
      <c r="C34" s="689"/>
      <c r="D34" s="91">
        <v>0</v>
      </c>
      <c r="E34" s="92">
        <v>30</v>
      </c>
      <c r="F34" s="93">
        <f>BEGINBLAD!C33</f>
        <v>0</v>
      </c>
      <c r="G34" s="94">
        <f>'NIVEAU WAARDE - 1e toetsperiode'!D38</f>
        <v>0</v>
      </c>
      <c r="H34" s="95">
        <f>'NIVEAU WAARDE - 2e toetsperiode'!D38</f>
        <v>0</v>
      </c>
      <c r="I34" s="96" t="str">
        <f t="shared" si="0"/>
        <v/>
      </c>
      <c r="J34" s="431"/>
      <c r="K34" s="124">
        <f>'TECHNISCH LEZEN - 1e periode'!L34</f>
        <v>0</v>
      </c>
      <c r="L34" s="121"/>
      <c r="M34" s="98"/>
      <c r="N34" s="99"/>
      <c r="O34" s="1192"/>
      <c r="P34" s="1200"/>
      <c r="Q34" s="116"/>
      <c r="R34" s="120"/>
      <c r="S34" s="120"/>
      <c r="T34" s="120"/>
      <c r="U34" s="120"/>
      <c r="V34" s="120"/>
      <c r="W34" s="120"/>
    </row>
    <row r="35" spans="1:27" ht="19.5" customHeight="1" thickBot="1" x14ac:dyDescent="0.25">
      <c r="A35" s="102"/>
      <c r="B35" s="103"/>
      <c r="C35" s="689"/>
      <c r="D35" s="91">
        <v>0</v>
      </c>
      <c r="E35" s="92">
        <v>31</v>
      </c>
      <c r="F35" s="93">
        <f>BEGINBLAD!C34</f>
        <v>0</v>
      </c>
      <c r="G35" s="94">
        <f>'NIVEAU WAARDE - 1e toetsperiode'!D39</f>
        <v>0</v>
      </c>
      <c r="H35" s="95">
        <f>'NIVEAU WAARDE - 2e toetsperiode'!D39</f>
        <v>0</v>
      </c>
      <c r="I35" s="96" t="str">
        <f t="shared" si="0"/>
        <v/>
      </c>
      <c r="J35" s="431"/>
      <c r="K35" s="124">
        <f>'TECHNISCH LEZEN - 1e periode'!L35</f>
        <v>0</v>
      </c>
      <c r="L35" s="121"/>
      <c r="M35" s="98"/>
      <c r="N35" s="99"/>
      <c r="O35" s="1193"/>
      <c r="P35" s="1201"/>
      <c r="Q35" s="116"/>
      <c r="R35" s="120"/>
      <c r="S35" s="120"/>
      <c r="T35" s="120"/>
      <c r="U35" s="120"/>
      <c r="V35" s="120"/>
      <c r="W35" s="120"/>
    </row>
    <row r="36" spans="1:27" ht="19.5" customHeight="1" thickBot="1" x14ac:dyDescent="0.25">
      <c r="A36" s="102"/>
      <c r="B36" s="103"/>
      <c r="C36" s="689"/>
      <c r="D36" s="91">
        <v>0</v>
      </c>
      <c r="E36" s="92">
        <v>32</v>
      </c>
      <c r="F36" s="93">
        <f>BEGINBLAD!C35</f>
        <v>0</v>
      </c>
      <c r="G36" s="94">
        <f>'NIVEAU WAARDE - 1e toetsperiode'!D40</f>
        <v>0</v>
      </c>
      <c r="H36" s="95">
        <f>'NIVEAU WAARDE - 2e toetsperiode'!D40</f>
        <v>0</v>
      </c>
      <c r="I36" s="96" t="str">
        <f t="shared" si="0"/>
        <v/>
      </c>
      <c r="J36" s="431"/>
      <c r="K36" s="124">
        <f>'TECHNISCH LEZEN - 1e periode'!L36</f>
        <v>0</v>
      </c>
      <c r="L36" s="121"/>
      <c r="M36" s="98"/>
      <c r="N36" s="99"/>
      <c r="O36" s="107"/>
      <c r="P36" s="113" t="s">
        <v>108</v>
      </c>
      <c r="Q36" s="116"/>
      <c r="R36" s="120"/>
      <c r="S36" s="120"/>
      <c r="T36" s="120"/>
      <c r="U36" s="120"/>
      <c r="V36" s="120"/>
      <c r="W36" s="120"/>
    </row>
    <row r="37" spans="1:27" ht="19.5" customHeight="1" x14ac:dyDescent="0.2">
      <c r="A37" s="102"/>
      <c r="B37" s="103"/>
      <c r="C37" s="689"/>
      <c r="D37" s="91">
        <v>0</v>
      </c>
      <c r="E37" s="92">
        <v>33</v>
      </c>
      <c r="F37" s="93">
        <f>BEGINBLAD!C36</f>
        <v>0</v>
      </c>
      <c r="G37" s="94">
        <f>'NIVEAU WAARDE - 1e toetsperiode'!D41</f>
        <v>0</v>
      </c>
      <c r="H37" s="95">
        <f>'NIVEAU WAARDE - 2e toetsperiode'!D41</f>
        <v>0</v>
      </c>
      <c r="I37" s="96" t="str">
        <f t="shared" si="0"/>
        <v/>
      </c>
      <c r="J37" s="431"/>
      <c r="K37" s="124">
        <f>'TECHNISCH LEZEN - 1e periode'!L37</f>
        <v>0</v>
      </c>
      <c r="L37" s="121"/>
      <c r="M37" s="98"/>
      <c r="N37" s="99"/>
      <c r="O37" s="1191" t="s">
        <v>135</v>
      </c>
      <c r="P37" s="1194">
        <f>'VERRIJKT - 2e periode'!C6</f>
        <v>0</v>
      </c>
      <c r="Q37" s="116"/>
      <c r="R37" s="120"/>
      <c r="S37" s="120"/>
      <c r="T37" s="120"/>
      <c r="U37" s="120"/>
      <c r="V37" s="120"/>
      <c r="W37" s="120"/>
    </row>
    <row r="38" spans="1:27" ht="19.5" customHeight="1" x14ac:dyDescent="0.2">
      <c r="A38" s="102"/>
      <c r="B38" s="103"/>
      <c r="C38" s="689"/>
      <c r="D38" s="91">
        <v>0</v>
      </c>
      <c r="E38" s="92">
        <v>34</v>
      </c>
      <c r="F38" s="93">
        <f>BEGINBLAD!C37</f>
        <v>0</v>
      </c>
      <c r="G38" s="94">
        <f>'NIVEAU WAARDE - 1e toetsperiode'!D42</f>
        <v>0</v>
      </c>
      <c r="H38" s="95">
        <f>'NIVEAU WAARDE - 2e toetsperiode'!D42</f>
        <v>0</v>
      </c>
      <c r="I38" s="96" t="str">
        <f t="shared" si="0"/>
        <v/>
      </c>
      <c r="J38" s="431"/>
      <c r="K38" s="124">
        <f>'TECHNISCH LEZEN - 1e periode'!L38</f>
        <v>0</v>
      </c>
      <c r="L38" s="121"/>
      <c r="M38" s="98"/>
      <c r="N38" s="99"/>
      <c r="O38" s="1192"/>
      <c r="P38" s="1195"/>
      <c r="Q38" s="116"/>
      <c r="R38" s="120"/>
      <c r="S38" s="120"/>
      <c r="T38" s="120"/>
      <c r="U38" s="120"/>
      <c r="V38" s="120"/>
      <c r="W38" s="120"/>
    </row>
    <row r="39" spans="1:27" ht="19.5" customHeight="1" x14ac:dyDescent="0.2">
      <c r="A39" s="102"/>
      <c r="B39" s="103"/>
      <c r="C39" s="689"/>
      <c r="D39" s="91">
        <v>0</v>
      </c>
      <c r="E39" s="92">
        <v>35</v>
      </c>
      <c r="F39" s="93">
        <f>BEGINBLAD!C38</f>
        <v>0</v>
      </c>
      <c r="G39" s="94">
        <f>'NIVEAU WAARDE - 1e toetsperiode'!D43</f>
        <v>0</v>
      </c>
      <c r="H39" s="95">
        <f>'NIVEAU WAARDE - 2e toetsperiode'!D43</f>
        <v>0</v>
      </c>
      <c r="I39" s="96" t="str">
        <f t="shared" si="0"/>
        <v/>
      </c>
      <c r="J39" s="431"/>
      <c r="K39" s="124">
        <f>'TECHNISCH LEZEN - 1e periode'!L39</f>
        <v>0</v>
      </c>
      <c r="L39" s="121"/>
      <c r="M39" s="129"/>
      <c r="N39" s="99"/>
      <c r="O39" s="1192" t="s">
        <v>137</v>
      </c>
      <c r="P39" s="1189">
        <f>'VERRIJKT - 2e periode'!C8</f>
        <v>0</v>
      </c>
      <c r="Q39" s="116"/>
      <c r="R39" s="120"/>
      <c r="S39" s="120"/>
      <c r="T39" s="120"/>
      <c r="U39" s="120"/>
      <c r="V39" s="120"/>
      <c r="W39" s="120"/>
    </row>
    <row r="40" spans="1:27" s="89" customFormat="1" ht="19.5" customHeight="1" thickBot="1" x14ac:dyDescent="0.25">
      <c r="A40" s="102"/>
      <c r="B40" s="103"/>
      <c r="C40" s="689"/>
      <c r="D40" s="91">
        <v>0</v>
      </c>
      <c r="E40" s="130">
        <v>36</v>
      </c>
      <c r="F40" s="131">
        <f>BEGINBLAD!C39</f>
        <v>0</v>
      </c>
      <c r="G40" s="132">
        <f>'NIVEAU WAARDE - 1e toetsperiode'!D44</f>
        <v>0</v>
      </c>
      <c r="H40" s="133">
        <f>'NIVEAU WAARDE - 2e toetsperiode'!D44</f>
        <v>0</v>
      </c>
      <c r="I40" s="134" t="str">
        <f t="shared" si="0"/>
        <v/>
      </c>
      <c r="J40" s="608"/>
      <c r="K40" s="244">
        <f>'TECHNISCH LEZEN - 1e periode'!L40</f>
        <v>0</v>
      </c>
      <c r="L40" s="135"/>
      <c r="M40" s="136"/>
      <c r="N40" s="99"/>
      <c r="O40" s="1192"/>
      <c r="P40" s="1189"/>
      <c r="Q40" s="116"/>
      <c r="R40" s="120"/>
      <c r="S40" s="120"/>
      <c r="T40" s="120"/>
      <c r="U40" s="120"/>
      <c r="V40" s="120"/>
      <c r="W40" s="120"/>
      <c r="X40" s="114"/>
      <c r="Y40" s="114"/>
      <c r="Z40" s="114"/>
      <c r="AA40" s="114"/>
    </row>
    <row r="41" spans="1:27" ht="19.5" customHeight="1" thickBot="1" x14ac:dyDescent="0.25">
      <c r="A41" s="137"/>
      <c r="B41" s="138"/>
      <c r="C41" s="1202" t="s">
        <v>109</v>
      </c>
      <c r="D41" s="1202"/>
      <c r="E41" s="1202"/>
      <c r="F41" s="1202"/>
      <c r="G41" s="1203" t="s">
        <v>108</v>
      </c>
      <c r="H41" s="1203"/>
      <c r="I41" s="1203"/>
      <c r="J41" s="1203"/>
      <c r="K41" s="1203"/>
      <c r="L41" s="1203"/>
      <c r="M41" s="1203"/>
      <c r="O41" s="1192"/>
      <c r="P41" s="1189"/>
      <c r="Q41" s="116"/>
      <c r="R41" s="139"/>
      <c r="S41" s="139"/>
      <c r="T41" s="139"/>
      <c r="U41" s="139"/>
      <c r="V41" s="139"/>
      <c r="W41" s="139"/>
    </row>
    <row r="42" spans="1:27" ht="19.5" customHeight="1" x14ac:dyDescent="0.2">
      <c r="A42" s="116"/>
      <c r="B42" s="159"/>
      <c r="C42" s="166" t="s">
        <v>214</v>
      </c>
      <c r="D42" s="1204"/>
      <c r="E42" s="1205"/>
      <c r="F42" s="1206"/>
      <c r="G42" s="1207" t="s">
        <v>214</v>
      </c>
      <c r="H42" s="1208"/>
      <c r="I42" s="1231"/>
      <c r="J42" s="1231"/>
      <c r="K42" s="1231"/>
      <c r="L42" s="1231"/>
      <c r="M42" s="1232"/>
      <c r="O42" s="1192"/>
      <c r="P42" s="1189"/>
      <c r="Q42" s="116"/>
      <c r="R42" s="139"/>
      <c r="S42" s="139"/>
      <c r="T42" s="139"/>
      <c r="U42" s="139"/>
      <c r="V42" s="139"/>
      <c r="W42" s="139"/>
    </row>
    <row r="43" spans="1:27" ht="19.5" customHeight="1" x14ac:dyDescent="0.2">
      <c r="A43" s="116"/>
      <c r="B43" s="160"/>
      <c r="C43" s="167" t="s">
        <v>215</v>
      </c>
      <c r="D43" s="1210"/>
      <c r="E43" s="1211"/>
      <c r="F43" s="1212"/>
      <c r="G43" s="1213" t="s">
        <v>215</v>
      </c>
      <c r="H43" s="1214"/>
      <c r="I43" s="1233"/>
      <c r="J43" s="1233"/>
      <c r="K43" s="1233"/>
      <c r="L43" s="1233"/>
      <c r="M43" s="1234"/>
      <c r="O43" s="1192"/>
      <c r="P43" s="1189"/>
      <c r="Q43" s="116"/>
      <c r="R43" s="139"/>
      <c r="S43" s="139"/>
      <c r="T43" s="139"/>
      <c r="U43" s="139"/>
      <c r="V43" s="139"/>
      <c r="W43" s="139"/>
    </row>
    <row r="44" spans="1:27" ht="19.5" customHeight="1" x14ac:dyDescent="0.2">
      <c r="A44" s="116"/>
      <c r="B44" s="160"/>
      <c r="C44" s="167" t="s">
        <v>216</v>
      </c>
      <c r="D44" s="1210"/>
      <c r="E44" s="1211"/>
      <c r="F44" s="1212"/>
      <c r="G44" s="1213" t="s">
        <v>216</v>
      </c>
      <c r="H44" s="1214"/>
      <c r="I44" s="1233"/>
      <c r="J44" s="1233"/>
      <c r="K44" s="1233"/>
      <c r="L44" s="1233"/>
      <c r="M44" s="1234"/>
      <c r="O44" s="1192"/>
      <c r="P44" s="1189"/>
      <c r="Q44" s="116"/>
      <c r="R44" s="139"/>
      <c r="S44" s="139"/>
      <c r="T44" s="139"/>
      <c r="U44" s="139"/>
      <c r="V44" s="139"/>
      <c r="W44" s="139"/>
    </row>
    <row r="45" spans="1:27" ht="19.5" customHeight="1" x14ac:dyDescent="0.2">
      <c r="A45" s="116"/>
      <c r="B45" s="160"/>
      <c r="C45" s="167" t="s">
        <v>217</v>
      </c>
      <c r="D45" s="1210"/>
      <c r="E45" s="1211"/>
      <c r="F45" s="1212"/>
      <c r="G45" s="1213" t="s">
        <v>217</v>
      </c>
      <c r="H45" s="1214"/>
      <c r="I45" s="1233"/>
      <c r="J45" s="1233"/>
      <c r="K45" s="1233"/>
      <c r="L45" s="1233"/>
      <c r="M45" s="1234"/>
      <c r="O45" s="1192"/>
      <c r="P45" s="1189"/>
      <c r="Q45" s="116"/>
      <c r="R45" s="139"/>
      <c r="S45" s="139"/>
      <c r="T45" s="139"/>
      <c r="U45" s="139"/>
      <c r="V45" s="139"/>
      <c r="W45" s="139"/>
    </row>
    <row r="46" spans="1:27" ht="19.5" customHeight="1" thickBot="1" x14ac:dyDescent="0.25">
      <c r="A46" s="116"/>
      <c r="B46" s="160"/>
      <c r="C46" s="168" t="s">
        <v>218</v>
      </c>
      <c r="D46" s="1236"/>
      <c r="E46" s="1236"/>
      <c r="F46" s="1237"/>
      <c r="G46" s="1225" t="s">
        <v>218</v>
      </c>
      <c r="H46" s="1226"/>
      <c r="I46" s="1238"/>
      <c r="J46" s="1238"/>
      <c r="K46" s="1238"/>
      <c r="L46" s="1238"/>
      <c r="M46" s="1239"/>
      <c r="O46" s="1193"/>
      <c r="P46" s="1190"/>
      <c r="Q46" s="116"/>
      <c r="R46" s="120"/>
      <c r="S46" s="120"/>
      <c r="T46" s="120"/>
      <c r="U46" s="120"/>
      <c r="V46" s="120"/>
      <c r="W46" s="120"/>
    </row>
    <row r="47" spans="1:27" x14ac:dyDescent="0.2">
      <c r="B47" s="140"/>
      <c r="C47" s="145"/>
      <c r="D47" s="150"/>
      <c r="E47" s="500"/>
      <c r="F47" s="500"/>
      <c r="G47" s="500"/>
      <c r="H47" s="197"/>
      <c r="I47" s="197"/>
      <c r="J47" s="197"/>
      <c r="K47" s="1235" t="s">
        <v>213</v>
      </c>
      <c r="L47" s="1235"/>
      <c r="M47" s="1235"/>
      <c r="N47" s="141"/>
      <c r="O47" s="151"/>
      <c r="P47" s="151"/>
      <c r="Q47" s="116"/>
      <c r="R47" s="120"/>
      <c r="S47" s="120"/>
      <c r="T47" s="120"/>
      <c r="U47" s="120"/>
      <c r="V47" s="120"/>
      <c r="W47" s="120"/>
    </row>
    <row r="48" spans="1:27" x14ac:dyDescent="0.2">
      <c r="B48" s="161"/>
      <c r="C48" s="154"/>
      <c r="D48" s="493">
        <f>BEGINBLAD!$D$40</f>
        <v>26</v>
      </c>
      <c r="E48" s="199"/>
      <c r="F48" s="200" t="s">
        <v>288</v>
      </c>
      <c r="G48" s="207" t="e">
        <f>H48/$D$49</f>
        <v>#DIV/0!</v>
      </c>
      <c r="H48" s="111">
        <f>COUNTIF($I$5:$I$40,"A-1+")</f>
        <v>0</v>
      </c>
      <c r="I48" s="111"/>
      <c r="J48" s="198" t="s">
        <v>289</v>
      </c>
      <c r="K48" s="198"/>
      <c r="L48" s="198"/>
      <c r="M48" s="222" t="e">
        <f>G48+G49+G50+G51+G52</f>
        <v>#DIV/0!</v>
      </c>
      <c r="N48" s="222">
        <v>1</v>
      </c>
      <c r="O48" s="223"/>
      <c r="P48" s="141"/>
      <c r="Q48" s="116"/>
      <c r="R48" s="120"/>
      <c r="S48" s="120"/>
      <c r="T48" s="120"/>
      <c r="U48" s="120"/>
      <c r="V48" s="120"/>
      <c r="W48" s="120"/>
    </row>
    <row r="49" spans="2:23" x14ac:dyDescent="0.2">
      <c r="B49" s="161"/>
      <c r="C49" s="154"/>
      <c r="D49" s="144">
        <f>COUNTIF(H5:H40,"&gt;0")</f>
        <v>0</v>
      </c>
      <c r="E49" s="199"/>
      <c r="F49" s="200" t="s">
        <v>290</v>
      </c>
      <c r="G49" s="207" t="e">
        <f>H49/$D$49</f>
        <v>#DIV/0!</v>
      </c>
      <c r="H49" s="111">
        <f>COUNTIF($I$5:$I$40,"A-1")</f>
        <v>0</v>
      </c>
      <c r="I49" s="111"/>
      <c r="J49" s="198"/>
      <c r="K49" s="198"/>
      <c r="L49" s="198"/>
      <c r="M49" s="222"/>
      <c r="N49" s="222">
        <v>0.7</v>
      </c>
      <c r="O49" s="224"/>
      <c r="P49" s="153"/>
      <c r="Q49" s="116"/>
      <c r="R49" s="120"/>
      <c r="S49" s="120"/>
      <c r="T49" s="120"/>
      <c r="U49" s="120"/>
      <c r="V49" s="120"/>
      <c r="W49" s="120"/>
    </row>
    <row r="50" spans="2:23" x14ac:dyDescent="0.2">
      <c r="B50" s="161"/>
      <c r="C50" s="154"/>
      <c r="D50" s="152"/>
      <c r="E50" s="199"/>
      <c r="F50" s="202" t="s">
        <v>291</v>
      </c>
      <c r="G50" s="207" t="e">
        <f>(H50+I50)/$D$49</f>
        <v>#DIV/0!</v>
      </c>
      <c r="H50" s="111">
        <f>COUNTIF($I$5:$I$40,"A-2")</f>
        <v>0</v>
      </c>
      <c r="I50" s="111">
        <f>COUNTIF($I$5:$I$40,"B-2")</f>
        <v>0</v>
      </c>
      <c r="J50" s="198"/>
      <c r="K50" s="198"/>
      <c r="L50" s="198"/>
      <c r="M50" s="222"/>
      <c r="N50" s="222">
        <v>0.6</v>
      </c>
      <c r="O50" s="224"/>
      <c r="P50" s="153"/>
      <c r="Q50" s="116"/>
      <c r="R50" s="120"/>
      <c r="S50" s="120"/>
      <c r="T50" s="120"/>
      <c r="U50" s="120"/>
      <c r="V50" s="120"/>
      <c r="W50" s="120"/>
    </row>
    <row r="51" spans="2:23" x14ac:dyDescent="0.2">
      <c r="B51" s="161"/>
      <c r="C51" s="154"/>
      <c r="D51" s="152"/>
      <c r="E51" s="199"/>
      <c r="F51" s="200" t="s">
        <v>292</v>
      </c>
      <c r="G51" s="207" t="e">
        <f>H51/$D$49</f>
        <v>#DIV/0!</v>
      </c>
      <c r="H51" s="111">
        <f>COUNTIF($I$5:$I$40,"B-3")</f>
        <v>0</v>
      </c>
      <c r="I51" s="111"/>
      <c r="J51" s="198"/>
      <c r="K51" s="198"/>
      <c r="L51" s="198"/>
      <c r="M51" s="222"/>
      <c r="N51" s="222" t="e">
        <f>$M$48</f>
        <v>#DIV/0!</v>
      </c>
      <c r="O51" s="224"/>
      <c r="P51" s="153"/>
      <c r="Q51" s="116"/>
      <c r="R51" s="120"/>
      <c r="S51" s="120"/>
      <c r="T51" s="120"/>
      <c r="U51" s="120"/>
      <c r="V51" s="120"/>
      <c r="W51" s="120"/>
    </row>
    <row r="52" spans="2:23" x14ac:dyDescent="0.2">
      <c r="B52" s="161"/>
      <c r="C52" s="154"/>
      <c r="D52" s="152"/>
      <c r="E52" s="199"/>
      <c r="F52" s="200" t="s">
        <v>293</v>
      </c>
      <c r="G52" s="207" t="e">
        <f>H52/$D$49</f>
        <v>#DIV/0!</v>
      </c>
      <c r="H52" s="111">
        <f>COUNTIF($I$5:$I$40,"c-3")</f>
        <v>0</v>
      </c>
      <c r="I52" s="111"/>
      <c r="J52" s="198" t="s">
        <v>294</v>
      </c>
      <c r="K52" s="198"/>
      <c r="L52" s="198"/>
      <c r="M52" s="222" t="e">
        <f>G53+G54+G55+G57</f>
        <v>#DIV/0!</v>
      </c>
      <c r="N52" s="225"/>
      <c r="O52" s="224"/>
      <c r="P52" s="153"/>
      <c r="Q52" s="116"/>
      <c r="R52" s="120"/>
      <c r="S52" s="120"/>
      <c r="T52" s="120"/>
      <c r="U52" s="120"/>
      <c r="V52" s="120"/>
      <c r="W52" s="120"/>
    </row>
    <row r="53" spans="2:23" x14ac:dyDescent="0.2">
      <c r="B53" s="161"/>
      <c r="C53" s="154"/>
      <c r="D53" s="152"/>
      <c r="E53" s="199"/>
      <c r="F53" s="202" t="s">
        <v>295</v>
      </c>
      <c r="G53" s="207" t="e">
        <f>H53/$D$49</f>
        <v>#DIV/0!</v>
      </c>
      <c r="H53" s="111">
        <f>COUNTIF($I$5:$I$40,"c-4")</f>
        <v>0</v>
      </c>
      <c r="I53" s="208"/>
      <c r="J53" s="198"/>
      <c r="K53" s="198"/>
      <c r="L53" s="198"/>
      <c r="M53" s="222"/>
      <c r="N53" s="225"/>
      <c r="O53" s="224"/>
      <c r="P53" s="153"/>
      <c r="Q53" s="116"/>
      <c r="R53" s="120"/>
      <c r="S53" s="120"/>
      <c r="T53" s="120"/>
      <c r="U53" s="120"/>
      <c r="V53" s="120"/>
      <c r="W53" s="120"/>
    </row>
    <row r="54" spans="2:23" x14ac:dyDescent="0.2">
      <c r="B54" s="161"/>
      <c r="C54" s="154"/>
      <c r="D54" s="152"/>
      <c r="E54" s="199"/>
      <c r="F54" s="199" t="s">
        <v>296</v>
      </c>
      <c r="G54" s="207" t="e">
        <f>H54/$D$49</f>
        <v>#DIV/0!</v>
      </c>
      <c r="H54" s="111">
        <f>COUNTIF($I$5:$I$40,"d-4")</f>
        <v>0</v>
      </c>
      <c r="I54" s="208"/>
      <c r="J54" s="198"/>
      <c r="K54" s="198"/>
      <c r="L54" s="198"/>
      <c r="M54" s="222"/>
      <c r="N54" s="225"/>
      <c r="O54" s="224"/>
      <c r="P54" s="153"/>
      <c r="Q54" s="116"/>
      <c r="R54" s="120"/>
      <c r="S54" s="120"/>
      <c r="T54" s="120"/>
      <c r="U54" s="120"/>
      <c r="V54" s="120"/>
      <c r="W54" s="120"/>
    </row>
    <row r="55" spans="2:23" x14ac:dyDescent="0.2">
      <c r="B55" s="161"/>
      <c r="C55" s="154"/>
      <c r="D55" s="152"/>
      <c r="E55" s="199"/>
      <c r="F55" s="200" t="s">
        <v>297</v>
      </c>
      <c r="G55" s="207" t="e">
        <f>(H55+I55)/$D$49</f>
        <v>#DIV/0!</v>
      </c>
      <c r="H55" s="111">
        <f>COUNTIF($I$5:$I$40,"d-5")</f>
        <v>0</v>
      </c>
      <c r="I55" s="111">
        <f>COUNTIF($I$5:$I$40,"e-5")</f>
        <v>0</v>
      </c>
      <c r="J55" s="198"/>
      <c r="K55" s="198"/>
      <c r="L55" s="198"/>
      <c r="M55" s="222"/>
      <c r="N55" s="225"/>
      <c r="O55" s="224"/>
      <c r="P55" s="153"/>
      <c r="Q55" s="116"/>
      <c r="R55" s="120"/>
      <c r="S55" s="120"/>
      <c r="T55" s="120"/>
      <c r="U55" s="120"/>
      <c r="V55" s="120"/>
      <c r="W55" s="120"/>
    </row>
    <row r="56" spans="2:23" x14ac:dyDescent="0.2">
      <c r="B56" s="161"/>
      <c r="C56" s="154"/>
      <c r="D56" s="152"/>
      <c r="E56" s="199"/>
      <c r="F56" s="200"/>
      <c r="G56" s="207"/>
      <c r="H56" s="111"/>
      <c r="I56" s="111"/>
      <c r="J56" s="198" t="s">
        <v>50</v>
      </c>
      <c r="K56" s="198"/>
      <c r="L56" s="198"/>
      <c r="M56" s="222" t="e">
        <f>M48+M52</f>
        <v>#DIV/0!</v>
      </c>
      <c r="N56" s="1209"/>
      <c r="O56" s="224"/>
      <c r="P56" s="153"/>
      <c r="Q56" s="116"/>
      <c r="R56" s="120"/>
      <c r="S56" s="120"/>
      <c r="T56" s="120"/>
      <c r="U56" s="120"/>
      <c r="V56" s="120"/>
      <c r="W56" s="120"/>
    </row>
    <row r="57" spans="2:23" x14ac:dyDescent="0.2">
      <c r="B57" s="161"/>
      <c r="C57" s="154"/>
      <c r="D57" s="152"/>
      <c r="E57" s="199"/>
      <c r="F57" s="203" t="s">
        <v>298</v>
      </c>
      <c r="G57" s="207" t="e">
        <f>H57/$D$49</f>
        <v>#DIV/0!</v>
      </c>
      <c r="H57" s="111">
        <f>COUNTIF($I$5:$I$40,"e-5-")</f>
        <v>0</v>
      </c>
      <c r="I57" s="111"/>
      <c r="J57" s="198"/>
      <c r="K57" s="198"/>
      <c r="L57" s="198"/>
      <c r="M57" s="222"/>
      <c r="N57" s="1209"/>
      <c r="O57" s="224"/>
      <c r="P57" s="153"/>
      <c r="Q57" s="116"/>
      <c r="R57" s="120"/>
      <c r="S57" s="120"/>
      <c r="T57" s="120"/>
      <c r="U57" s="120"/>
      <c r="V57" s="120"/>
      <c r="W57" s="120"/>
    </row>
    <row r="58" spans="2:23" x14ac:dyDescent="0.2">
      <c r="B58" s="161"/>
      <c r="C58" s="145"/>
      <c r="D58" s="152"/>
      <c r="E58" s="199"/>
      <c r="F58" s="200" t="s">
        <v>50</v>
      </c>
      <c r="G58" s="204" t="e">
        <f>SUM(G48:G57)</f>
        <v>#DIV/0!</v>
      </c>
      <c r="H58" s="693">
        <f>SUM(H48:H57)</f>
        <v>0</v>
      </c>
      <c r="I58" s="693">
        <f>SUM(I48:I57)</f>
        <v>0</v>
      </c>
      <c r="J58" s="208"/>
      <c r="K58" s="208"/>
      <c r="L58" s="223"/>
      <c r="M58" s="223"/>
      <c r="N58" s="223"/>
      <c r="O58" s="223"/>
      <c r="P58" s="151"/>
      <c r="Q58" s="116"/>
      <c r="R58" s="120"/>
      <c r="S58" s="120"/>
      <c r="T58" s="120"/>
      <c r="U58" s="120"/>
      <c r="V58" s="120"/>
      <c r="W58" s="120"/>
    </row>
    <row r="59" spans="2:23" x14ac:dyDescent="0.2">
      <c r="B59" s="161"/>
      <c r="C59" s="145"/>
      <c r="D59" s="152"/>
      <c r="E59" s="199"/>
      <c r="F59" s="196"/>
      <c r="G59" s="196"/>
      <c r="H59" s="208">
        <f>SUM(H58+I58)</f>
        <v>0</v>
      </c>
      <c r="I59" s="208"/>
      <c r="J59" s="208"/>
      <c r="K59" s="208"/>
      <c r="L59" s="223"/>
      <c r="M59" s="223"/>
      <c r="N59" s="223"/>
      <c r="O59" s="223"/>
      <c r="P59" s="151"/>
      <c r="Q59" s="116"/>
      <c r="R59" s="120"/>
      <c r="S59" s="120"/>
      <c r="T59" s="120"/>
      <c r="U59" s="120"/>
      <c r="V59" s="120"/>
      <c r="W59" s="120"/>
    </row>
    <row r="60" spans="2:23" x14ac:dyDescent="0.2">
      <c r="B60" s="161"/>
      <c r="C60" s="145"/>
      <c r="D60" s="205"/>
      <c r="E60" s="196"/>
      <c r="F60" s="199"/>
      <c r="G60" s="207"/>
      <c r="H60" s="197"/>
      <c r="I60" s="197"/>
      <c r="J60" s="197"/>
      <c r="K60" s="197"/>
      <c r="L60" s="223"/>
      <c r="M60" s="223"/>
      <c r="N60" s="223"/>
      <c r="O60" s="223"/>
      <c r="P60" s="151"/>
      <c r="Q60" s="116"/>
      <c r="R60" s="120"/>
      <c r="S60" s="120"/>
      <c r="T60" s="120"/>
      <c r="U60" s="120"/>
      <c r="V60" s="120"/>
      <c r="W60" s="120"/>
    </row>
    <row r="61" spans="2:23" x14ac:dyDescent="0.2">
      <c r="B61" s="161"/>
      <c r="C61" s="145"/>
      <c r="D61" s="205"/>
      <c r="E61" s="196"/>
      <c r="F61" s="206"/>
      <c r="G61" s="207"/>
      <c r="H61" s="197"/>
      <c r="I61" s="197"/>
      <c r="J61" s="197"/>
      <c r="K61" s="197"/>
      <c r="L61" s="223"/>
      <c r="M61" s="223"/>
      <c r="N61" s="223"/>
      <c r="O61" s="223"/>
      <c r="P61" s="151"/>
      <c r="Q61" s="116"/>
      <c r="R61" s="120"/>
      <c r="S61" s="120"/>
      <c r="T61" s="120"/>
      <c r="U61" s="120"/>
      <c r="V61" s="120"/>
      <c r="W61" s="120"/>
    </row>
    <row r="62" spans="2:23" x14ac:dyDescent="0.2">
      <c r="B62" s="162"/>
      <c r="C62" s="169"/>
      <c r="D62" s="144"/>
      <c r="E62" s="196"/>
      <c r="F62" s="501"/>
      <c r="G62" s="502"/>
      <c r="H62" s="197"/>
      <c r="I62" s="197"/>
      <c r="J62" s="197"/>
      <c r="K62" s="142"/>
      <c r="L62" s="141"/>
      <c r="M62" s="141"/>
      <c r="N62" s="141"/>
      <c r="O62" s="141"/>
      <c r="P62" s="151"/>
      <c r="Q62" s="116"/>
      <c r="R62" s="120"/>
      <c r="S62" s="120"/>
      <c r="T62" s="120"/>
      <c r="U62" s="120"/>
      <c r="V62" s="120"/>
      <c r="W62" s="120"/>
    </row>
    <row r="63" spans="2:23" x14ac:dyDescent="0.2">
      <c r="B63" s="161"/>
      <c r="C63" s="145"/>
      <c r="D63" s="144"/>
      <c r="E63" s="196"/>
      <c r="F63" s="196"/>
      <c r="G63" s="196"/>
      <c r="H63" s="197"/>
      <c r="I63" s="197"/>
      <c r="J63" s="197"/>
      <c r="K63" s="142"/>
      <c r="L63" s="141"/>
      <c r="M63" s="141"/>
      <c r="N63" s="141"/>
      <c r="O63" s="141"/>
      <c r="P63" s="151"/>
      <c r="Q63" s="116"/>
      <c r="R63" s="120"/>
      <c r="S63" s="120"/>
      <c r="T63" s="120"/>
      <c r="U63" s="120"/>
      <c r="V63" s="120"/>
      <c r="W63" s="120"/>
    </row>
    <row r="64" spans="2:23" x14ac:dyDescent="0.2">
      <c r="B64" s="161"/>
      <c r="C64" s="143"/>
      <c r="D64" s="144"/>
      <c r="E64" s="196"/>
      <c r="F64" s="196"/>
      <c r="G64" s="196"/>
      <c r="H64" s="197"/>
      <c r="I64" s="197"/>
      <c r="J64" s="197"/>
      <c r="K64" s="142"/>
      <c r="L64" s="143"/>
      <c r="M64" s="141"/>
      <c r="N64" s="141"/>
      <c r="O64" s="141"/>
      <c r="P64" s="141"/>
      <c r="Q64" s="116"/>
      <c r="R64" s="120"/>
      <c r="S64" s="120"/>
      <c r="T64" s="120"/>
      <c r="U64" s="120"/>
      <c r="V64" s="120"/>
      <c r="W64" s="120"/>
    </row>
    <row r="65" spans="3:24" x14ac:dyDescent="0.2">
      <c r="C65" s="143"/>
      <c r="D65" s="144"/>
      <c r="E65" s="196"/>
      <c r="F65" s="196"/>
      <c r="G65" s="196"/>
      <c r="H65" s="197"/>
      <c r="I65" s="197"/>
      <c r="J65" s="197"/>
      <c r="K65" s="142"/>
      <c r="L65" s="143"/>
      <c r="M65" s="141"/>
      <c r="N65" s="141"/>
      <c r="O65" s="141"/>
      <c r="P65" s="141"/>
      <c r="Q65" s="116"/>
      <c r="R65" s="120"/>
      <c r="S65" s="120"/>
      <c r="T65" s="120"/>
      <c r="U65" s="120"/>
      <c r="V65" s="120"/>
      <c r="W65" s="120"/>
    </row>
    <row r="66" spans="3:24" x14ac:dyDescent="0.2">
      <c r="C66" s="143"/>
      <c r="D66" s="144"/>
      <c r="E66" s="196"/>
      <c r="F66" s="196"/>
      <c r="G66" s="196"/>
      <c r="H66" s="197"/>
      <c r="I66" s="197"/>
      <c r="J66" s="197"/>
      <c r="K66" s="142"/>
      <c r="L66" s="143"/>
      <c r="M66" s="141"/>
      <c r="N66" s="155"/>
      <c r="O66" s="141"/>
      <c r="P66" s="141"/>
      <c r="Q66" s="116"/>
      <c r="R66" s="120"/>
      <c r="S66" s="120"/>
      <c r="T66" s="120"/>
      <c r="U66" s="120"/>
      <c r="V66" s="120"/>
      <c r="W66" s="120"/>
      <c r="X66" s="146"/>
    </row>
    <row r="67" spans="3:24" ht="20.25" x14ac:dyDescent="0.2">
      <c r="C67" s="145"/>
      <c r="D67" s="154"/>
      <c r="E67" s="145"/>
      <c r="F67" s="145"/>
      <c r="G67" s="145"/>
      <c r="H67" s="142"/>
      <c r="I67" s="142"/>
      <c r="J67" s="156"/>
      <c r="K67" s="142"/>
      <c r="L67" s="145"/>
      <c r="M67" s="141"/>
      <c r="N67" s="141"/>
      <c r="O67" s="155"/>
      <c r="P67" s="155"/>
      <c r="Q67" s="116"/>
      <c r="R67" s="117"/>
      <c r="S67" s="117"/>
      <c r="T67" s="117"/>
      <c r="U67" s="118"/>
      <c r="V67" s="118"/>
      <c r="W67" s="118"/>
      <c r="X67" s="119"/>
    </row>
    <row r="68" spans="3:24" ht="20.25" x14ac:dyDescent="0.2">
      <c r="C68" s="145"/>
      <c r="D68" s="154"/>
      <c r="E68" s="145"/>
      <c r="F68" s="145"/>
      <c r="G68" s="145"/>
      <c r="H68" s="142"/>
      <c r="I68" s="142"/>
      <c r="J68" s="156"/>
      <c r="K68" s="142"/>
      <c r="L68" s="145"/>
      <c r="M68" s="141"/>
      <c r="N68" s="141"/>
      <c r="O68" s="141"/>
      <c r="P68" s="141"/>
      <c r="Q68" s="116"/>
      <c r="R68" s="120"/>
      <c r="S68" s="120"/>
      <c r="T68" s="120"/>
      <c r="U68" s="120"/>
      <c r="V68" s="120"/>
      <c r="W68" s="120"/>
    </row>
    <row r="69" spans="3:24" ht="20.25" x14ac:dyDescent="0.2">
      <c r="C69" s="143"/>
      <c r="D69" s="154"/>
      <c r="E69" s="143"/>
      <c r="F69" s="143"/>
      <c r="G69" s="143"/>
      <c r="H69" s="142"/>
      <c r="I69" s="142"/>
      <c r="J69" s="156"/>
      <c r="K69" s="142"/>
      <c r="L69" s="143"/>
      <c r="M69" s="141"/>
      <c r="N69" s="141"/>
      <c r="O69" s="141"/>
      <c r="P69" s="141"/>
      <c r="Q69" s="116"/>
      <c r="R69" s="120"/>
      <c r="S69" s="120"/>
      <c r="T69" s="120"/>
      <c r="U69" s="120"/>
      <c r="V69" s="120"/>
      <c r="W69" s="120"/>
    </row>
    <row r="70" spans="3:24" ht="20.25" x14ac:dyDescent="0.2">
      <c r="C70" s="143"/>
      <c r="D70" s="154"/>
      <c r="E70" s="143"/>
      <c r="F70" s="143"/>
      <c r="G70" s="143"/>
      <c r="H70" s="142"/>
      <c r="I70" s="142"/>
      <c r="J70" s="156"/>
      <c r="K70" s="142"/>
      <c r="L70" s="143"/>
      <c r="M70" s="141"/>
      <c r="N70" s="141"/>
      <c r="O70" s="141"/>
      <c r="P70" s="141"/>
      <c r="Q70" s="116"/>
      <c r="R70" s="120"/>
      <c r="S70" s="120"/>
      <c r="T70" s="120"/>
      <c r="U70" s="120"/>
      <c r="V70" s="120"/>
      <c r="W70" s="120"/>
    </row>
    <row r="71" spans="3:24" ht="20.25" x14ac:dyDescent="0.2">
      <c r="C71" s="143"/>
      <c r="D71" s="154"/>
      <c r="E71" s="143"/>
      <c r="F71" s="143"/>
      <c r="G71" s="143"/>
      <c r="H71" s="142"/>
      <c r="I71" s="142"/>
      <c r="J71" s="156"/>
      <c r="K71" s="142"/>
      <c r="L71" s="143"/>
      <c r="M71" s="141"/>
      <c r="N71" s="141"/>
      <c r="O71" s="141"/>
      <c r="P71" s="141"/>
      <c r="Q71" s="116"/>
      <c r="R71" s="120"/>
      <c r="S71" s="120"/>
      <c r="T71" s="120"/>
      <c r="U71" s="120"/>
      <c r="V71" s="120"/>
      <c r="W71" s="120"/>
    </row>
    <row r="72" spans="3:24" x14ac:dyDescent="0.2">
      <c r="C72" s="143"/>
      <c r="D72" s="144"/>
      <c r="E72" s="143"/>
      <c r="F72" s="143"/>
      <c r="G72" s="143"/>
      <c r="H72" s="142"/>
      <c r="I72" s="142"/>
      <c r="J72" s="142"/>
      <c r="K72" s="142"/>
      <c r="L72" s="143"/>
      <c r="M72" s="141"/>
      <c r="N72" s="141"/>
      <c r="O72" s="141"/>
      <c r="P72" s="141"/>
      <c r="Q72" s="116"/>
      <c r="R72" s="120"/>
      <c r="S72" s="120"/>
      <c r="T72" s="120"/>
      <c r="U72" s="120"/>
      <c r="V72" s="120"/>
      <c r="W72" s="120"/>
    </row>
    <row r="73" spans="3:24" x14ac:dyDescent="0.2">
      <c r="C73" s="143"/>
      <c r="D73" s="144"/>
      <c r="E73" s="143"/>
      <c r="F73" s="143"/>
      <c r="G73" s="143"/>
      <c r="H73" s="142"/>
      <c r="I73" s="142"/>
      <c r="J73" s="142"/>
      <c r="K73" s="142"/>
      <c r="L73" s="143"/>
      <c r="M73" s="141"/>
      <c r="N73" s="141"/>
      <c r="O73" s="141"/>
      <c r="P73" s="141"/>
      <c r="Q73" s="116"/>
      <c r="R73" s="120"/>
      <c r="S73" s="120"/>
      <c r="T73" s="120"/>
      <c r="U73" s="120"/>
      <c r="V73" s="120"/>
      <c r="W73" s="120"/>
    </row>
    <row r="74" spans="3:24" x14ac:dyDescent="0.2">
      <c r="C74" s="143"/>
      <c r="D74" s="144"/>
      <c r="E74" s="143"/>
      <c r="F74" s="143"/>
      <c r="G74" s="143"/>
      <c r="H74" s="142"/>
      <c r="I74" s="142"/>
      <c r="J74" s="142"/>
      <c r="K74" s="142"/>
      <c r="L74" s="143"/>
      <c r="M74" s="141"/>
      <c r="N74" s="141"/>
      <c r="O74" s="141"/>
      <c r="P74" s="141"/>
      <c r="Q74" s="116"/>
      <c r="R74" s="120"/>
      <c r="S74" s="120"/>
      <c r="T74" s="120"/>
      <c r="U74" s="120"/>
      <c r="V74" s="120"/>
      <c r="W74" s="120"/>
    </row>
    <row r="75" spans="3:24" x14ac:dyDescent="0.2">
      <c r="C75" s="143"/>
      <c r="D75" s="144"/>
      <c r="E75" s="143"/>
      <c r="F75" s="143"/>
      <c r="G75" s="143"/>
      <c r="H75" s="142"/>
      <c r="I75" s="142"/>
      <c r="J75" s="142"/>
      <c r="K75" s="142"/>
      <c r="L75" s="143"/>
      <c r="M75" s="141"/>
      <c r="N75" s="141"/>
      <c r="O75" s="141"/>
      <c r="P75" s="141"/>
      <c r="Q75" s="116"/>
      <c r="R75" s="120"/>
      <c r="S75" s="120"/>
      <c r="T75" s="120"/>
      <c r="U75" s="120"/>
      <c r="V75" s="120"/>
      <c r="W75" s="120"/>
    </row>
    <row r="76" spans="3:24" x14ac:dyDescent="0.2">
      <c r="C76" s="143"/>
      <c r="D76" s="144"/>
      <c r="E76" s="143"/>
      <c r="F76" s="143"/>
      <c r="G76" s="143"/>
      <c r="H76" s="142"/>
      <c r="I76" s="142"/>
      <c r="J76" s="142"/>
      <c r="K76" s="142"/>
      <c r="L76" s="143"/>
      <c r="M76" s="141"/>
      <c r="N76" s="141"/>
      <c r="O76" s="141"/>
      <c r="P76" s="141"/>
      <c r="Q76" s="116"/>
      <c r="R76" s="120"/>
      <c r="S76" s="120"/>
      <c r="T76" s="120"/>
      <c r="U76" s="120"/>
      <c r="V76" s="120"/>
      <c r="W76" s="120"/>
    </row>
    <row r="77" spans="3:24" x14ac:dyDescent="0.2">
      <c r="C77" s="143"/>
      <c r="D77" s="144"/>
      <c r="E77" s="143"/>
      <c r="F77" s="143"/>
      <c r="G77" s="143"/>
      <c r="H77" s="142"/>
      <c r="I77" s="142"/>
      <c r="J77" s="142"/>
      <c r="K77" s="142"/>
      <c r="L77" s="143"/>
      <c r="M77" s="141"/>
      <c r="N77" s="141"/>
      <c r="O77" s="141"/>
      <c r="P77" s="141"/>
      <c r="Q77" s="116"/>
      <c r="R77" s="120"/>
      <c r="S77" s="120"/>
      <c r="T77" s="120"/>
      <c r="U77" s="120"/>
      <c r="V77" s="120"/>
      <c r="W77" s="120"/>
    </row>
    <row r="78" spans="3:24" x14ac:dyDescent="0.2">
      <c r="C78" s="143"/>
      <c r="D78" s="144"/>
      <c r="E78" s="143"/>
      <c r="F78" s="143"/>
      <c r="G78" s="143"/>
      <c r="H78" s="142"/>
      <c r="I78" s="142"/>
      <c r="J78" s="142"/>
      <c r="K78" s="142"/>
      <c r="L78" s="143"/>
      <c r="M78" s="141"/>
      <c r="N78" s="141"/>
      <c r="O78" s="141"/>
      <c r="P78" s="141"/>
      <c r="Q78" s="116"/>
      <c r="R78" s="120"/>
      <c r="S78" s="120"/>
      <c r="T78" s="120"/>
      <c r="U78" s="120"/>
      <c r="V78" s="120"/>
      <c r="W78" s="120"/>
    </row>
    <row r="79" spans="3:24" x14ac:dyDescent="0.2">
      <c r="C79" s="143"/>
      <c r="D79" s="144"/>
      <c r="E79" s="143"/>
      <c r="F79" s="143"/>
      <c r="G79" s="143"/>
      <c r="H79" s="142"/>
      <c r="I79" s="142"/>
      <c r="J79" s="142"/>
      <c r="K79" s="142"/>
      <c r="L79" s="143"/>
      <c r="M79" s="141"/>
      <c r="N79" s="141"/>
      <c r="O79" s="141"/>
      <c r="P79" s="141"/>
      <c r="Q79" s="116"/>
      <c r="R79" s="120"/>
      <c r="S79" s="120"/>
      <c r="T79" s="120"/>
      <c r="U79" s="120"/>
      <c r="V79" s="120"/>
      <c r="W79" s="120"/>
    </row>
    <row r="80" spans="3:24" x14ac:dyDescent="0.2">
      <c r="C80" s="143"/>
      <c r="D80" s="144"/>
      <c r="E80" s="143"/>
      <c r="F80" s="143"/>
      <c r="G80" s="143"/>
      <c r="H80" s="142"/>
      <c r="I80" s="142"/>
      <c r="J80" s="142"/>
      <c r="K80" s="142"/>
      <c r="L80" s="143"/>
      <c r="M80" s="141"/>
      <c r="N80" s="141"/>
      <c r="O80" s="141"/>
      <c r="P80" s="141"/>
      <c r="Q80" s="116"/>
      <c r="R80" s="120"/>
      <c r="S80" s="120"/>
      <c r="T80" s="120"/>
      <c r="U80" s="120"/>
      <c r="V80" s="120"/>
      <c r="W80" s="120"/>
    </row>
    <row r="81" spans="3:23" x14ac:dyDescent="0.2">
      <c r="C81" s="143"/>
      <c r="D81" s="144"/>
      <c r="E81" s="143"/>
      <c r="F81" s="143"/>
      <c r="G81" s="143"/>
      <c r="H81" s="142"/>
      <c r="I81" s="142"/>
      <c r="J81" s="142"/>
      <c r="K81" s="142"/>
      <c r="L81" s="143"/>
      <c r="M81" s="141"/>
      <c r="N81" s="141"/>
      <c r="O81" s="141"/>
      <c r="P81" s="141"/>
      <c r="Q81" s="116"/>
      <c r="R81" s="120"/>
      <c r="S81" s="120"/>
      <c r="T81" s="120"/>
      <c r="U81" s="120"/>
      <c r="V81" s="120"/>
      <c r="W81" s="120"/>
    </row>
    <row r="82" spans="3:23" x14ac:dyDescent="0.2">
      <c r="C82" s="143"/>
      <c r="D82" s="144"/>
      <c r="E82" s="143"/>
      <c r="F82" s="143"/>
      <c r="G82" s="143"/>
      <c r="H82" s="142"/>
      <c r="I82" s="142"/>
      <c r="J82" s="142"/>
      <c r="K82" s="142"/>
      <c r="L82" s="143"/>
      <c r="M82" s="141"/>
      <c r="N82" s="141"/>
      <c r="O82" s="141"/>
      <c r="P82" s="141"/>
      <c r="Q82" s="116"/>
      <c r="R82" s="120"/>
      <c r="S82" s="120"/>
      <c r="T82" s="120"/>
      <c r="U82" s="120"/>
      <c r="V82" s="120"/>
      <c r="W82" s="120"/>
    </row>
    <row r="83" spans="3:23" x14ac:dyDescent="0.2">
      <c r="C83" s="143"/>
      <c r="D83" s="144"/>
      <c r="E83" s="143"/>
      <c r="F83" s="143"/>
      <c r="G83" s="143"/>
      <c r="H83" s="142"/>
      <c r="I83" s="142"/>
      <c r="J83" s="142"/>
      <c r="K83" s="142"/>
      <c r="L83" s="143"/>
      <c r="M83" s="141"/>
      <c r="N83" s="141"/>
      <c r="O83" s="141"/>
      <c r="P83" s="141"/>
      <c r="Q83" s="116"/>
      <c r="R83" s="120"/>
      <c r="S83" s="120"/>
      <c r="T83" s="120"/>
      <c r="U83" s="120"/>
      <c r="V83" s="120"/>
      <c r="W83" s="120"/>
    </row>
    <row r="84" spans="3:23" x14ac:dyDescent="0.2">
      <c r="C84" s="143"/>
      <c r="D84" s="144"/>
      <c r="E84" s="143"/>
      <c r="F84" s="143"/>
      <c r="G84" s="143"/>
      <c r="H84" s="142"/>
      <c r="I84" s="142"/>
      <c r="J84" s="142"/>
      <c r="K84" s="142"/>
      <c r="L84" s="143"/>
      <c r="M84" s="141"/>
      <c r="N84" s="141"/>
      <c r="O84" s="141"/>
      <c r="P84" s="141"/>
      <c r="Q84" s="116"/>
      <c r="R84" s="120"/>
      <c r="S84" s="120"/>
      <c r="T84" s="120"/>
      <c r="U84" s="120"/>
      <c r="V84" s="120"/>
      <c r="W84" s="120"/>
    </row>
    <row r="85" spans="3:23" x14ac:dyDescent="0.2">
      <c r="C85" s="143"/>
      <c r="D85" s="152"/>
      <c r="E85" s="157"/>
      <c r="F85" s="157"/>
      <c r="G85" s="157"/>
      <c r="H85" s="158"/>
      <c r="I85" s="158"/>
      <c r="J85" s="158"/>
      <c r="K85" s="158"/>
      <c r="L85" s="143"/>
      <c r="M85" s="141"/>
      <c r="N85" s="141"/>
      <c r="O85" s="141"/>
      <c r="P85" s="141"/>
      <c r="Q85" s="116"/>
      <c r="R85" s="120"/>
      <c r="S85" s="120"/>
      <c r="T85" s="120"/>
      <c r="U85" s="120"/>
      <c r="V85" s="120"/>
      <c r="W85" s="120"/>
    </row>
    <row r="86" spans="3:23" x14ac:dyDescent="0.2">
      <c r="M86" s="89"/>
      <c r="N86" s="89"/>
      <c r="O86" s="89"/>
      <c r="P86" s="89"/>
      <c r="Q86" s="116"/>
      <c r="R86" s="120"/>
      <c r="S86" s="120"/>
      <c r="T86" s="120"/>
      <c r="U86" s="120"/>
      <c r="V86" s="120"/>
      <c r="W86" s="120"/>
    </row>
    <row r="87" spans="3:23" x14ac:dyDescent="0.2">
      <c r="M87" s="89"/>
      <c r="N87" s="89"/>
      <c r="O87" s="89"/>
      <c r="P87" s="89"/>
      <c r="Q87" s="116"/>
      <c r="R87" s="120"/>
      <c r="S87" s="120"/>
      <c r="T87" s="120"/>
      <c r="U87" s="120"/>
      <c r="V87" s="120"/>
      <c r="W87" s="120"/>
    </row>
    <row r="88" spans="3:23" x14ac:dyDescent="0.2">
      <c r="M88" s="89"/>
      <c r="N88" s="89"/>
      <c r="O88" s="89"/>
      <c r="P88" s="89"/>
      <c r="Q88" s="89"/>
      <c r="R88" s="120"/>
      <c r="S88" s="120"/>
      <c r="T88" s="120"/>
      <c r="U88" s="120"/>
      <c r="V88" s="120"/>
      <c r="W88" s="120"/>
    </row>
    <row r="89" spans="3:23" x14ac:dyDescent="0.2">
      <c r="M89" s="89"/>
      <c r="N89" s="89"/>
      <c r="O89" s="89"/>
      <c r="P89" s="89"/>
      <c r="Q89" s="89"/>
      <c r="R89" s="120"/>
      <c r="S89" s="120"/>
      <c r="T89" s="120"/>
      <c r="U89" s="120"/>
      <c r="V89" s="120"/>
      <c r="W89" s="120"/>
    </row>
    <row r="90" spans="3:23" x14ac:dyDescent="0.2">
      <c r="M90" s="89"/>
      <c r="N90" s="89"/>
      <c r="O90" s="89"/>
      <c r="P90" s="89"/>
      <c r="Q90" s="89"/>
      <c r="R90" s="120"/>
      <c r="S90" s="120"/>
      <c r="T90" s="120"/>
      <c r="U90" s="120"/>
      <c r="V90" s="120"/>
      <c r="W90" s="120"/>
    </row>
    <row r="91" spans="3:23" x14ac:dyDescent="0.2">
      <c r="M91" s="89"/>
      <c r="N91" s="89"/>
      <c r="O91" s="89"/>
      <c r="P91" s="89"/>
      <c r="Q91" s="89"/>
      <c r="R91" s="120"/>
      <c r="S91" s="120"/>
      <c r="T91" s="120"/>
      <c r="U91" s="120"/>
      <c r="V91" s="120"/>
      <c r="W91" s="120"/>
    </row>
    <row r="92" spans="3:23" x14ac:dyDescent="0.2">
      <c r="R92" s="146"/>
      <c r="S92" s="146"/>
      <c r="T92" s="146"/>
      <c r="U92" s="146"/>
      <c r="V92" s="146"/>
      <c r="W92" s="146"/>
    </row>
    <row r="93" spans="3:23" x14ac:dyDescent="0.2">
      <c r="R93" s="146"/>
      <c r="S93" s="146"/>
      <c r="T93" s="146"/>
      <c r="U93" s="146"/>
      <c r="V93" s="146"/>
      <c r="W93" s="146"/>
    </row>
    <row r="94" spans="3:23" x14ac:dyDescent="0.2">
      <c r="R94" s="146"/>
      <c r="S94" s="146"/>
      <c r="T94" s="146"/>
      <c r="U94" s="146"/>
      <c r="V94" s="146"/>
      <c r="W94" s="146"/>
    </row>
    <row r="95" spans="3:23" x14ac:dyDescent="0.2">
      <c r="R95" s="146"/>
      <c r="S95" s="146"/>
      <c r="T95" s="146"/>
      <c r="U95" s="146"/>
      <c r="V95" s="146"/>
      <c r="W95" s="146"/>
    </row>
    <row r="96" spans="3:23" x14ac:dyDescent="0.2">
      <c r="R96" s="146"/>
      <c r="S96" s="146"/>
      <c r="T96" s="146"/>
      <c r="U96" s="146"/>
      <c r="V96" s="146"/>
      <c r="W96" s="146"/>
    </row>
    <row r="97" spans="18:23" x14ac:dyDescent="0.2">
      <c r="R97" s="146"/>
      <c r="S97" s="146"/>
      <c r="T97" s="146"/>
      <c r="U97" s="146"/>
      <c r="V97" s="146"/>
      <c r="W97" s="146"/>
    </row>
    <row r="98" spans="18:23" x14ac:dyDescent="0.2">
      <c r="R98" s="146"/>
      <c r="S98" s="146"/>
      <c r="T98" s="146"/>
      <c r="U98" s="146"/>
      <c r="V98" s="146"/>
      <c r="W98" s="146"/>
    </row>
    <row r="99" spans="18:23" x14ac:dyDescent="0.2">
      <c r="R99" s="146"/>
      <c r="S99" s="146"/>
      <c r="T99" s="146"/>
      <c r="U99" s="146"/>
      <c r="V99" s="146"/>
      <c r="W99" s="146"/>
    </row>
    <row r="100" spans="18:23" x14ac:dyDescent="0.2">
      <c r="R100" s="146"/>
      <c r="S100" s="146"/>
      <c r="T100" s="146"/>
      <c r="U100" s="146"/>
      <c r="V100" s="146"/>
      <c r="W100" s="146"/>
    </row>
    <row r="101" spans="18:23" x14ac:dyDescent="0.2">
      <c r="R101" s="146"/>
      <c r="S101" s="146"/>
      <c r="T101" s="146"/>
      <c r="U101" s="146"/>
      <c r="V101" s="146"/>
      <c r="W101" s="146"/>
    </row>
    <row r="102" spans="18:23" x14ac:dyDescent="0.2">
      <c r="R102" s="146"/>
      <c r="S102" s="146"/>
      <c r="T102" s="146"/>
      <c r="U102" s="146"/>
      <c r="V102" s="146"/>
      <c r="W102" s="146"/>
    </row>
    <row r="103" spans="18:23" x14ac:dyDescent="0.2">
      <c r="R103" s="146"/>
      <c r="S103" s="146"/>
      <c r="T103" s="146"/>
      <c r="U103" s="146"/>
      <c r="V103" s="146"/>
      <c r="W103" s="146"/>
    </row>
    <row r="104" spans="18:23" x14ac:dyDescent="0.2">
      <c r="R104" s="146"/>
      <c r="S104" s="146"/>
      <c r="T104" s="146"/>
      <c r="U104" s="146"/>
      <c r="V104" s="146"/>
      <c r="W104" s="146"/>
    </row>
    <row r="105" spans="18:23" x14ac:dyDescent="0.2">
      <c r="R105" s="146"/>
      <c r="S105" s="146"/>
      <c r="T105" s="146"/>
      <c r="U105" s="146"/>
      <c r="V105" s="146"/>
      <c r="W105" s="146"/>
    </row>
    <row r="106" spans="18:23" x14ac:dyDescent="0.2">
      <c r="R106" s="146"/>
      <c r="S106" s="146"/>
      <c r="T106" s="146"/>
      <c r="U106" s="146"/>
      <c r="V106" s="146"/>
      <c r="W106" s="146"/>
    </row>
    <row r="107" spans="18:23" x14ac:dyDescent="0.2">
      <c r="R107" s="146"/>
      <c r="S107" s="146"/>
      <c r="T107" s="146"/>
      <c r="U107" s="146"/>
      <c r="V107" s="146"/>
      <c r="W107" s="146"/>
    </row>
    <row r="108" spans="18:23" x14ac:dyDescent="0.2">
      <c r="R108" s="146"/>
      <c r="S108" s="146"/>
      <c r="T108" s="146"/>
      <c r="U108" s="146"/>
      <c r="V108" s="146"/>
      <c r="W108" s="146"/>
    </row>
    <row r="109" spans="18:23" x14ac:dyDescent="0.2">
      <c r="R109" s="146"/>
      <c r="S109" s="146"/>
      <c r="T109" s="146"/>
      <c r="U109" s="146"/>
      <c r="V109" s="146"/>
      <c r="W109" s="146"/>
    </row>
    <row r="110" spans="18:23" x14ac:dyDescent="0.2">
      <c r="R110" s="146"/>
      <c r="S110" s="146"/>
      <c r="T110" s="146"/>
      <c r="U110" s="146"/>
      <c r="V110" s="146"/>
      <c r="W110" s="146"/>
    </row>
    <row r="111" spans="18:23" x14ac:dyDescent="0.2">
      <c r="R111" s="146"/>
      <c r="S111" s="146"/>
      <c r="T111" s="146"/>
      <c r="U111" s="146"/>
      <c r="V111" s="146"/>
      <c r="W111" s="146"/>
    </row>
    <row r="112" spans="18:23" x14ac:dyDescent="0.2">
      <c r="R112" s="146"/>
      <c r="S112" s="146"/>
      <c r="T112" s="146"/>
      <c r="U112" s="146"/>
      <c r="V112" s="146"/>
      <c r="W112" s="146"/>
    </row>
    <row r="113" spans="18:23" x14ac:dyDescent="0.2">
      <c r="R113" s="146"/>
      <c r="S113" s="146"/>
      <c r="T113" s="146"/>
      <c r="U113" s="146"/>
      <c r="V113" s="146"/>
      <c r="W113" s="146"/>
    </row>
    <row r="114" spans="18:23" x14ac:dyDescent="0.2">
      <c r="R114" s="146"/>
      <c r="S114" s="146"/>
      <c r="T114" s="146"/>
      <c r="U114" s="146"/>
      <c r="V114" s="146"/>
      <c r="W114" s="146"/>
    </row>
    <row r="115" spans="18:23" x14ac:dyDescent="0.2">
      <c r="R115" s="146"/>
      <c r="S115" s="146"/>
      <c r="T115" s="146"/>
      <c r="U115" s="146"/>
      <c r="V115" s="146"/>
      <c r="W115" s="146"/>
    </row>
    <row r="116" spans="18:23" x14ac:dyDescent="0.2">
      <c r="R116" s="146"/>
      <c r="S116" s="146"/>
      <c r="T116" s="146"/>
      <c r="U116" s="146"/>
      <c r="V116" s="146"/>
      <c r="W116" s="146"/>
    </row>
    <row r="117" spans="18:23" x14ac:dyDescent="0.2">
      <c r="R117" s="146"/>
      <c r="S117" s="146"/>
      <c r="T117" s="146"/>
      <c r="U117" s="146"/>
      <c r="V117" s="146"/>
      <c r="W117" s="146"/>
    </row>
    <row r="118" spans="18:23" x14ac:dyDescent="0.2">
      <c r="R118" s="146"/>
      <c r="S118" s="146"/>
      <c r="T118" s="146"/>
      <c r="U118" s="146"/>
      <c r="V118" s="146"/>
      <c r="W118" s="146"/>
    </row>
    <row r="119" spans="18:23" x14ac:dyDescent="0.2">
      <c r="R119" s="146"/>
      <c r="S119" s="146"/>
      <c r="T119" s="146"/>
      <c r="U119" s="146"/>
      <c r="V119" s="146"/>
      <c r="W119" s="146"/>
    </row>
    <row r="120" spans="18:23" x14ac:dyDescent="0.2">
      <c r="R120" s="146"/>
      <c r="S120" s="146"/>
      <c r="T120" s="146"/>
      <c r="U120" s="146"/>
      <c r="V120" s="146"/>
      <c r="W120" s="146"/>
    </row>
    <row r="121" spans="18:23" x14ac:dyDescent="0.2">
      <c r="R121" s="146"/>
      <c r="S121" s="146"/>
      <c r="T121" s="146"/>
      <c r="U121" s="146"/>
      <c r="V121" s="146"/>
      <c r="W121" s="146"/>
    </row>
    <row r="122" spans="18:23" x14ac:dyDescent="0.2">
      <c r="R122" s="146"/>
      <c r="S122" s="146"/>
      <c r="T122" s="146"/>
      <c r="U122" s="146"/>
      <c r="V122" s="146"/>
      <c r="W122" s="146"/>
    </row>
    <row r="123" spans="18:23" x14ac:dyDescent="0.2">
      <c r="R123" s="146"/>
      <c r="S123" s="146"/>
      <c r="T123" s="146"/>
      <c r="U123" s="146"/>
      <c r="V123" s="146"/>
      <c r="W123" s="146"/>
    </row>
    <row r="124" spans="18:23" x14ac:dyDescent="0.2">
      <c r="R124" s="146"/>
      <c r="S124" s="146"/>
      <c r="T124" s="146"/>
      <c r="U124" s="146"/>
      <c r="V124" s="146"/>
      <c r="W124" s="146"/>
    </row>
    <row r="125" spans="18:23" x14ac:dyDescent="0.2">
      <c r="R125" s="146"/>
      <c r="S125" s="146"/>
      <c r="T125" s="146"/>
      <c r="U125" s="146"/>
      <c r="V125" s="146"/>
      <c r="W125" s="146"/>
    </row>
    <row r="126" spans="18:23" x14ac:dyDescent="0.2">
      <c r="R126" s="146"/>
      <c r="S126" s="146"/>
      <c r="T126" s="146"/>
      <c r="U126" s="146"/>
      <c r="V126" s="146"/>
      <c r="W126" s="146"/>
    </row>
    <row r="127" spans="18:23" x14ac:dyDescent="0.2">
      <c r="R127" s="146"/>
      <c r="S127" s="146"/>
      <c r="T127" s="146"/>
      <c r="U127" s="146"/>
      <c r="V127" s="146"/>
      <c r="W127" s="146"/>
    </row>
    <row r="128" spans="18:23" x14ac:dyDescent="0.2">
      <c r="R128" s="146"/>
      <c r="S128" s="146"/>
      <c r="T128" s="146"/>
      <c r="U128" s="146"/>
      <c r="V128" s="146"/>
      <c r="W128" s="146"/>
    </row>
    <row r="129" spans="18:23" x14ac:dyDescent="0.2">
      <c r="R129" s="146"/>
      <c r="S129" s="146"/>
      <c r="T129" s="146"/>
      <c r="U129" s="146"/>
      <c r="V129" s="146"/>
      <c r="W129" s="146"/>
    </row>
    <row r="130" spans="18:23" x14ac:dyDescent="0.2">
      <c r="R130" s="146"/>
      <c r="S130" s="146"/>
      <c r="T130" s="146"/>
      <c r="U130" s="146"/>
      <c r="V130" s="146"/>
      <c r="W130" s="146"/>
    </row>
    <row r="131" spans="18:23" x14ac:dyDescent="0.2">
      <c r="R131" s="146"/>
      <c r="S131" s="146"/>
      <c r="T131" s="146"/>
      <c r="U131" s="146"/>
      <c r="V131" s="146"/>
      <c r="W131" s="146"/>
    </row>
    <row r="132" spans="18:23" x14ac:dyDescent="0.2">
      <c r="R132" s="146"/>
      <c r="S132" s="146"/>
      <c r="T132" s="146"/>
      <c r="U132" s="146"/>
      <c r="V132" s="146"/>
      <c r="W132" s="146"/>
    </row>
    <row r="133" spans="18:23" x14ac:dyDescent="0.2">
      <c r="R133" s="146"/>
      <c r="S133" s="146"/>
      <c r="T133" s="146"/>
      <c r="U133" s="146"/>
      <c r="V133" s="146"/>
      <c r="W133" s="146"/>
    </row>
    <row r="134" spans="18:23" x14ac:dyDescent="0.2">
      <c r="R134" s="146"/>
      <c r="S134" s="146"/>
      <c r="T134" s="146"/>
      <c r="U134" s="146"/>
      <c r="V134" s="146"/>
      <c r="W134" s="146"/>
    </row>
    <row r="135" spans="18:23" x14ac:dyDescent="0.2">
      <c r="R135" s="146"/>
      <c r="S135" s="146"/>
      <c r="T135" s="146"/>
      <c r="U135" s="146"/>
      <c r="V135" s="146"/>
      <c r="W135" s="146"/>
    </row>
    <row r="136" spans="18:23" x14ac:dyDescent="0.2">
      <c r="R136" s="146"/>
      <c r="S136" s="146"/>
      <c r="T136" s="146"/>
      <c r="U136" s="146"/>
      <c r="V136" s="146"/>
      <c r="W136" s="146"/>
    </row>
    <row r="137" spans="18:23" x14ac:dyDescent="0.2">
      <c r="R137" s="146"/>
      <c r="S137" s="146"/>
      <c r="T137" s="146"/>
      <c r="U137" s="146"/>
      <c r="V137" s="146"/>
      <c r="W137" s="146"/>
    </row>
    <row r="138" spans="18:23" x14ac:dyDescent="0.2">
      <c r="R138" s="146"/>
      <c r="S138" s="146"/>
      <c r="T138" s="146"/>
      <c r="U138" s="146"/>
      <c r="V138" s="146"/>
      <c r="W138" s="146"/>
    </row>
    <row r="139" spans="18:23" x14ac:dyDescent="0.2">
      <c r="R139" s="146"/>
      <c r="S139" s="146"/>
      <c r="T139" s="146"/>
      <c r="U139" s="146"/>
      <c r="V139" s="146"/>
      <c r="W139" s="146"/>
    </row>
    <row r="140" spans="18:23" x14ac:dyDescent="0.2">
      <c r="R140" s="146"/>
      <c r="S140" s="146"/>
      <c r="T140" s="146"/>
      <c r="U140" s="146"/>
      <c r="V140" s="146"/>
      <c r="W140" s="146"/>
    </row>
    <row r="141" spans="18:23" x14ac:dyDescent="0.2">
      <c r="R141" s="146"/>
      <c r="S141" s="146"/>
      <c r="T141" s="146"/>
      <c r="U141" s="146"/>
      <c r="V141" s="146"/>
      <c r="W141" s="146"/>
    </row>
    <row r="142" spans="18:23" x14ac:dyDescent="0.2">
      <c r="R142" s="146"/>
      <c r="S142" s="146"/>
      <c r="T142" s="146"/>
      <c r="U142" s="146"/>
      <c r="V142" s="146"/>
      <c r="W142" s="146"/>
    </row>
    <row r="143" spans="18:23" x14ac:dyDescent="0.2">
      <c r="R143" s="146"/>
      <c r="S143" s="146"/>
      <c r="T143" s="146"/>
      <c r="U143" s="146"/>
      <c r="V143" s="146"/>
      <c r="W143" s="146"/>
    </row>
    <row r="144" spans="18:23" x14ac:dyDescent="0.2">
      <c r="R144" s="146"/>
      <c r="S144" s="146"/>
      <c r="T144" s="146"/>
      <c r="U144" s="146"/>
      <c r="V144" s="146"/>
      <c r="W144" s="146"/>
    </row>
    <row r="145" spans="18:23" x14ac:dyDescent="0.2">
      <c r="R145" s="146"/>
      <c r="S145" s="146"/>
      <c r="T145" s="146"/>
      <c r="U145" s="146"/>
      <c r="V145" s="146"/>
      <c r="W145" s="146"/>
    </row>
    <row r="146" spans="18:23" x14ac:dyDescent="0.2">
      <c r="R146" s="146"/>
      <c r="S146" s="146"/>
      <c r="T146" s="146"/>
      <c r="U146" s="146"/>
      <c r="V146" s="146"/>
      <c r="W146" s="146"/>
    </row>
    <row r="147" spans="18:23" x14ac:dyDescent="0.2">
      <c r="R147" s="146"/>
      <c r="S147" s="146"/>
      <c r="T147" s="146"/>
      <c r="U147" s="146"/>
      <c r="V147" s="146"/>
      <c r="W147" s="146"/>
    </row>
    <row r="148" spans="18:23" x14ac:dyDescent="0.2">
      <c r="R148" s="146"/>
      <c r="S148" s="146"/>
      <c r="T148" s="146"/>
      <c r="U148" s="146"/>
      <c r="V148" s="146"/>
      <c r="W148" s="146"/>
    </row>
    <row r="149" spans="18:23" x14ac:dyDescent="0.2">
      <c r="R149" s="146"/>
      <c r="S149" s="146"/>
      <c r="T149" s="146"/>
      <c r="U149" s="146"/>
      <c r="V149" s="146"/>
      <c r="W149" s="146"/>
    </row>
    <row r="150" spans="18:23" x14ac:dyDescent="0.2">
      <c r="R150" s="146"/>
      <c r="S150" s="146"/>
      <c r="T150" s="146"/>
      <c r="U150" s="146"/>
      <c r="V150" s="146"/>
      <c r="W150" s="146"/>
    </row>
    <row r="151" spans="18:23" x14ac:dyDescent="0.2">
      <c r="R151" s="146"/>
      <c r="S151" s="146"/>
      <c r="T151" s="146"/>
      <c r="U151" s="146"/>
      <c r="V151" s="146"/>
      <c r="W151" s="146"/>
    </row>
    <row r="152" spans="18:23" x14ac:dyDescent="0.2">
      <c r="R152" s="146"/>
      <c r="S152" s="146"/>
      <c r="T152" s="146"/>
      <c r="U152" s="146"/>
      <c r="V152" s="146"/>
      <c r="W152" s="146"/>
    </row>
    <row r="153" spans="18:23" x14ac:dyDescent="0.2">
      <c r="R153" s="146"/>
      <c r="S153" s="146"/>
      <c r="T153" s="146"/>
      <c r="U153" s="146"/>
      <c r="V153" s="146"/>
      <c r="W153" s="146"/>
    </row>
    <row r="154" spans="18:23" x14ac:dyDescent="0.2">
      <c r="R154" s="146"/>
      <c r="S154" s="146"/>
      <c r="T154" s="146"/>
      <c r="U154" s="146"/>
      <c r="V154" s="146"/>
      <c r="W154" s="146"/>
    </row>
    <row r="155" spans="18:23" x14ac:dyDescent="0.2">
      <c r="R155" s="146"/>
      <c r="S155" s="146"/>
      <c r="T155" s="146"/>
      <c r="U155" s="146"/>
      <c r="V155" s="146"/>
      <c r="W155" s="146"/>
    </row>
    <row r="156" spans="18:23" x14ac:dyDescent="0.2">
      <c r="R156" s="146"/>
      <c r="S156" s="146"/>
      <c r="T156" s="146"/>
      <c r="U156" s="146"/>
      <c r="V156" s="146"/>
      <c r="W156" s="146"/>
    </row>
    <row r="157" spans="18:23" x14ac:dyDescent="0.2">
      <c r="R157" s="146"/>
      <c r="S157" s="146"/>
      <c r="T157" s="146"/>
      <c r="U157" s="146"/>
      <c r="V157" s="146"/>
      <c r="W157" s="146"/>
    </row>
    <row r="158" spans="18:23" x14ac:dyDescent="0.2">
      <c r="R158" s="146"/>
      <c r="S158" s="146"/>
      <c r="T158" s="146"/>
      <c r="U158" s="146"/>
      <c r="V158" s="146"/>
      <c r="W158" s="146"/>
    </row>
    <row r="159" spans="18:23" x14ac:dyDescent="0.2">
      <c r="R159" s="146"/>
      <c r="S159" s="146"/>
      <c r="T159" s="146"/>
      <c r="U159" s="146"/>
      <c r="V159" s="146"/>
      <c r="W159" s="146"/>
    </row>
    <row r="160" spans="18:23" x14ac:dyDescent="0.2">
      <c r="R160" s="146"/>
      <c r="S160" s="146"/>
      <c r="T160" s="146"/>
      <c r="U160" s="146"/>
      <c r="V160" s="146"/>
      <c r="W160" s="146"/>
    </row>
    <row r="161" spans="18:23" x14ac:dyDescent="0.2">
      <c r="R161" s="146"/>
      <c r="S161" s="146"/>
      <c r="T161" s="146"/>
      <c r="U161" s="146"/>
      <c r="V161" s="146"/>
      <c r="W161" s="146"/>
    </row>
    <row r="162" spans="18:23" x14ac:dyDescent="0.2">
      <c r="R162" s="146"/>
      <c r="S162" s="146"/>
      <c r="T162" s="146"/>
      <c r="U162" s="146"/>
      <c r="V162" s="146"/>
      <c r="W162" s="146"/>
    </row>
    <row r="163" spans="18:23" x14ac:dyDescent="0.2">
      <c r="R163" s="146"/>
      <c r="S163" s="146"/>
      <c r="T163" s="146"/>
      <c r="U163" s="146"/>
      <c r="V163" s="146"/>
      <c r="W163" s="146"/>
    </row>
    <row r="164" spans="18:23" x14ac:dyDescent="0.2">
      <c r="R164" s="146"/>
      <c r="S164" s="146"/>
      <c r="T164" s="146"/>
      <c r="U164" s="146"/>
      <c r="V164" s="146"/>
      <c r="W164" s="146"/>
    </row>
    <row r="165" spans="18:23" x14ac:dyDescent="0.2">
      <c r="R165" s="146"/>
      <c r="S165" s="146"/>
      <c r="T165" s="146"/>
      <c r="U165" s="146"/>
      <c r="V165" s="146"/>
      <c r="W165" s="146"/>
    </row>
    <row r="166" spans="18:23" x14ac:dyDescent="0.2">
      <c r="R166" s="146"/>
      <c r="S166" s="146"/>
      <c r="T166" s="146"/>
      <c r="U166" s="146"/>
      <c r="V166" s="146"/>
      <c r="W166" s="146"/>
    </row>
    <row r="167" spans="18:23" x14ac:dyDescent="0.2">
      <c r="R167" s="146"/>
      <c r="S167" s="146"/>
      <c r="T167" s="146"/>
      <c r="U167" s="146"/>
      <c r="V167" s="146"/>
      <c r="W167" s="146"/>
    </row>
    <row r="168" spans="18:23" x14ac:dyDescent="0.2">
      <c r="R168" s="146"/>
      <c r="S168" s="146"/>
      <c r="T168" s="146"/>
      <c r="U168" s="146"/>
      <c r="V168" s="146"/>
      <c r="W168" s="146"/>
    </row>
    <row r="169" spans="18:23" x14ac:dyDescent="0.2">
      <c r="R169" s="146"/>
      <c r="S169" s="146"/>
      <c r="T169" s="146"/>
      <c r="U169" s="146"/>
      <c r="V169" s="146"/>
      <c r="W169" s="146"/>
    </row>
    <row r="170" spans="18:23" x14ac:dyDescent="0.2">
      <c r="R170" s="146"/>
      <c r="S170" s="146"/>
      <c r="T170" s="146"/>
      <c r="U170" s="146"/>
      <c r="V170" s="146"/>
      <c r="W170" s="146"/>
    </row>
    <row r="171" spans="18:23" x14ac:dyDescent="0.2">
      <c r="R171" s="146"/>
      <c r="S171" s="146"/>
      <c r="T171" s="146"/>
      <c r="U171" s="146"/>
      <c r="V171" s="146"/>
      <c r="W171" s="146"/>
    </row>
    <row r="172" spans="18:23" x14ac:dyDescent="0.2">
      <c r="R172" s="146"/>
      <c r="S172" s="146"/>
      <c r="T172" s="146"/>
      <c r="U172" s="146"/>
      <c r="V172" s="146"/>
      <c r="W172" s="146"/>
    </row>
    <row r="173" spans="18:23" x14ac:dyDescent="0.2">
      <c r="R173" s="146"/>
      <c r="S173" s="146"/>
      <c r="T173" s="146"/>
      <c r="U173" s="146"/>
      <c r="V173" s="146"/>
      <c r="W173" s="146"/>
    </row>
    <row r="174" spans="18:23" x14ac:dyDescent="0.2">
      <c r="R174" s="146"/>
      <c r="S174" s="146"/>
      <c r="T174" s="146"/>
      <c r="U174" s="146"/>
      <c r="V174" s="146"/>
      <c r="W174" s="146"/>
    </row>
    <row r="175" spans="18:23" x14ac:dyDescent="0.2">
      <c r="R175" s="146"/>
      <c r="S175" s="146"/>
      <c r="T175" s="146"/>
      <c r="U175" s="146"/>
      <c r="V175" s="146"/>
      <c r="W175" s="146"/>
    </row>
    <row r="176" spans="18:23" x14ac:dyDescent="0.2">
      <c r="R176" s="146"/>
      <c r="S176" s="146"/>
      <c r="T176" s="146"/>
      <c r="U176" s="146"/>
      <c r="V176" s="146"/>
      <c r="W176" s="146"/>
    </row>
    <row r="177" spans="18:23" x14ac:dyDescent="0.2">
      <c r="R177" s="146"/>
      <c r="S177" s="146"/>
      <c r="T177" s="146"/>
      <c r="U177" s="146"/>
      <c r="V177" s="146"/>
      <c r="W177" s="146"/>
    </row>
    <row r="178" spans="18:23" x14ac:dyDescent="0.2">
      <c r="R178" s="146"/>
      <c r="S178" s="146"/>
      <c r="T178" s="146"/>
      <c r="U178" s="146"/>
      <c r="V178" s="146"/>
      <c r="W178" s="146"/>
    </row>
    <row r="179" spans="18:23" x14ac:dyDescent="0.2">
      <c r="R179" s="146"/>
      <c r="S179" s="146"/>
      <c r="T179" s="146"/>
      <c r="U179" s="146"/>
      <c r="V179" s="146"/>
      <c r="W179" s="146"/>
    </row>
    <row r="180" spans="18:23" x14ac:dyDescent="0.2">
      <c r="R180" s="146"/>
      <c r="S180" s="146"/>
      <c r="T180" s="146"/>
      <c r="U180" s="146"/>
      <c r="V180" s="146"/>
      <c r="W180" s="146"/>
    </row>
    <row r="181" spans="18:23" x14ac:dyDescent="0.2">
      <c r="R181" s="146"/>
      <c r="S181" s="146"/>
      <c r="T181" s="146"/>
      <c r="U181" s="146"/>
      <c r="V181" s="146"/>
      <c r="W181" s="146"/>
    </row>
    <row r="182" spans="18:23" x14ac:dyDescent="0.2">
      <c r="R182" s="146"/>
      <c r="S182" s="146"/>
      <c r="T182" s="146"/>
      <c r="U182" s="146"/>
      <c r="V182" s="146"/>
      <c r="W182" s="146"/>
    </row>
    <row r="183" spans="18:23" x14ac:dyDescent="0.2">
      <c r="R183" s="146"/>
      <c r="S183" s="146"/>
      <c r="T183" s="146"/>
      <c r="U183" s="146"/>
      <c r="V183" s="146"/>
      <c r="W183" s="146"/>
    </row>
    <row r="184" spans="18:23" x14ac:dyDescent="0.2">
      <c r="R184" s="146"/>
      <c r="S184" s="146"/>
      <c r="T184" s="146"/>
      <c r="U184" s="146"/>
      <c r="V184" s="146"/>
      <c r="W184" s="146"/>
    </row>
    <row r="185" spans="18:23" x14ac:dyDescent="0.2">
      <c r="R185" s="146"/>
      <c r="S185" s="146"/>
      <c r="T185" s="146"/>
      <c r="U185" s="146"/>
      <c r="V185" s="146"/>
      <c r="W185" s="146"/>
    </row>
    <row r="186" spans="18:23" x14ac:dyDescent="0.2">
      <c r="R186" s="146"/>
      <c r="S186" s="146"/>
      <c r="T186" s="146"/>
      <c r="U186" s="146"/>
      <c r="V186" s="146"/>
      <c r="W186" s="146"/>
    </row>
    <row r="187" spans="18:23" x14ac:dyDescent="0.2">
      <c r="R187" s="146"/>
      <c r="S187" s="146"/>
      <c r="T187" s="146"/>
      <c r="U187" s="146"/>
      <c r="V187" s="146"/>
      <c r="W187" s="146"/>
    </row>
    <row r="188" spans="18:23" x14ac:dyDescent="0.2">
      <c r="R188" s="146"/>
      <c r="S188" s="146"/>
      <c r="T188" s="146"/>
      <c r="U188" s="146"/>
      <c r="V188" s="146"/>
      <c r="W188" s="146"/>
    </row>
    <row r="189" spans="18:23" x14ac:dyDescent="0.2">
      <c r="R189" s="146"/>
      <c r="S189" s="146"/>
      <c r="T189" s="146"/>
      <c r="U189" s="146"/>
      <c r="V189" s="146"/>
      <c r="W189" s="146"/>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C2:D2"/>
    <mergeCell ref="G2:I2"/>
    <mergeCell ref="B5:B6"/>
    <mergeCell ref="O15:O16"/>
    <mergeCell ref="P15:P16"/>
    <mergeCell ref="O17:O24"/>
    <mergeCell ref="P17:P24"/>
    <mergeCell ref="O26:O27"/>
    <mergeCell ref="P26:P27"/>
    <mergeCell ref="K1:M1"/>
  </mergeCells>
  <conditionalFormatting sqref="C14:C18">
    <cfRule type="expression" dxfId="1185" priority="127" stopIfTrue="1">
      <formula>B14=3</formula>
    </cfRule>
    <cfRule type="expression" dxfId="1184" priority="128" stopIfTrue="1">
      <formula>B14=4</formula>
    </cfRule>
    <cfRule type="expression" dxfId="1183" priority="129" stopIfTrue="1">
      <formula>B14=5</formula>
    </cfRule>
  </conditionalFormatting>
  <conditionalFormatting sqref="F5:F40">
    <cfRule type="expression" dxfId="1182" priority="123">
      <formula>$H5=0</formula>
    </cfRule>
    <cfRule type="expression" dxfId="1181" priority="126">
      <formula>$H5=0</formula>
    </cfRule>
  </conditionalFormatting>
  <conditionalFormatting sqref="H5:H40">
    <cfRule type="cellIs" dxfId="1180" priority="130" stopIfTrue="1" operator="between">
      <formula>0.1</formula>
      <formula>1.9</formula>
    </cfRule>
    <cfRule type="cellIs" dxfId="1179" priority="131" stopIfTrue="1" operator="between">
      <formula>3</formula>
      <formula>3.9</formula>
    </cfRule>
    <cfRule type="cellIs" dxfId="1178" priority="132" stopIfTrue="1" operator="between">
      <formula>4</formula>
      <formula>5</formula>
    </cfRule>
  </conditionalFormatting>
  <conditionalFormatting sqref="F5:F40">
    <cfRule type="expression" dxfId="1177" priority="124">
      <formula>$H5&lt;#REF!</formula>
    </cfRule>
    <cfRule type="expression" dxfId="1176" priority="125">
      <formula>$H5&gt;=#REF!</formula>
    </cfRule>
  </conditionalFormatting>
  <conditionalFormatting sqref="E5:E40">
    <cfRule type="expression" dxfId="1175" priority="117">
      <formula>$D5=3</formula>
    </cfRule>
    <cfRule type="expression" dxfId="1174" priority="118">
      <formula>$D5=4</formula>
    </cfRule>
    <cfRule type="expression" dxfId="1173" priority="119">
      <formula>$D5=5</formula>
    </cfRule>
    <cfRule type="expression" dxfId="1172" priority="120">
      <formula>$D5=8</formula>
    </cfRule>
    <cfRule type="expression" dxfId="1171" priority="121">
      <formula>$D5=7</formula>
    </cfRule>
    <cfRule type="expression" dxfId="1170" priority="122">
      <formula>$D5=6</formula>
    </cfRule>
  </conditionalFormatting>
  <conditionalFormatting sqref="C14:C18">
    <cfRule type="cellIs" dxfId="1169" priority="113" operator="equal">
      <formula>""</formula>
    </cfRule>
    <cfRule type="expression" dxfId="1168" priority="114" stopIfTrue="1">
      <formula>B14=8</formula>
    </cfRule>
    <cfRule type="expression" dxfId="1167" priority="115" stopIfTrue="1">
      <formula>B14=7</formula>
    </cfRule>
    <cfRule type="expression" dxfId="1166" priority="116" stopIfTrue="1">
      <formula>B14=6</formula>
    </cfRule>
  </conditionalFormatting>
  <conditionalFormatting sqref="C29:C40">
    <cfRule type="expression" dxfId="1165" priority="110" stopIfTrue="1">
      <formula>B29=3</formula>
    </cfRule>
    <cfRule type="expression" dxfId="1164" priority="111" stopIfTrue="1">
      <formula>B29=4</formula>
    </cfRule>
    <cfRule type="expression" dxfId="1163" priority="112" stopIfTrue="1">
      <formula>B29=5</formula>
    </cfRule>
  </conditionalFormatting>
  <conditionalFormatting sqref="C29:C40">
    <cfRule type="cellIs" dxfId="1162" priority="106" operator="equal">
      <formula>""</formula>
    </cfRule>
    <cfRule type="expression" dxfId="1161" priority="107" stopIfTrue="1">
      <formula>B29=8</formula>
    </cfRule>
    <cfRule type="expression" dxfId="1160" priority="108" stopIfTrue="1">
      <formula>B29=7</formula>
    </cfRule>
    <cfRule type="expression" dxfId="1159" priority="109" stopIfTrue="1">
      <formula>B29=6</formula>
    </cfRule>
  </conditionalFormatting>
  <conditionalFormatting sqref="N5:N40">
    <cfRule type="cellIs" dxfId="1158" priority="104" operator="equal">
      <formula>"*"</formula>
    </cfRule>
    <cfRule type="cellIs" dxfId="1157" priority="105" operator="equal">
      <formula>"!"</formula>
    </cfRule>
  </conditionalFormatting>
  <conditionalFormatting sqref="G42:G46">
    <cfRule type="cellIs" dxfId="1156" priority="103" operator="notEqual">
      <formula>""</formula>
    </cfRule>
  </conditionalFormatting>
  <conditionalFormatting sqref="S7:U7 S9:U9 S11:U11">
    <cfRule type="cellIs" dxfId="1155" priority="102" operator="equal">
      <formula>0</formula>
    </cfRule>
  </conditionalFormatting>
  <conditionalFormatting sqref="V13 V15">
    <cfRule type="cellIs" dxfId="1154" priority="101" operator="equal">
      <formula>0</formula>
    </cfRule>
  </conditionalFormatting>
  <conditionalFormatting sqref="R13 R15">
    <cfRule type="cellIs" dxfId="1153" priority="100" operator="equal">
      <formula>0</formula>
    </cfRule>
  </conditionalFormatting>
  <conditionalFormatting sqref="R7 R9 R11">
    <cfRule type="cellIs" dxfId="1152" priority="99" operator="equal">
      <formula>0</formula>
    </cfRule>
  </conditionalFormatting>
  <conditionalFormatting sqref="V7 V9 V11">
    <cfRule type="cellIs" dxfId="1151" priority="98" operator="equal">
      <formula>0</formula>
    </cfRule>
  </conditionalFormatting>
  <conditionalFormatting sqref="S13:U13 S15:U15">
    <cfRule type="cellIs" dxfId="1150" priority="97" operator="equal">
      <formula>0</formula>
    </cfRule>
  </conditionalFormatting>
  <conditionalFormatting sqref="R6">
    <cfRule type="cellIs" dxfId="1149" priority="96" operator="equal">
      <formula>0</formula>
    </cfRule>
  </conditionalFormatting>
  <conditionalFormatting sqref="V6">
    <cfRule type="cellIs" dxfId="1148" priority="95" operator="equal">
      <formula>0</formula>
    </cfRule>
  </conditionalFormatting>
  <conditionalFormatting sqref="I5:I40">
    <cfRule type="cellIs" dxfId="1147" priority="92" stopIfTrue="1" operator="between">
      <formula>"D-3"</formula>
      <formula>"E-5"</formula>
    </cfRule>
    <cfRule type="cellIs" dxfId="1146" priority="93" stopIfTrue="1" operator="between">
      <formula>"B-2"</formula>
      <formula>"B-3"</formula>
    </cfRule>
    <cfRule type="cellIs" dxfId="1145" priority="94" stopIfTrue="1" operator="between">
      <formula>"A-1"</formula>
      <formula>"A-2"</formula>
    </cfRule>
  </conditionalFormatting>
  <conditionalFormatting sqref="I5:I40">
    <cfRule type="cellIs" dxfId="1144" priority="90" operator="equal">
      <formula>"E-5-"</formula>
    </cfRule>
    <cfRule type="cellIs" dxfId="1143" priority="91" operator="equal">
      <formula>"A-1+"</formula>
    </cfRule>
  </conditionalFormatting>
  <conditionalFormatting sqref="C42:C46">
    <cfRule type="cellIs" dxfId="1142" priority="82" operator="notEqual">
      <formula>""</formula>
    </cfRule>
  </conditionalFormatting>
  <conditionalFormatting sqref="L34:L40">
    <cfRule type="cellIs" dxfId="1141" priority="79" stopIfTrue="1" operator="between">
      <formula>0.1</formula>
      <formula>1.9</formula>
    </cfRule>
    <cfRule type="cellIs" dxfId="1140" priority="80" stopIfTrue="1" operator="between">
      <formula>3</formula>
      <formula>3.9</formula>
    </cfRule>
    <cfRule type="cellIs" dxfId="1139" priority="81" stopIfTrue="1" operator="between">
      <formula>4</formula>
      <formula>5</formula>
    </cfRule>
  </conditionalFormatting>
  <conditionalFormatting sqref="L31:L33">
    <cfRule type="cellIs" dxfId="1138" priority="76" stopIfTrue="1" operator="between">
      <formula>0.1</formula>
      <formula>1.9</formula>
    </cfRule>
    <cfRule type="cellIs" dxfId="1137" priority="77" stopIfTrue="1" operator="between">
      <formula>3</formula>
      <formula>3.9</formula>
    </cfRule>
    <cfRule type="cellIs" dxfId="1136" priority="78" stopIfTrue="1" operator="between">
      <formula>4</formula>
      <formula>5</formula>
    </cfRule>
  </conditionalFormatting>
  <conditionalFormatting sqref="L29:L30">
    <cfRule type="cellIs" dxfId="1135" priority="73" stopIfTrue="1" operator="between">
      <formula>0.1</formula>
      <formula>1.9</formula>
    </cfRule>
    <cfRule type="cellIs" dxfId="1134" priority="74" stopIfTrue="1" operator="between">
      <formula>3</formula>
      <formula>3.9</formula>
    </cfRule>
    <cfRule type="cellIs" dxfId="1133" priority="75" stopIfTrue="1" operator="between">
      <formula>4</formula>
      <formula>5</formula>
    </cfRule>
  </conditionalFormatting>
  <conditionalFormatting sqref="L25:L28">
    <cfRule type="cellIs" dxfId="1132" priority="70" stopIfTrue="1" operator="between">
      <formula>0.1</formula>
      <formula>1.9</formula>
    </cfRule>
    <cfRule type="cellIs" dxfId="1131" priority="71" stopIfTrue="1" operator="between">
      <formula>3</formula>
      <formula>3.9</formula>
    </cfRule>
    <cfRule type="cellIs" dxfId="1130" priority="72" stopIfTrue="1" operator="between">
      <formula>4</formula>
      <formula>5</formula>
    </cfRule>
  </conditionalFormatting>
  <conditionalFormatting sqref="L19:L23">
    <cfRule type="cellIs" dxfId="1129" priority="67" stopIfTrue="1" operator="between">
      <formula>0.1</formula>
      <formula>1.9</formula>
    </cfRule>
    <cfRule type="cellIs" dxfId="1128" priority="68" stopIfTrue="1" operator="between">
      <formula>3</formula>
      <formula>3.9</formula>
    </cfRule>
    <cfRule type="cellIs" dxfId="1127" priority="69" stopIfTrue="1" operator="between">
      <formula>4</formula>
      <formula>5</formula>
    </cfRule>
  </conditionalFormatting>
  <conditionalFormatting sqref="L21:L24">
    <cfRule type="cellIs" dxfId="1126" priority="64" stopIfTrue="1" operator="between">
      <formula>0.1</formula>
      <formula>1.9</formula>
    </cfRule>
    <cfRule type="cellIs" dxfId="1125" priority="65" stopIfTrue="1" operator="between">
      <formula>3</formula>
      <formula>3.9</formula>
    </cfRule>
    <cfRule type="cellIs" dxfId="1124" priority="66" stopIfTrue="1" operator="between">
      <formula>4</formula>
      <formula>5</formula>
    </cfRule>
  </conditionalFormatting>
  <conditionalFormatting sqref="M19:M40">
    <cfRule type="cellIs" dxfId="1123" priority="51" operator="equal">
      <formula>""</formula>
    </cfRule>
    <cfRule type="cellIs" dxfId="1122" priority="57" operator="equal">
      <formula>"1+"</formula>
    </cfRule>
    <cfRule type="cellIs" dxfId="1121" priority="58" operator="between">
      <formula>4</formula>
      <formula>"5-"</formula>
    </cfRule>
    <cfRule type="cellIs" dxfId="1120" priority="59" operator="equal">
      <formula>2</formula>
    </cfRule>
    <cfRule type="cellIs" dxfId="1119" priority="60" operator="equal">
      <formula>1</formula>
    </cfRule>
    <cfRule type="cellIs" dxfId="1118" priority="61" operator="between">
      <formula>"D"</formula>
      <formula>"E"</formula>
    </cfRule>
    <cfRule type="cellIs" dxfId="1117" priority="62" operator="equal">
      <formula>"B"</formula>
    </cfRule>
    <cfRule type="cellIs" dxfId="1116" priority="63" operator="between">
      <formula>"A"</formula>
      <formula>"A+"</formula>
    </cfRule>
  </conditionalFormatting>
  <conditionalFormatting sqref="K19:K23">
    <cfRule type="cellIs" dxfId="1115" priority="54" stopIfTrue="1" operator="between">
      <formula>0.1</formula>
      <formula>1.9</formula>
    </cfRule>
    <cfRule type="cellIs" dxfId="1114" priority="55" stopIfTrue="1" operator="between">
      <formula>3</formula>
      <formula>3.9</formula>
    </cfRule>
    <cfRule type="cellIs" dxfId="1113" priority="56" stopIfTrue="1" operator="between">
      <formula>4</formula>
      <formula>5</formula>
    </cfRule>
  </conditionalFormatting>
  <conditionalFormatting sqref="K19:K40">
    <cfRule type="cellIs" dxfId="1112" priority="53" operator="equal">
      <formula>""</formula>
    </cfRule>
  </conditionalFormatting>
  <conditionalFormatting sqref="L19:L40">
    <cfRule type="cellIs" dxfId="1111" priority="52" operator="equal">
      <formula>""</formula>
    </cfRule>
  </conditionalFormatting>
  <conditionalFormatting sqref="M5:M8">
    <cfRule type="cellIs" dxfId="1110" priority="48" stopIfTrue="1" operator="between">
      <formula>"A+"</formula>
      <formula>"A"</formula>
    </cfRule>
    <cfRule type="cellIs" dxfId="1109" priority="49" stopIfTrue="1" operator="equal">
      <formula>"B"</formula>
    </cfRule>
    <cfRule type="cellIs" dxfId="1108" priority="50" stopIfTrue="1" operator="between">
      <formula>"D"</formula>
      <formula>"E"</formula>
    </cfRule>
  </conditionalFormatting>
  <conditionalFormatting sqref="K5:K8">
    <cfRule type="cellIs" dxfId="1107" priority="47" operator="greaterThanOrEqual">
      <formula>""</formula>
    </cfRule>
  </conditionalFormatting>
  <conditionalFormatting sqref="L5:L8">
    <cfRule type="cellIs" dxfId="1106" priority="44" stopIfTrue="1" operator="between">
      <formula>0.1</formula>
      <formula>1.9</formula>
    </cfRule>
    <cfRule type="cellIs" dxfId="1105" priority="45" stopIfTrue="1" operator="between">
      <formula>3</formula>
      <formula>3.9</formula>
    </cfRule>
    <cfRule type="cellIs" dxfId="1104" priority="46" stopIfTrue="1" operator="between">
      <formula>4</formula>
      <formula>5</formula>
    </cfRule>
  </conditionalFormatting>
  <conditionalFormatting sqref="M9:M18">
    <cfRule type="cellIs" dxfId="1103" priority="41" stopIfTrue="1" operator="between">
      <formula>"A+"</formula>
      <formula>"A"</formula>
    </cfRule>
    <cfRule type="cellIs" dxfId="1102" priority="42" stopIfTrue="1" operator="equal">
      <formula>"B"</formula>
    </cfRule>
    <cfRule type="cellIs" dxfId="1101" priority="43" stopIfTrue="1" operator="between">
      <formula>"D"</formula>
      <formula>"E"</formula>
    </cfRule>
  </conditionalFormatting>
  <conditionalFormatting sqref="C10:C13">
    <cfRule type="expression" dxfId="1100" priority="32" stopIfTrue="1">
      <formula>B10=3</formula>
    </cfRule>
    <cfRule type="expression" dxfId="1099" priority="33" stopIfTrue="1">
      <formula>B10=4</formula>
    </cfRule>
    <cfRule type="expression" dxfId="1098" priority="34" stopIfTrue="1">
      <formula>B10=5</formula>
    </cfRule>
  </conditionalFormatting>
  <conditionalFormatting sqref="C10:C13">
    <cfRule type="cellIs" dxfId="1097" priority="28" operator="equal">
      <formula>""</formula>
    </cfRule>
    <cfRule type="expression" dxfId="1096" priority="29" stopIfTrue="1">
      <formula>B10=8</formula>
    </cfRule>
    <cfRule type="expression" dxfId="1095" priority="30" stopIfTrue="1">
      <formula>B10=7</formula>
    </cfRule>
    <cfRule type="expression" dxfId="1094" priority="31" stopIfTrue="1">
      <formula>B10=6</formula>
    </cfRule>
  </conditionalFormatting>
  <conditionalFormatting sqref="C7:C9">
    <cfRule type="expression" dxfId="1093" priority="25" stopIfTrue="1">
      <formula>B7=3</formula>
    </cfRule>
    <cfRule type="expression" dxfId="1092" priority="26" stopIfTrue="1">
      <formula>B7=4</formula>
    </cfRule>
    <cfRule type="expression" dxfId="1091" priority="27" stopIfTrue="1">
      <formula>B7=5</formula>
    </cfRule>
  </conditionalFormatting>
  <conditionalFormatting sqref="C7:C9">
    <cfRule type="cellIs" dxfId="1090" priority="21" operator="equal">
      <formula>""</formula>
    </cfRule>
    <cfRule type="expression" dxfId="1089" priority="22" stopIfTrue="1">
      <formula>B7=8</formula>
    </cfRule>
    <cfRule type="expression" dxfId="1088" priority="23" stopIfTrue="1">
      <formula>B7=7</formula>
    </cfRule>
    <cfRule type="expression" dxfId="1087" priority="24" stopIfTrue="1">
      <formula>B7=6</formula>
    </cfRule>
  </conditionalFormatting>
  <conditionalFormatting sqref="J5:J40">
    <cfRule type="cellIs" dxfId="1086" priority="1" operator="equal">
      <formula>1</formula>
    </cfRule>
    <cfRule type="cellIs" dxfId="1085" priority="2" operator="equal">
      <formula>7</formula>
    </cfRule>
    <cfRule type="cellIs" dxfId="1084" priority="3" operator="equal">
      <formula>6</formula>
    </cfRule>
    <cfRule type="cellIs" dxfId="1083" priority="4" operator="equal">
      <formula>5</formula>
    </cfRule>
    <cfRule type="cellIs" dxfId="1082" priority="5" operator="equal">
      <formula>4</formula>
    </cfRule>
    <cfRule type="cellIs" dxfId="1081" priority="6" operator="equal">
      <formula>3</formula>
    </cfRule>
    <cfRule type="cellIs" dxfId="1080" priority="7" operator="equal">
      <formula>2</formula>
    </cfRule>
  </conditionalFormatting>
  <dataValidations count="12">
    <dataValidation type="list" allowBlank="1" showInputMessage="1" showErrorMessage="1" promptTitle="Pulldown venster" prompt="Kies uit:_x000a_A+ / A / B / C / C- / D / E of_x000a_1+ / 1 / 2 / 3 / 4 / 5 / 5-" sqref="M5:M40" xr:uid="{00000000-0002-0000-2400-000000000000}">
      <formula1>"--,A+,A,B,C,C-,D,E,1+,1,2,3,4,5,5-,"</formula1>
    </dataValidation>
    <dataValidation allowBlank="1" showInputMessage="1" showErrorMessage="1" promptTitle="Nieuwe regel:" prompt="druk op Alt-Enter" sqref="P15 P28 P17 P26 P37 P39" xr:uid="{00000000-0002-0000-2400-000001000000}"/>
    <dataValidation allowBlank="1" showInputMessage="1" showErrorMessage="1" promptTitle="Pulldown menu" prompt="groeps  HP: -_x000a_indiv.    HP:#_x000a_hele groep: $" sqref="C18 C40" xr:uid="{00000000-0002-0000-2400-000002000000}"/>
    <dataValidation allowBlank="1" showInputMessage="1" showErrorMessage="1" promptTitle="Pulldown venster" prompt="groeps  HP: -_x000a_indiv.    HP:#_x000a_hele groep: $" sqref="C29:C39 C7:C17" xr:uid="{00000000-0002-0000-2400-000003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400-000004000000}">
      <formula1>2</formula1>
    </dataValidation>
    <dataValidation type="list" allowBlank="1" showInputMessage="1" showErrorMessage="1" sqref="B29:B40 B7:B18" xr:uid="{00000000-0002-0000-2400-000005000000}">
      <formula1>"3,4,5,6,7,8,"</formula1>
    </dataValidation>
    <dataValidation type="list" allowBlank="1" showInputMessage="1" showErrorMessage="1" sqref="C42 G42" xr:uid="{00000000-0002-0000-2400-000006000000}">
      <formula1>"maandag,"</formula1>
    </dataValidation>
    <dataValidation type="list" allowBlank="1" showInputMessage="1" showErrorMessage="1" sqref="C43 G43" xr:uid="{00000000-0002-0000-2400-000007000000}">
      <formula1>"dinsdag,"</formula1>
    </dataValidation>
    <dataValidation type="list" allowBlank="1" showInputMessage="1" showErrorMessage="1" sqref="C44 G44" xr:uid="{00000000-0002-0000-2400-000008000000}">
      <formula1>"woensdag,"</formula1>
    </dataValidation>
    <dataValidation type="list" allowBlank="1" showInputMessage="1" showErrorMessage="1" sqref="C45 G45" xr:uid="{00000000-0002-0000-2400-000009000000}">
      <formula1>"donderdag,"</formula1>
    </dataValidation>
    <dataValidation type="list" allowBlank="1" showInputMessage="1" showErrorMessage="1" sqref="C46 G46" xr:uid="{00000000-0002-0000-2400-00000A000000}">
      <formula1>"vrijdag,"</formula1>
    </dataValidation>
    <dataValidation type="list" allowBlank="1" showInputMessage="1" showErrorMessage="1" promptTitle="EMT - Brus" prompt="kies uit:_x000a_1 = zeer goed = A+_x000a_2 = goed = A_x000a_3 = gemiddeld = C+B_x000a_4 = laag gemiddeld = D+_x000a_5 = beneden gemiddeld = D-_x000a_6 = zwak = E+ (dyslexie?)_x000a_7 = zeer zwak = E- (dyslexie?)" sqref="J5:J40" xr:uid="{00000000-0002-0000-2400-00000B000000}">
      <formula1>"1,2,3,4,5,6,7,"</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CCCCFF"/>
    <pageSetUpPr fitToPage="1"/>
  </sheetPr>
  <dimension ref="A1:AA189"/>
  <sheetViews>
    <sheetView showGridLines="0" showRowColHeaders="0" zoomScale="90" zoomScaleNormal="90" workbookViewId="0"/>
  </sheetViews>
  <sheetFormatPr defaultColWidth="9.140625" defaultRowHeight="12.75" x14ac:dyDescent="0.2"/>
  <cols>
    <col min="1" max="1" width="3.140625" style="69" customWidth="1"/>
    <col min="2" max="2" width="3.140625" style="70" bestFit="1" customWidth="1"/>
    <col min="3" max="3" width="11.85546875" style="74" bestFit="1" customWidth="1"/>
    <col min="4" max="4" width="3.140625" style="75" customWidth="1"/>
    <col min="5" max="5" width="5.85546875" style="74" customWidth="1"/>
    <col min="6" max="6" width="20.85546875" style="74" customWidth="1"/>
    <col min="7" max="7" width="5.85546875" style="74" customWidth="1"/>
    <col min="8" max="9" width="5.85546875" style="76" customWidth="1"/>
    <col min="10" max="10" width="3.140625" style="76" customWidth="1"/>
    <col min="11" max="11" width="5.85546875" style="76" customWidth="1"/>
    <col min="12" max="12" width="5.85546875" style="74" customWidth="1"/>
    <col min="13" max="13" width="5.85546875" style="69" customWidth="1"/>
    <col min="14" max="14" width="3.140625" style="69" customWidth="1"/>
    <col min="15" max="15" width="4.85546875" style="69" bestFit="1" customWidth="1"/>
    <col min="16" max="16" width="60.85546875" style="69" customWidth="1"/>
    <col min="17" max="17" width="6.85546875" style="69" customWidth="1"/>
    <col min="18" max="22" width="7.140625" style="73" customWidth="1"/>
    <col min="23" max="25" width="6.85546875" style="73" customWidth="1"/>
    <col min="26" max="26" width="6.140625" style="73" customWidth="1"/>
    <col min="27" max="27" width="9.140625" style="73"/>
    <col min="28" max="16384" width="9.140625" style="69"/>
  </cols>
  <sheetData>
    <row r="1" spans="1:24" s="66" customFormat="1" ht="30" customHeight="1" thickBot="1" x14ac:dyDescent="0.45">
      <c r="B1" s="615"/>
      <c r="C1" s="1128" t="s">
        <v>302</v>
      </c>
      <c r="D1" s="1129"/>
      <c r="E1" s="1129"/>
      <c r="F1" s="1129"/>
      <c r="G1" s="1129"/>
      <c r="H1" s="1129"/>
      <c r="I1" s="1129"/>
      <c r="J1" s="1129"/>
      <c r="K1" s="1230">
        <f>BEGINBLAD!$I$2</f>
        <v>0</v>
      </c>
      <c r="L1" s="1230"/>
      <c r="M1" s="1230"/>
      <c r="N1" s="1230"/>
      <c r="O1" s="1230"/>
      <c r="P1" s="239"/>
      <c r="X1" s="68"/>
    </row>
    <row r="2" spans="1:24" ht="24" customHeight="1" x14ac:dyDescent="0.2">
      <c r="C2" s="1130" t="str">
        <f>BEGINBLAD!$N$2</f>
        <v>nov.</v>
      </c>
      <c r="D2" s="1130"/>
      <c r="E2" s="241"/>
      <c r="F2" s="691" t="str">
        <f>BEGINBLAD!$O$2</f>
        <v>apr.</v>
      </c>
      <c r="G2" s="1131">
        <f>BEGINBLAD!$P$2</f>
        <v>2021</v>
      </c>
      <c r="H2" s="1131"/>
      <c r="I2" s="1131"/>
      <c r="M2" s="71"/>
      <c r="N2" s="72"/>
      <c r="O2" s="72"/>
    </row>
    <row r="3" spans="1:24" ht="13.5" thickBot="1" x14ac:dyDescent="0.25">
      <c r="M3" s="77"/>
      <c r="N3" s="77"/>
      <c r="O3" s="77"/>
      <c r="P3" s="77"/>
    </row>
    <row r="4" spans="1:24" ht="140.1" customHeight="1" x14ac:dyDescent="0.2">
      <c r="C4" s="78"/>
      <c r="D4" s="79"/>
      <c r="E4" s="80"/>
      <c r="F4" s="81" t="s">
        <v>44</v>
      </c>
      <c r="G4" s="82" t="s">
        <v>266</v>
      </c>
      <c r="H4" s="83" t="s">
        <v>303</v>
      </c>
      <c r="I4" s="84" t="s">
        <v>268</v>
      </c>
      <c r="J4" s="235"/>
      <c r="K4" s="82" t="s">
        <v>266</v>
      </c>
      <c r="L4" s="86" t="s">
        <v>304</v>
      </c>
      <c r="M4" s="84" t="s">
        <v>268</v>
      </c>
      <c r="N4" s="235"/>
      <c r="O4" s="88"/>
    </row>
    <row r="5" spans="1:24" ht="19.5" customHeight="1" x14ac:dyDescent="0.2">
      <c r="A5" s="89"/>
      <c r="B5" s="1132" t="s">
        <v>43</v>
      </c>
      <c r="C5" s="90" t="s">
        <v>198</v>
      </c>
      <c r="D5" s="91">
        <v>0</v>
      </c>
      <c r="E5" s="92">
        <v>1</v>
      </c>
      <c r="F5" s="165" t="str">
        <f>BEGINBLAD!C4</f>
        <v>leelring 1</v>
      </c>
      <c r="G5" s="94">
        <f>'NIVEAU WAARDE - vorig jaar'!F9</f>
        <v>3.5</v>
      </c>
      <c r="H5" s="95">
        <f>'NIVEAU WAARDE - 1e toetsperiode'!F9</f>
        <v>4.0999999999999996</v>
      </c>
      <c r="I5" s="96" t="str">
        <f>IF(H5=0,"",IF(H5&gt;4.5,"A-1+",IF(H5&gt;4,"A-1",IF(H5&gt;=4,"A-2",IF(H5&gt;3.4,"B-2",IF(H5&gt;=3,"B-3",IF(H5&gt;2.5,"C-3",IF(H5&gt;=2,"C-4",IF(H5&gt;1.6,"D-4",IF(H5&gt;=1,"D-5",IF(H5&gt;0.5,"E-5",IF(H5&gt;=0,"E-5-"))))))))))))</f>
        <v>A-1</v>
      </c>
      <c r="J5" s="236" t="str">
        <f>IF(H5=0,"",IF(G5-H5&gt;0.5,"!",IF(H5-G5&gt;0.5,"*",IF(H5-G5&lt;=0.5,""))))</f>
        <v>*</v>
      </c>
      <c r="K5" s="243"/>
      <c r="L5" s="97"/>
      <c r="M5" s="96" t="str">
        <f>IF(L5=0,"",IF(L5&gt;4.5,"A-1+",IF(L5&gt;4,"A-1",IF(L5&gt;=4,"A-2",IF(L5&gt;3.4,"B-2",IF(L5&gt;=3,"B-3",IF(L5&gt;2.5,"C-3",IF(L5&gt;=2,"C-4",IF(L5&gt;1.6,"D-4",IF(L5&gt;=1,"D-5",IF(L5&gt;0.5,"E-5",IF(L5&gt;=0,"E-5-"))))))))))))</f>
        <v/>
      </c>
      <c r="N5" s="236" t="str">
        <f>IF(L5=0,"",IF(K5-L5&gt;0.5,"!",IF(L5-K5&gt;0.5,"*",IF(L5-K5&lt;=0.5,""))))</f>
        <v/>
      </c>
      <c r="O5" s="100"/>
    </row>
    <row r="6" spans="1:24" ht="19.5" customHeight="1" x14ac:dyDescent="0.2">
      <c r="A6" s="89"/>
      <c r="B6" s="1132"/>
      <c r="C6" s="101" t="s">
        <v>200</v>
      </c>
      <c r="D6" s="91">
        <v>0</v>
      </c>
      <c r="E6" s="92">
        <v>2</v>
      </c>
      <c r="F6" s="93" t="str">
        <f>BEGINBLAD!C5</f>
        <v>leerling 2</v>
      </c>
      <c r="G6" s="94">
        <f>'NIVEAU WAARDE - vorig jaar'!F10</f>
        <v>1.9</v>
      </c>
      <c r="H6" s="95">
        <f>'NIVEAU WAARDE - 1e toetsperiode'!F10</f>
        <v>0.3</v>
      </c>
      <c r="I6" s="96" t="str">
        <f t="shared" ref="I6:I40" si="0">IF(H6=0,"",IF(H6&gt;4.5,"A-1+",IF(H6&gt;4,"A-1",IF(H6&gt;=4,"A-2",IF(H6&gt;3.4,"B-2",IF(H6&gt;=3,"B-3",IF(H6&gt;2.5,"C-3",IF(H6&gt;=2,"C-4",IF(H6&gt;1.6,"D-4",IF(H6&gt;=1,"D-5",IF(H6&gt;0.5,"E-5",IF(H6&gt;=0,"E-5-"))))))))))))</f>
        <v>E-5-</v>
      </c>
      <c r="J6" s="236" t="str">
        <f t="shared" ref="J6:J40" si="1">IF(H6=0,"",IF(G6-H6&gt;0.5,"!",IF(H6-G6&gt;0.5,"*",IF(H6-G6&lt;=0.5,""))))</f>
        <v>!</v>
      </c>
      <c r="K6" s="243"/>
      <c r="L6" s="97"/>
      <c r="M6" s="96" t="str">
        <f>IF(L6=0,"",IF(L6&gt;4.5,"A-1+",IF(L6&gt;4,"A-1",IF(L6&gt;=4,"A-2",IF(L6&gt;3.4,"B-2",IF(L6&gt;=3,"B-3",IF(L6&gt;2.5,"C-3",IF(L6&gt;=2,"C-4",IF(L6&gt;1.6,"D-4",IF(L6&gt;=1,"D-5",IF(L6&gt;0.5,"E-5",IF(L6&gt;=0,"E-5-"))))))))))))</f>
        <v/>
      </c>
      <c r="N6" s="236" t="str">
        <f>IF(L6=0,"",IF(K6-L6&gt;0.5,"!",IF(L6-K6&gt;0.5,"*",IF(L6-K6&lt;=0.5,""))))</f>
        <v/>
      </c>
      <c r="O6" s="100"/>
      <c r="R6" s="147"/>
      <c r="S6" s="147"/>
      <c r="T6" s="147"/>
      <c r="U6" s="147"/>
      <c r="V6" s="147"/>
    </row>
    <row r="7" spans="1:24" ht="19.5" customHeight="1" x14ac:dyDescent="0.2">
      <c r="A7" s="102"/>
      <c r="B7" s="326"/>
      <c r="C7" s="328"/>
      <c r="D7" s="91">
        <v>0</v>
      </c>
      <c r="E7" s="92">
        <v>3</v>
      </c>
      <c r="F7" s="93" t="str">
        <f>BEGINBLAD!C6</f>
        <v>leerling 3</v>
      </c>
      <c r="G7" s="94">
        <f>'NIVEAU WAARDE - vorig jaar'!F11</f>
        <v>1.7</v>
      </c>
      <c r="H7" s="95">
        <f>'NIVEAU WAARDE - 1e toetsperiode'!F11</f>
        <v>1.2</v>
      </c>
      <c r="I7" s="96" t="str">
        <f t="shared" si="0"/>
        <v>D-5</v>
      </c>
      <c r="J7" s="236" t="str">
        <f t="shared" si="1"/>
        <v/>
      </c>
      <c r="K7" s="243"/>
      <c r="L7" s="97"/>
      <c r="M7" s="96" t="str">
        <f t="shared" ref="M7:M40" si="2">IF(L7=0,"",IF(L7&gt;4.5,"A-1+",IF(L7&gt;4,"A-1",IF(L7&gt;=4,"A-2",IF(L7&gt;3.4,"B-2",IF(L7&gt;=3,"B-3",IF(L7&gt;2.5,"C-3",IF(L7&gt;=2,"C-4",IF(L7&gt;1.6,"D-4",IF(L7&gt;=1,"D-5",IF(L7&gt;0.5,"E-5",IF(L7&gt;=0,"E-5-"))))))))))))</f>
        <v/>
      </c>
      <c r="N7" s="236" t="str">
        <f t="shared" ref="N7:N40" si="3">IF(L7=0,"",IF(K7-L7&gt;0.5,"!",IF(L7-K7&gt;0.5,"*",IF(L7-K7&lt;=0.5,""))))</f>
        <v/>
      </c>
      <c r="O7" s="100"/>
      <c r="R7" s="148"/>
      <c r="S7" s="148"/>
      <c r="T7" s="148"/>
      <c r="U7" s="148"/>
      <c r="V7" s="148"/>
    </row>
    <row r="8" spans="1:24" ht="19.5" customHeight="1" x14ac:dyDescent="0.2">
      <c r="A8" s="102"/>
      <c r="B8" s="326"/>
      <c r="C8" s="328"/>
      <c r="D8" s="105">
        <v>0</v>
      </c>
      <c r="E8" s="92">
        <v>4</v>
      </c>
      <c r="F8" s="93" t="str">
        <f>BEGINBLAD!C7</f>
        <v>leerling 4</v>
      </c>
      <c r="G8" s="94">
        <f>'NIVEAU WAARDE - vorig jaar'!F12</f>
        <v>0.5</v>
      </c>
      <c r="H8" s="95">
        <f>'NIVEAU WAARDE - 1e toetsperiode'!F12</f>
        <v>0.8</v>
      </c>
      <c r="I8" s="96" t="str">
        <f t="shared" si="0"/>
        <v>E-5</v>
      </c>
      <c r="J8" s="236" t="str">
        <f t="shared" si="1"/>
        <v/>
      </c>
      <c r="K8" s="243"/>
      <c r="L8" s="106"/>
      <c r="M8" s="96" t="str">
        <f t="shared" si="2"/>
        <v/>
      </c>
      <c r="N8" s="236" t="str">
        <f t="shared" si="3"/>
        <v/>
      </c>
      <c r="O8" s="107"/>
      <c r="R8" s="148"/>
      <c r="S8" s="148"/>
      <c r="T8" s="148"/>
      <c r="U8" s="148"/>
      <c r="V8" s="148"/>
    </row>
    <row r="9" spans="1:24" ht="19.5" customHeight="1" x14ac:dyDescent="0.2">
      <c r="A9" s="102"/>
      <c r="B9" s="326"/>
      <c r="C9" s="328"/>
      <c r="D9" s="108">
        <v>0</v>
      </c>
      <c r="E9" s="92">
        <v>5</v>
      </c>
      <c r="F9" s="93" t="str">
        <f>BEGINBLAD!C8</f>
        <v>leerling 5</v>
      </c>
      <c r="G9" s="94">
        <f>'NIVEAU WAARDE - vorig jaar'!F13</f>
        <v>2.9</v>
      </c>
      <c r="H9" s="95">
        <f>'NIVEAU WAARDE - 1e toetsperiode'!F13</f>
        <v>3.4</v>
      </c>
      <c r="I9" s="96" t="str">
        <f t="shared" si="0"/>
        <v>B-3</v>
      </c>
      <c r="J9" s="236" t="str">
        <f t="shared" si="1"/>
        <v/>
      </c>
      <c r="K9" s="243"/>
      <c r="L9" s="109"/>
      <c r="M9" s="96" t="str">
        <f t="shared" si="2"/>
        <v/>
      </c>
      <c r="N9" s="236" t="str">
        <f t="shared" si="3"/>
        <v/>
      </c>
      <c r="O9" s="110"/>
      <c r="R9" s="148"/>
      <c r="S9" s="148"/>
      <c r="T9" s="148"/>
      <c r="U9" s="148"/>
      <c r="V9" s="148"/>
    </row>
    <row r="10" spans="1:24" ht="19.5" customHeight="1" x14ac:dyDescent="0.2">
      <c r="A10" s="102"/>
      <c r="B10" s="326"/>
      <c r="C10" s="328"/>
      <c r="D10" s="111">
        <v>0</v>
      </c>
      <c r="E10" s="92">
        <v>6</v>
      </c>
      <c r="F10" s="93" t="str">
        <f>BEGINBLAD!C9</f>
        <v>leerling 6</v>
      </c>
      <c r="G10" s="94">
        <f>'NIVEAU WAARDE - vorig jaar'!F14</f>
        <v>2.6</v>
      </c>
      <c r="H10" s="95">
        <f>'NIVEAU WAARDE - 1e toetsperiode'!F14</f>
        <v>1.4</v>
      </c>
      <c r="I10" s="96" t="str">
        <f t="shared" si="0"/>
        <v>D-5</v>
      </c>
      <c r="J10" s="236" t="str">
        <f t="shared" si="1"/>
        <v>!</v>
      </c>
      <c r="K10" s="243"/>
      <c r="L10" s="109"/>
      <c r="M10" s="96" t="str">
        <f t="shared" si="2"/>
        <v/>
      </c>
      <c r="N10" s="236" t="str">
        <f t="shared" si="3"/>
        <v/>
      </c>
      <c r="O10" s="112"/>
      <c r="R10" s="148"/>
      <c r="S10" s="148"/>
      <c r="T10" s="148"/>
      <c r="U10" s="148"/>
      <c r="V10" s="148"/>
    </row>
    <row r="11" spans="1:24" ht="19.5" customHeight="1" x14ac:dyDescent="0.2">
      <c r="A11" s="102"/>
      <c r="B11" s="326"/>
      <c r="C11" s="328"/>
      <c r="D11" s="111">
        <v>0</v>
      </c>
      <c r="E11" s="92">
        <v>7</v>
      </c>
      <c r="F11" s="93" t="str">
        <f>BEGINBLAD!C10</f>
        <v>leerling 7</v>
      </c>
      <c r="G11" s="94">
        <f>'NIVEAU WAARDE - vorig jaar'!F15</f>
        <v>1.4</v>
      </c>
      <c r="H11" s="95">
        <f>'NIVEAU WAARDE - 1e toetsperiode'!F15</f>
        <v>0.4</v>
      </c>
      <c r="I11" s="96" t="str">
        <f t="shared" si="0"/>
        <v>E-5-</v>
      </c>
      <c r="J11" s="236" t="str">
        <f t="shared" si="1"/>
        <v>!</v>
      </c>
      <c r="K11" s="243"/>
      <c r="L11" s="109"/>
      <c r="M11" s="96" t="str">
        <f t="shared" si="2"/>
        <v/>
      </c>
      <c r="N11" s="236" t="str">
        <f t="shared" si="3"/>
        <v/>
      </c>
      <c r="O11" s="77"/>
      <c r="R11" s="148"/>
      <c r="S11" s="148"/>
      <c r="T11" s="148"/>
      <c r="U11" s="148"/>
      <c r="V11" s="148"/>
    </row>
    <row r="12" spans="1:24" ht="19.5" customHeight="1" x14ac:dyDescent="0.2">
      <c r="A12" s="102"/>
      <c r="B12" s="326"/>
      <c r="C12" s="328"/>
      <c r="D12" s="91">
        <v>0</v>
      </c>
      <c r="E12" s="92">
        <v>8</v>
      </c>
      <c r="F12" s="93" t="str">
        <f>BEGINBLAD!C11</f>
        <v>leerling 8</v>
      </c>
      <c r="G12" s="94">
        <f>'NIVEAU WAARDE - vorig jaar'!F16</f>
        <v>2.9</v>
      </c>
      <c r="H12" s="95">
        <f>'NIVEAU WAARDE - 1e toetsperiode'!F16</f>
        <v>1.7</v>
      </c>
      <c r="I12" s="96" t="str">
        <f t="shared" si="0"/>
        <v>D-4</v>
      </c>
      <c r="J12" s="236" t="str">
        <f t="shared" si="1"/>
        <v>!</v>
      </c>
      <c r="K12" s="243"/>
      <c r="L12" s="109"/>
      <c r="M12" s="96" t="str">
        <f t="shared" si="2"/>
        <v/>
      </c>
      <c r="N12" s="236" t="str">
        <f t="shared" si="3"/>
        <v/>
      </c>
      <c r="O12" s="88"/>
      <c r="R12" s="148"/>
      <c r="S12" s="148"/>
      <c r="T12" s="148"/>
      <c r="U12" s="148"/>
      <c r="V12" s="148"/>
    </row>
    <row r="13" spans="1:24" ht="19.5" customHeight="1" x14ac:dyDescent="0.2">
      <c r="A13" s="102"/>
      <c r="B13" s="326"/>
      <c r="C13" s="328"/>
      <c r="D13" s="91">
        <v>0</v>
      </c>
      <c r="E13" s="92">
        <v>9</v>
      </c>
      <c r="F13" s="93" t="str">
        <f>BEGINBLAD!C12</f>
        <v>leerling 9</v>
      </c>
      <c r="G13" s="94">
        <f>'NIVEAU WAARDE - vorig jaar'!F17</f>
        <v>3.9</v>
      </c>
      <c r="H13" s="95">
        <f>'NIVEAU WAARDE - 1e toetsperiode'!F17</f>
        <v>1</v>
      </c>
      <c r="I13" s="96" t="str">
        <f t="shared" si="0"/>
        <v>D-5</v>
      </c>
      <c r="J13" s="236" t="str">
        <f t="shared" si="1"/>
        <v>!</v>
      </c>
      <c r="K13" s="243"/>
      <c r="L13" s="109"/>
      <c r="M13" s="96" t="str">
        <f t="shared" si="2"/>
        <v/>
      </c>
      <c r="N13" s="236" t="str">
        <f t="shared" si="3"/>
        <v/>
      </c>
      <c r="O13" s="100"/>
      <c r="R13" s="149"/>
      <c r="S13" s="149"/>
      <c r="T13" s="149"/>
      <c r="U13" s="149"/>
      <c r="V13" s="149"/>
    </row>
    <row r="14" spans="1:24" ht="19.5" customHeight="1" thickBot="1" x14ac:dyDescent="0.25">
      <c r="A14" s="102"/>
      <c r="B14" s="326"/>
      <c r="C14" s="328"/>
      <c r="D14" s="91">
        <v>0</v>
      </c>
      <c r="E14" s="92">
        <v>10</v>
      </c>
      <c r="F14" s="93" t="str">
        <f>BEGINBLAD!C13</f>
        <v>leerling 10</v>
      </c>
      <c r="G14" s="94">
        <f>'NIVEAU WAARDE - vorig jaar'!F18</f>
        <v>2.4</v>
      </c>
      <c r="H14" s="95">
        <f>'NIVEAU WAARDE - 1e toetsperiode'!F18</f>
        <v>0.6</v>
      </c>
      <c r="I14" s="96" t="str">
        <f t="shared" si="0"/>
        <v>E-5</v>
      </c>
      <c r="J14" s="236" t="str">
        <f t="shared" si="1"/>
        <v>!</v>
      </c>
      <c r="K14" s="243"/>
      <c r="L14" s="109"/>
      <c r="M14" s="96" t="str">
        <f t="shared" si="2"/>
        <v/>
      </c>
      <c r="N14" s="236" t="str">
        <f t="shared" si="3"/>
        <v/>
      </c>
      <c r="O14" s="107"/>
      <c r="P14" s="113" t="s">
        <v>109</v>
      </c>
      <c r="R14" s="149"/>
      <c r="S14" s="149"/>
      <c r="T14" s="149"/>
      <c r="U14" s="149"/>
      <c r="V14" s="149"/>
    </row>
    <row r="15" spans="1:24" ht="19.5" customHeight="1" x14ac:dyDescent="0.2">
      <c r="A15" s="102"/>
      <c r="B15" s="326"/>
      <c r="C15" s="328"/>
      <c r="D15" s="91">
        <v>0</v>
      </c>
      <c r="E15" s="92">
        <v>11</v>
      </c>
      <c r="F15" s="93" t="str">
        <f>BEGINBLAD!C14</f>
        <v>leerling 11</v>
      </c>
      <c r="G15" s="94">
        <f>'NIVEAU WAARDE - vorig jaar'!F19</f>
        <v>4.2</v>
      </c>
      <c r="H15" s="95">
        <f>'NIVEAU WAARDE - 1e toetsperiode'!F19</f>
        <v>3.1</v>
      </c>
      <c r="I15" s="96" t="str">
        <f t="shared" si="0"/>
        <v>B-3</v>
      </c>
      <c r="J15" s="236" t="str">
        <f t="shared" si="1"/>
        <v>!</v>
      </c>
      <c r="K15" s="243"/>
      <c r="L15" s="109"/>
      <c r="M15" s="96" t="str">
        <f t="shared" si="2"/>
        <v/>
      </c>
      <c r="N15" s="236" t="str">
        <f t="shared" si="3"/>
        <v/>
      </c>
      <c r="O15" s="1191" t="s">
        <v>135</v>
      </c>
      <c r="P15" s="1194">
        <f>'INTENSIEF - 1e periode'!F6</f>
        <v>0</v>
      </c>
      <c r="R15" s="149"/>
      <c r="S15" s="149"/>
      <c r="T15" s="149"/>
      <c r="U15" s="149"/>
      <c r="V15" s="149"/>
    </row>
    <row r="16" spans="1:24" ht="19.5" customHeight="1" x14ac:dyDescent="0.2">
      <c r="A16" s="102"/>
      <c r="B16" s="103"/>
      <c r="C16" s="689"/>
      <c r="D16" s="91">
        <v>0</v>
      </c>
      <c r="E16" s="92">
        <v>12</v>
      </c>
      <c r="F16" s="93" t="str">
        <f>BEGINBLAD!C15</f>
        <v>leerling 12</v>
      </c>
      <c r="G16" s="94">
        <f>'NIVEAU WAARDE - vorig jaar'!F20</f>
        <v>0.1</v>
      </c>
      <c r="H16" s="95">
        <f>'NIVEAU WAARDE - 1e toetsperiode'!F20</f>
        <v>0.2</v>
      </c>
      <c r="I16" s="96" t="str">
        <f t="shared" si="0"/>
        <v>E-5-</v>
      </c>
      <c r="J16" s="236" t="str">
        <f t="shared" si="1"/>
        <v/>
      </c>
      <c r="K16" s="243"/>
      <c r="L16" s="109"/>
      <c r="M16" s="96" t="str">
        <f t="shared" si="2"/>
        <v/>
      </c>
      <c r="N16" s="236" t="str">
        <f t="shared" si="3"/>
        <v/>
      </c>
      <c r="O16" s="1192"/>
      <c r="P16" s="1195"/>
      <c r="R16" s="149"/>
      <c r="S16" s="149"/>
      <c r="T16" s="149"/>
      <c r="U16" s="149"/>
      <c r="V16" s="149"/>
    </row>
    <row r="17" spans="1:24" ht="19.5" customHeight="1" x14ac:dyDescent="0.2">
      <c r="A17" s="102"/>
      <c r="B17" s="103"/>
      <c r="C17" s="689"/>
      <c r="D17" s="105">
        <v>0</v>
      </c>
      <c r="E17" s="92">
        <v>13</v>
      </c>
      <c r="F17" s="93" t="str">
        <f>BEGINBLAD!C16</f>
        <v>leerling 13</v>
      </c>
      <c r="G17" s="94">
        <f>'NIVEAU WAARDE - vorig jaar'!F21</f>
        <v>3.2</v>
      </c>
      <c r="H17" s="95">
        <f>'NIVEAU WAARDE - 1e toetsperiode'!F21</f>
        <v>2</v>
      </c>
      <c r="I17" s="96" t="str">
        <f t="shared" si="0"/>
        <v>C-4</v>
      </c>
      <c r="J17" s="236" t="str">
        <f t="shared" si="1"/>
        <v>!</v>
      </c>
      <c r="K17" s="243"/>
      <c r="L17" s="109"/>
      <c r="M17" s="96" t="str">
        <f t="shared" si="2"/>
        <v/>
      </c>
      <c r="N17" s="236" t="str">
        <f t="shared" si="3"/>
        <v/>
      </c>
      <c r="O17" s="1198" t="s">
        <v>137</v>
      </c>
      <c r="P17" s="1196">
        <f>'INTENSIEF - 1e periode'!F8</f>
        <v>0</v>
      </c>
      <c r="R17" s="120"/>
      <c r="S17" s="120"/>
      <c r="T17" s="120"/>
      <c r="U17" s="120"/>
      <c r="V17" s="120"/>
    </row>
    <row r="18" spans="1:24" ht="19.5" customHeight="1" x14ac:dyDescent="0.2">
      <c r="A18" s="102"/>
      <c r="B18" s="103"/>
      <c r="C18" s="689"/>
      <c r="D18" s="111">
        <v>0</v>
      </c>
      <c r="E18" s="92">
        <v>14</v>
      </c>
      <c r="F18" s="93" t="str">
        <f>BEGINBLAD!C17</f>
        <v>leerling 14</v>
      </c>
      <c r="G18" s="94">
        <f>'NIVEAU WAARDE - vorig jaar'!F22</f>
        <v>1.2</v>
      </c>
      <c r="H18" s="95">
        <f>'NIVEAU WAARDE - 1e toetsperiode'!F22</f>
        <v>0.8</v>
      </c>
      <c r="I18" s="96" t="str">
        <f t="shared" si="0"/>
        <v>E-5</v>
      </c>
      <c r="J18" s="236" t="str">
        <f t="shared" si="1"/>
        <v/>
      </c>
      <c r="K18" s="243"/>
      <c r="L18" s="109"/>
      <c r="M18" s="96" t="str">
        <f t="shared" si="2"/>
        <v/>
      </c>
      <c r="N18" s="236" t="str">
        <f t="shared" si="3"/>
        <v/>
      </c>
      <c r="O18" s="1198"/>
      <c r="P18" s="1196"/>
      <c r="Q18" s="89"/>
      <c r="R18" s="114"/>
      <c r="S18" s="114"/>
      <c r="T18" s="114"/>
      <c r="U18" s="114"/>
      <c r="V18" s="114"/>
      <c r="W18" s="114"/>
    </row>
    <row r="19" spans="1:24" ht="19.5" customHeight="1" x14ac:dyDescent="0.2">
      <c r="D19" s="111">
        <v>0</v>
      </c>
      <c r="E19" s="92">
        <v>15</v>
      </c>
      <c r="F19" s="93" t="str">
        <f>BEGINBLAD!C18</f>
        <v>leerling 15</v>
      </c>
      <c r="G19" s="94">
        <f>'NIVEAU WAARDE - vorig jaar'!F23</f>
        <v>1.7</v>
      </c>
      <c r="H19" s="95">
        <f>'NIVEAU WAARDE - 1e toetsperiode'!F23</f>
        <v>3.1</v>
      </c>
      <c r="I19" s="96" t="str">
        <f t="shared" si="0"/>
        <v>B-3</v>
      </c>
      <c r="J19" s="236" t="str">
        <f t="shared" si="1"/>
        <v>*</v>
      </c>
      <c r="K19" s="115"/>
      <c r="L19" s="106"/>
      <c r="M19" s="96" t="str">
        <f t="shared" si="2"/>
        <v/>
      </c>
      <c r="N19" s="236" t="str">
        <f t="shared" si="3"/>
        <v/>
      </c>
      <c r="O19" s="1198"/>
      <c r="P19" s="1196"/>
      <c r="Q19" s="116"/>
      <c r="R19" s="117"/>
      <c r="S19" s="117"/>
      <c r="T19" s="117"/>
      <c r="U19" s="118"/>
      <c r="V19" s="118"/>
      <c r="W19" s="118"/>
      <c r="X19" s="119"/>
    </row>
    <row r="20" spans="1:24" ht="19.5" customHeight="1" x14ac:dyDescent="0.2">
      <c r="D20" s="111">
        <v>0</v>
      </c>
      <c r="E20" s="92">
        <v>16</v>
      </c>
      <c r="F20" s="93" t="str">
        <f>BEGINBLAD!C19</f>
        <v>leerling 16</v>
      </c>
      <c r="G20" s="94">
        <f>'NIVEAU WAARDE - vorig jaar'!F24</f>
        <v>2.6</v>
      </c>
      <c r="H20" s="95">
        <f>'NIVEAU WAARDE - 1e toetsperiode'!F24</f>
        <v>0.8</v>
      </c>
      <c r="I20" s="96" t="str">
        <f t="shared" si="0"/>
        <v>E-5</v>
      </c>
      <c r="J20" s="236" t="str">
        <f t="shared" si="1"/>
        <v>!</v>
      </c>
      <c r="K20" s="115"/>
      <c r="L20" s="106"/>
      <c r="M20" s="96" t="str">
        <f t="shared" si="2"/>
        <v/>
      </c>
      <c r="N20" s="236" t="str">
        <f t="shared" si="3"/>
        <v/>
      </c>
      <c r="O20" s="1198"/>
      <c r="P20" s="1196"/>
      <c r="Q20" s="116"/>
      <c r="R20" s="120"/>
      <c r="S20" s="120"/>
      <c r="T20" s="120"/>
      <c r="U20" s="120"/>
      <c r="V20" s="120"/>
      <c r="W20" s="120"/>
    </row>
    <row r="21" spans="1:24" ht="19.5" customHeight="1" x14ac:dyDescent="0.2">
      <c r="D21" s="111">
        <v>0</v>
      </c>
      <c r="E21" s="92">
        <v>17</v>
      </c>
      <c r="F21" s="93" t="str">
        <f>BEGINBLAD!C20</f>
        <v>leerling 17</v>
      </c>
      <c r="G21" s="94">
        <f>'NIVEAU WAARDE - vorig jaar'!F25</f>
        <v>0.5</v>
      </c>
      <c r="H21" s="95">
        <f>'NIVEAU WAARDE - 1e toetsperiode'!F25</f>
        <v>0.2</v>
      </c>
      <c r="I21" s="96" t="str">
        <f t="shared" si="0"/>
        <v>E-5-</v>
      </c>
      <c r="J21" s="236" t="str">
        <f t="shared" si="1"/>
        <v/>
      </c>
      <c r="K21" s="115"/>
      <c r="L21" s="121"/>
      <c r="M21" s="96" t="str">
        <f t="shared" si="2"/>
        <v/>
      </c>
      <c r="N21" s="236" t="str">
        <f t="shared" si="3"/>
        <v/>
      </c>
      <c r="O21" s="1198"/>
      <c r="P21" s="1196"/>
      <c r="Q21" s="116"/>
      <c r="R21" s="120"/>
      <c r="S21" s="120"/>
      <c r="T21" s="120"/>
      <c r="U21" s="120"/>
      <c r="V21" s="120"/>
      <c r="W21" s="120"/>
    </row>
    <row r="22" spans="1:24" ht="19.5" customHeight="1" x14ac:dyDescent="0.2">
      <c r="D22" s="111">
        <v>0</v>
      </c>
      <c r="E22" s="92">
        <v>18</v>
      </c>
      <c r="F22" s="93" t="str">
        <f>BEGINBLAD!C21</f>
        <v>leerling 18</v>
      </c>
      <c r="G22" s="94">
        <f>'NIVEAU WAARDE - vorig jaar'!F26</f>
        <v>1.2</v>
      </c>
      <c r="H22" s="95">
        <f>'NIVEAU WAARDE - 1e toetsperiode'!F26</f>
        <v>2.2000000000000002</v>
      </c>
      <c r="I22" s="96" t="str">
        <f t="shared" si="0"/>
        <v>C-4</v>
      </c>
      <c r="J22" s="236" t="str">
        <f t="shared" si="1"/>
        <v>*</v>
      </c>
      <c r="K22" s="115"/>
      <c r="L22" s="97"/>
      <c r="M22" s="96" t="str">
        <f t="shared" si="2"/>
        <v/>
      </c>
      <c r="N22" s="236" t="str">
        <f t="shared" si="3"/>
        <v/>
      </c>
      <c r="O22" s="1198"/>
      <c r="P22" s="1196"/>
      <c r="Q22" s="116"/>
      <c r="R22" s="120"/>
      <c r="S22" s="120"/>
      <c r="T22" s="120"/>
      <c r="U22" s="120"/>
      <c r="V22" s="120"/>
      <c r="W22" s="120"/>
    </row>
    <row r="23" spans="1:24" ht="19.5" customHeight="1" x14ac:dyDescent="0.2">
      <c r="B23" s="122"/>
      <c r="C23" s="122"/>
      <c r="D23" s="111">
        <v>0</v>
      </c>
      <c r="E23" s="92">
        <v>19</v>
      </c>
      <c r="F23" s="93" t="str">
        <f>BEGINBLAD!C22</f>
        <v>leerling 19</v>
      </c>
      <c r="G23" s="94">
        <f>'NIVEAU WAARDE - vorig jaar'!F27</f>
        <v>2.2000000000000002</v>
      </c>
      <c r="H23" s="95">
        <f>'NIVEAU WAARDE - 1e toetsperiode'!F27</f>
        <v>1.2</v>
      </c>
      <c r="I23" s="96" t="str">
        <f t="shared" si="0"/>
        <v>D-5</v>
      </c>
      <c r="J23" s="236" t="str">
        <f t="shared" si="1"/>
        <v>!</v>
      </c>
      <c r="K23" s="115"/>
      <c r="L23" s="121"/>
      <c r="M23" s="96" t="str">
        <f t="shared" si="2"/>
        <v/>
      </c>
      <c r="N23" s="236" t="str">
        <f t="shared" si="3"/>
        <v/>
      </c>
      <c r="O23" s="1198"/>
      <c r="P23" s="1196"/>
    </row>
    <row r="24" spans="1:24" ht="19.5" customHeight="1" thickBot="1" x14ac:dyDescent="0.25">
      <c r="B24" s="123"/>
      <c r="C24" s="122"/>
      <c r="D24" s="111">
        <v>0</v>
      </c>
      <c r="E24" s="92">
        <v>20</v>
      </c>
      <c r="F24" s="93" t="str">
        <f>BEGINBLAD!C23</f>
        <v>leerling 20</v>
      </c>
      <c r="G24" s="94">
        <f>'NIVEAU WAARDE - vorig jaar'!F28</f>
        <v>3.2</v>
      </c>
      <c r="H24" s="95">
        <f>'NIVEAU WAARDE - 1e toetsperiode'!F28</f>
        <v>0.8</v>
      </c>
      <c r="I24" s="96" t="str">
        <f t="shared" si="0"/>
        <v>E-5</v>
      </c>
      <c r="J24" s="236" t="str">
        <f t="shared" si="1"/>
        <v>!</v>
      </c>
      <c r="K24" s="124"/>
      <c r="L24" s="121"/>
      <c r="M24" s="96" t="str">
        <f t="shared" si="2"/>
        <v/>
      </c>
      <c r="N24" s="236" t="str">
        <f t="shared" si="3"/>
        <v/>
      </c>
      <c r="O24" s="1199"/>
      <c r="P24" s="1197"/>
      <c r="Q24" s="116"/>
      <c r="R24" s="120"/>
      <c r="S24" s="120"/>
      <c r="T24" s="120"/>
      <c r="U24" s="120"/>
      <c r="V24" s="120"/>
      <c r="W24" s="120"/>
    </row>
    <row r="25" spans="1:24" ht="19.5" customHeight="1" thickBot="1" x14ac:dyDescent="0.25">
      <c r="B25" s="123"/>
      <c r="C25" s="122"/>
      <c r="D25" s="111">
        <v>0</v>
      </c>
      <c r="E25" s="92">
        <v>21</v>
      </c>
      <c r="F25" s="93" t="str">
        <f>BEGINBLAD!C24</f>
        <v>leerling 21</v>
      </c>
      <c r="G25" s="94">
        <f>'NIVEAU WAARDE - vorig jaar'!F29</f>
        <v>2.6</v>
      </c>
      <c r="H25" s="95">
        <f>'NIVEAU WAARDE - 1e toetsperiode'!F29</f>
        <v>0.6</v>
      </c>
      <c r="I25" s="96" t="str">
        <f t="shared" si="0"/>
        <v>E-5</v>
      </c>
      <c r="J25" s="236" t="str">
        <f t="shared" si="1"/>
        <v>!</v>
      </c>
      <c r="K25" s="124"/>
      <c r="L25" s="121"/>
      <c r="M25" s="96" t="str">
        <f t="shared" si="2"/>
        <v/>
      </c>
      <c r="N25" s="236" t="str">
        <f t="shared" si="3"/>
        <v/>
      </c>
      <c r="O25" s="107"/>
      <c r="P25" s="113" t="s">
        <v>282</v>
      </c>
      <c r="Q25" s="116"/>
      <c r="R25" s="120"/>
      <c r="S25" s="120"/>
      <c r="T25" s="120"/>
      <c r="U25" s="120"/>
      <c r="V25" s="120"/>
      <c r="W25" s="120"/>
    </row>
    <row r="26" spans="1:24" ht="19.5" customHeight="1" x14ac:dyDescent="0.2">
      <c r="D26" s="111">
        <v>0</v>
      </c>
      <c r="E26" s="92">
        <v>22</v>
      </c>
      <c r="F26" s="93" t="str">
        <f>BEGINBLAD!C25</f>
        <v>leerling 22</v>
      </c>
      <c r="G26" s="94">
        <f>'NIVEAU WAARDE - vorig jaar'!F30</f>
        <v>2.6</v>
      </c>
      <c r="H26" s="95">
        <f>'NIVEAU WAARDE - 1e toetsperiode'!F30</f>
        <v>1.7</v>
      </c>
      <c r="I26" s="96" t="str">
        <f t="shared" si="0"/>
        <v>D-4</v>
      </c>
      <c r="J26" s="236" t="str">
        <f t="shared" si="1"/>
        <v>!</v>
      </c>
      <c r="K26" s="124"/>
      <c r="L26" s="121"/>
      <c r="M26" s="96" t="str">
        <f t="shared" si="2"/>
        <v/>
      </c>
      <c r="N26" s="236" t="str">
        <f t="shared" si="3"/>
        <v/>
      </c>
      <c r="O26" s="1191" t="s">
        <v>135</v>
      </c>
      <c r="P26" s="1194" t="str">
        <f>'BASISAANPAK - 1e periode'!F6</f>
        <v>Niveau van begrijpend lezen: middenmoot meer A-B scores (laatstse Boom-toets: Groep 6 : 2xA, Groep 7: 1x A, Groep 8: 1x A)
motivatie bevorderen door korte en aansprekende teksten</v>
      </c>
      <c r="Q26" s="89"/>
      <c r="R26" s="114"/>
      <c r="S26" s="114"/>
      <c r="T26" s="114"/>
      <c r="U26" s="114"/>
      <c r="V26" s="114"/>
      <c r="W26" s="114"/>
    </row>
    <row r="27" spans="1:24" s="126" customFormat="1" ht="19.5" customHeight="1" x14ac:dyDescent="0.4">
      <c r="A27" s="89"/>
      <c r="B27" s="1132" t="s">
        <v>43</v>
      </c>
      <c r="C27" s="90" t="s">
        <v>210</v>
      </c>
      <c r="D27" s="105">
        <v>0</v>
      </c>
      <c r="E27" s="92">
        <v>23</v>
      </c>
      <c r="F27" s="93" t="str">
        <f>BEGINBLAD!C26</f>
        <v>leerling 23</v>
      </c>
      <c r="G27" s="94">
        <f>'NIVEAU WAARDE - vorig jaar'!F31</f>
        <v>3.5</v>
      </c>
      <c r="H27" s="95">
        <f>'NIVEAU WAARDE - 1e toetsperiode'!F31</f>
        <v>3.4</v>
      </c>
      <c r="I27" s="96" t="str">
        <f t="shared" si="0"/>
        <v>B-3</v>
      </c>
      <c r="J27" s="236" t="str">
        <f t="shared" si="1"/>
        <v/>
      </c>
      <c r="K27" s="124"/>
      <c r="L27" s="121"/>
      <c r="M27" s="96" t="str">
        <f t="shared" si="2"/>
        <v/>
      </c>
      <c r="N27" s="236" t="str">
        <f t="shared" si="3"/>
        <v/>
      </c>
      <c r="O27" s="1192"/>
      <c r="P27" s="1195"/>
      <c r="Q27" s="125"/>
      <c r="R27" s="125"/>
      <c r="S27" s="125"/>
      <c r="T27" s="125"/>
      <c r="U27" s="125"/>
      <c r="V27" s="125"/>
      <c r="W27" s="125"/>
    </row>
    <row r="28" spans="1:24" ht="19.5" customHeight="1" x14ac:dyDescent="0.4">
      <c r="A28" s="89"/>
      <c r="B28" s="1132"/>
      <c r="C28" s="101" t="s">
        <v>200</v>
      </c>
      <c r="D28" s="105">
        <v>0</v>
      </c>
      <c r="E28" s="92">
        <v>24</v>
      </c>
      <c r="F28" s="93" t="str">
        <f>BEGINBLAD!C27</f>
        <v>leerling 24</v>
      </c>
      <c r="G28" s="94">
        <f>'NIVEAU WAARDE - vorig jaar'!F32</f>
        <v>2.6</v>
      </c>
      <c r="H28" s="95">
        <f>'NIVEAU WAARDE - 1e toetsperiode'!F32</f>
        <v>2.2000000000000002</v>
      </c>
      <c r="I28" s="96" t="str">
        <f t="shared" si="0"/>
        <v>C-4</v>
      </c>
      <c r="J28" s="236" t="str">
        <f t="shared" si="1"/>
        <v/>
      </c>
      <c r="K28" s="124"/>
      <c r="L28" s="121"/>
      <c r="M28" s="96" t="str">
        <f t="shared" si="2"/>
        <v/>
      </c>
      <c r="N28" s="236" t="str">
        <f t="shared" si="3"/>
        <v/>
      </c>
      <c r="O28" s="1192" t="s">
        <v>137</v>
      </c>
      <c r="P28" s="1200" t="str">
        <f>'BASISAANPAK - 1e periode'!F8</f>
        <v xml:space="preserve">groep 6/7/8: Kidsweek twee keer in de week, Maandag en vrijdag
</v>
      </c>
      <c r="Q28" s="77"/>
      <c r="R28" s="127"/>
      <c r="S28" s="88"/>
      <c r="T28" s="88"/>
      <c r="U28" s="88"/>
      <c r="V28" s="88"/>
      <c r="W28" s="88"/>
    </row>
    <row r="29" spans="1:24" ht="19.5" customHeight="1" x14ac:dyDescent="0.2">
      <c r="A29" s="102"/>
      <c r="B29" s="326"/>
      <c r="C29" s="328"/>
      <c r="D29" s="91">
        <v>0</v>
      </c>
      <c r="E29" s="92">
        <v>25</v>
      </c>
      <c r="F29" s="93" t="str">
        <f>BEGINBLAD!C28</f>
        <v>leerling 25</v>
      </c>
      <c r="G29" s="94">
        <f>'NIVEAU WAARDE - vorig jaar'!F33</f>
        <v>1.9</v>
      </c>
      <c r="H29" s="95">
        <f>'NIVEAU WAARDE - 1e toetsperiode'!F33</f>
        <v>1.2</v>
      </c>
      <c r="I29" s="96" t="str">
        <f t="shared" si="0"/>
        <v>D-5</v>
      </c>
      <c r="J29" s="236" t="str">
        <f t="shared" si="1"/>
        <v>!</v>
      </c>
      <c r="K29" s="124"/>
      <c r="L29" s="121"/>
      <c r="M29" s="96" t="str">
        <f t="shared" si="2"/>
        <v/>
      </c>
      <c r="N29" s="236" t="str">
        <f t="shared" si="3"/>
        <v/>
      </c>
      <c r="O29" s="1192"/>
      <c r="P29" s="1200"/>
      <c r="Q29" s="128"/>
      <c r="R29" s="117"/>
      <c r="S29" s="117"/>
      <c r="T29" s="117"/>
      <c r="U29" s="117"/>
      <c r="V29" s="117"/>
      <c r="W29" s="117"/>
    </row>
    <row r="30" spans="1:24" ht="19.5" customHeight="1" x14ac:dyDescent="0.2">
      <c r="A30" s="102"/>
      <c r="B30" s="326"/>
      <c r="C30" s="328"/>
      <c r="D30" s="91">
        <v>0</v>
      </c>
      <c r="E30" s="92">
        <v>26</v>
      </c>
      <c r="F30" s="93" t="str">
        <f>BEGINBLAD!C29</f>
        <v>leerling 26</v>
      </c>
      <c r="G30" s="94">
        <f>'NIVEAU WAARDE - vorig jaar'!F34</f>
        <v>4.2</v>
      </c>
      <c r="H30" s="95">
        <f>'NIVEAU WAARDE - 1e toetsperiode'!F34</f>
        <v>2.5</v>
      </c>
      <c r="I30" s="96" t="str">
        <f t="shared" si="0"/>
        <v>C-4</v>
      </c>
      <c r="J30" s="236" t="str">
        <f t="shared" si="1"/>
        <v>!</v>
      </c>
      <c r="K30" s="124"/>
      <c r="L30" s="121"/>
      <c r="M30" s="96" t="str">
        <f t="shared" si="2"/>
        <v/>
      </c>
      <c r="N30" s="236" t="str">
        <f t="shared" si="3"/>
        <v/>
      </c>
      <c r="O30" s="1192"/>
      <c r="P30" s="1200"/>
      <c r="Q30" s="116"/>
      <c r="R30" s="120"/>
      <c r="S30" s="120"/>
      <c r="T30" s="120"/>
      <c r="U30" s="120"/>
      <c r="V30" s="120"/>
      <c r="W30" s="120"/>
    </row>
    <row r="31" spans="1:24" ht="19.5" customHeight="1" x14ac:dyDescent="0.2">
      <c r="A31" s="102"/>
      <c r="B31" s="326"/>
      <c r="C31" s="328"/>
      <c r="D31" s="91">
        <v>0</v>
      </c>
      <c r="E31" s="92">
        <v>27</v>
      </c>
      <c r="F31" s="93">
        <f>BEGINBLAD!C30</f>
        <v>0</v>
      </c>
      <c r="G31" s="94">
        <f>'NIVEAU WAARDE - vorig jaar'!F35</f>
        <v>0</v>
      </c>
      <c r="H31" s="95">
        <f>'NIVEAU WAARDE - 1e toetsperiode'!F35</f>
        <v>0</v>
      </c>
      <c r="I31" s="96" t="str">
        <f t="shared" si="0"/>
        <v/>
      </c>
      <c r="J31" s="236" t="str">
        <f t="shared" si="1"/>
        <v/>
      </c>
      <c r="K31" s="124"/>
      <c r="L31" s="121"/>
      <c r="M31" s="96" t="str">
        <f t="shared" si="2"/>
        <v/>
      </c>
      <c r="N31" s="236" t="str">
        <f t="shared" si="3"/>
        <v/>
      </c>
      <c r="O31" s="1192"/>
      <c r="P31" s="1200"/>
      <c r="Q31" s="116"/>
      <c r="R31" s="120"/>
      <c r="S31" s="120"/>
      <c r="T31" s="120"/>
      <c r="U31" s="120"/>
      <c r="V31" s="120"/>
      <c r="W31" s="120"/>
    </row>
    <row r="32" spans="1:24" ht="19.5" customHeight="1" x14ac:dyDescent="0.2">
      <c r="A32" s="102"/>
      <c r="B32" s="326"/>
      <c r="C32" s="328"/>
      <c r="D32" s="91">
        <v>0</v>
      </c>
      <c r="E32" s="92">
        <v>28</v>
      </c>
      <c r="F32" s="93">
        <f>BEGINBLAD!C31</f>
        <v>0</v>
      </c>
      <c r="G32" s="94">
        <f>'NIVEAU WAARDE - vorig jaar'!F36</f>
        <v>0</v>
      </c>
      <c r="H32" s="95">
        <f>'NIVEAU WAARDE - 1e toetsperiode'!F36</f>
        <v>0</v>
      </c>
      <c r="I32" s="96" t="str">
        <f t="shared" si="0"/>
        <v/>
      </c>
      <c r="J32" s="236" t="str">
        <f t="shared" si="1"/>
        <v/>
      </c>
      <c r="K32" s="124"/>
      <c r="L32" s="121"/>
      <c r="M32" s="96" t="str">
        <f t="shared" si="2"/>
        <v/>
      </c>
      <c r="N32" s="236" t="str">
        <f t="shared" si="3"/>
        <v/>
      </c>
      <c r="O32" s="1192"/>
      <c r="P32" s="1200"/>
      <c r="Q32" s="116"/>
      <c r="R32" s="120"/>
      <c r="S32" s="120"/>
      <c r="T32" s="120"/>
      <c r="U32" s="120"/>
      <c r="V32" s="120"/>
      <c r="W32" s="120"/>
    </row>
    <row r="33" spans="1:27" ht="19.5" customHeight="1" x14ac:dyDescent="0.2">
      <c r="A33" s="102"/>
      <c r="B33" s="326"/>
      <c r="C33" s="328"/>
      <c r="D33" s="91">
        <v>0</v>
      </c>
      <c r="E33" s="92">
        <v>29</v>
      </c>
      <c r="F33" s="93">
        <f>BEGINBLAD!C32</f>
        <v>0</v>
      </c>
      <c r="G33" s="94">
        <f>'NIVEAU WAARDE - vorig jaar'!F37</f>
        <v>0</v>
      </c>
      <c r="H33" s="95">
        <f>'NIVEAU WAARDE - 1e toetsperiode'!F37</f>
        <v>0</v>
      </c>
      <c r="I33" s="96" t="str">
        <f t="shared" si="0"/>
        <v/>
      </c>
      <c r="J33" s="236" t="str">
        <f t="shared" si="1"/>
        <v/>
      </c>
      <c r="K33" s="124"/>
      <c r="L33" s="121"/>
      <c r="M33" s="96" t="str">
        <f t="shared" si="2"/>
        <v/>
      </c>
      <c r="N33" s="236" t="str">
        <f t="shared" si="3"/>
        <v/>
      </c>
      <c r="O33" s="1192"/>
      <c r="P33" s="1200"/>
      <c r="Q33" s="116"/>
      <c r="R33" s="120"/>
      <c r="S33" s="120"/>
      <c r="T33" s="120"/>
      <c r="U33" s="120"/>
      <c r="V33" s="120"/>
      <c r="W33" s="120"/>
    </row>
    <row r="34" spans="1:27" ht="19.5" customHeight="1" x14ac:dyDescent="0.2">
      <c r="A34" s="102"/>
      <c r="B34" s="326"/>
      <c r="C34" s="328"/>
      <c r="D34" s="91">
        <v>0</v>
      </c>
      <c r="E34" s="92">
        <v>30</v>
      </c>
      <c r="F34" s="93">
        <f>BEGINBLAD!C33</f>
        <v>0</v>
      </c>
      <c r="G34" s="94">
        <f>'NIVEAU WAARDE - vorig jaar'!F38</f>
        <v>0</v>
      </c>
      <c r="H34" s="95">
        <f>'NIVEAU WAARDE - 1e toetsperiode'!F38</f>
        <v>0</v>
      </c>
      <c r="I34" s="96" t="str">
        <f t="shared" si="0"/>
        <v/>
      </c>
      <c r="J34" s="236" t="str">
        <f t="shared" si="1"/>
        <v/>
      </c>
      <c r="K34" s="124"/>
      <c r="L34" s="121"/>
      <c r="M34" s="96" t="str">
        <f t="shared" si="2"/>
        <v/>
      </c>
      <c r="N34" s="236" t="str">
        <f t="shared" si="3"/>
        <v/>
      </c>
      <c r="O34" s="1192"/>
      <c r="P34" s="1200"/>
      <c r="Q34" s="116"/>
      <c r="R34" s="120"/>
      <c r="S34" s="120"/>
      <c r="T34" s="120"/>
      <c r="U34" s="120"/>
      <c r="V34" s="120"/>
      <c r="W34" s="120"/>
    </row>
    <row r="35" spans="1:27" ht="19.5" customHeight="1" thickBot="1" x14ac:dyDescent="0.25">
      <c r="A35" s="102"/>
      <c r="B35" s="326"/>
      <c r="C35" s="328"/>
      <c r="D35" s="91">
        <v>0</v>
      </c>
      <c r="E35" s="92">
        <v>31</v>
      </c>
      <c r="F35" s="93">
        <f>BEGINBLAD!C34</f>
        <v>0</v>
      </c>
      <c r="G35" s="94">
        <f>'NIVEAU WAARDE - vorig jaar'!F39</f>
        <v>0</v>
      </c>
      <c r="H35" s="95">
        <f>'NIVEAU WAARDE - 1e toetsperiode'!F39</f>
        <v>0</v>
      </c>
      <c r="I35" s="96" t="str">
        <f t="shared" si="0"/>
        <v/>
      </c>
      <c r="J35" s="236" t="str">
        <f t="shared" si="1"/>
        <v/>
      </c>
      <c r="K35" s="124"/>
      <c r="L35" s="121"/>
      <c r="M35" s="96" t="str">
        <f t="shared" si="2"/>
        <v/>
      </c>
      <c r="N35" s="236" t="str">
        <f t="shared" si="3"/>
        <v/>
      </c>
      <c r="O35" s="1193"/>
      <c r="P35" s="1201"/>
      <c r="Q35" s="116"/>
      <c r="R35" s="120"/>
      <c r="S35" s="120"/>
      <c r="T35" s="120"/>
      <c r="U35" s="120"/>
      <c r="V35" s="120"/>
      <c r="W35" s="120"/>
    </row>
    <row r="36" spans="1:27" ht="19.5" customHeight="1" thickBot="1" x14ac:dyDescent="0.25">
      <c r="A36" s="102"/>
      <c r="B36" s="326"/>
      <c r="C36" s="328"/>
      <c r="D36" s="91">
        <v>0</v>
      </c>
      <c r="E36" s="92">
        <v>32</v>
      </c>
      <c r="F36" s="93">
        <f>BEGINBLAD!C35</f>
        <v>0</v>
      </c>
      <c r="G36" s="94">
        <f>'NIVEAU WAARDE - vorig jaar'!F40</f>
        <v>0</v>
      </c>
      <c r="H36" s="95">
        <f>'NIVEAU WAARDE - 1e toetsperiode'!F40</f>
        <v>0</v>
      </c>
      <c r="I36" s="96" t="str">
        <f t="shared" si="0"/>
        <v/>
      </c>
      <c r="J36" s="236" t="str">
        <f t="shared" si="1"/>
        <v/>
      </c>
      <c r="K36" s="124"/>
      <c r="L36" s="121"/>
      <c r="M36" s="96" t="str">
        <f t="shared" si="2"/>
        <v/>
      </c>
      <c r="N36" s="236" t="str">
        <f t="shared" si="3"/>
        <v/>
      </c>
      <c r="O36" s="107"/>
      <c r="P36" s="113" t="s">
        <v>108</v>
      </c>
      <c r="Q36" s="116"/>
      <c r="R36" s="120"/>
      <c r="S36" s="120"/>
      <c r="T36" s="120"/>
      <c r="U36" s="120"/>
      <c r="V36" s="120"/>
      <c r="W36" s="120"/>
    </row>
    <row r="37" spans="1:27" ht="19.5" customHeight="1" x14ac:dyDescent="0.2">
      <c r="A37" s="102"/>
      <c r="B37" s="326"/>
      <c r="C37" s="328"/>
      <c r="D37" s="91">
        <v>0</v>
      </c>
      <c r="E37" s="92">
        <v>33</v>
      </c>
      <c r="F37" s="93">
        <f>BEGINBLAD!C36</f>
        <v>0</v>
      </c>
      <c r="G37" s="94">
        <f>'NIVEAU WAARDE - vorig jaar'!F41</f>
        <v>0</v>
      </c>
      <c r="H37" s="95">
        <f>'NIVEAU WAARDE - 1e toetsperiode'!F41</f>
        <v>0</v>
      </c>
      <c r="I37" s="96" t="str">
        <f t="shared" si="0"/>
        <v/>
      </c>
      <c r="J37" s="236" t="str">
        <f t="shared" si="1"/>
        <v/>
      </c>
      <c r="K37" s="124"/>
      <c r="L37" s="121"/>
      <c r="M37" s="96" t="str">
        <f t="shared" si="2"/>
        <v/>
      </c>
      <c r="N37" s="236" t="str">
        <f t="shared" si="3"/>
        <v/>
      </c>
      <c r="O37" s="1191" t="s">
        <v>135</v>
      </c>
      <c r="P37" s="1194" t="str">
        <f>'VERRIJKT - 1e periode'!F6</f>
        <v xml:space="preserve"> - gemotiveerd blijven
 - eigen initiatief ontwikkelen = zelf verantwoordelijk zijn
 - leren plannen</v>
      </c>
      <c r="Q37" s="116"/>
      <c r="R37" s="120"/>
      <c r="S37" s="120"/>
      <c r="T37" s="120"/>
      <c r="U37" s="120"/>
      <c r="V37" s="120"/>
      <c r="W37" s="120"/>
    </row>
    <row r="38" spans="1:27" ht="19.5" customHeight="1" x14ac:dyDescent="0.2">
      <c r="A38" s="102"/>
      <c r="B38" s="103"/>
      <c r="C38" s="689"/>
      <c r="D38" s="91">
        <v>0</v>
      </c>
      <c r="E38" s="92">
        <v>34</v>
      </c>
      <c r="F38" s="93">
        <f>BEGINBLAD!C37</f>
        <v>0</v>
      </c>
      <c r="G38" s="94">
        <f>'NIVEAU WAARDE - vorig jaar'!F42</f>
        <v>0</v>
      </c>
      <c r="H38" s="95">
        <f>'NIVEAU WAARDE - 1e toetsperiode'!F42</f>
        <v>0</v>
      </c>
      <c r="I38" s="96" t="str">
        <f t="shared" si="0"/>
        <v/>
      </c>
      <c r="J38" s="236" t="str">
        <f t="shared" si="1"/>
        <v/>
      </c>
      <c r="K38" s="124"/>
      <c r="L38" s="121"/>
      <c r="M38" s="96" t="str">
        <f t="shared" si="2"/>
        <v/>
      </c>
      <c r="N38" s="236" t="str">
        <f t="shared" si="3"/>
        <v/>
      </c>
      <c r="O38" s="1192"/>
      <c r="P38" s="1195"/>
      <c r="Q38" s="116"/>
      <c r="R38" s="120"/>
      <c r="S38" s="120"/>
      <c r="T38" s="120"/>
      <c r="U38" s="120"/>
      <c r="V38" s="120"/>
      <c r="W38" s="120"/>
    </row>
    <row r="39" spans="1:27" ht="19.5" customHeight="1" x14ac:dyDescent="0.2">
      <c r="A39" s="102"/>
      <c r="B39" s="103"/>
      <c r="C39" s="689"/>
      <c r="D39" s="91">
        <v>0</v>
      </c>
      <c r="E39" s="92">
        <v>35</v>
      </c>
      <c r="F39" s="93">
        <f>BEGINBLAD!C38</f>
        <v>0</v>
      </c>
      <c r="G39" s="94">
        <f>'NIVEAU WAARDE - vorig jaar'!F43</f>
        <v>0</v>
      </c>
      <c r="H39" s="95">
        <f>'NIVEAU WAARDE - 1e toetsperiode'!F43</f>
        <v>0</v>
      </c>
      <c r="I39" s="96" t="str">
        <f t="shared" si="0"/>
        <v/>
      </c>
      <c r="J39" s="236" t="str">
        <f t="shared" si="1"/>
        <v/>
      </c>
      <c r="K39" s="124"/>
      <c r="L39" s="121"/>
      <c r="M39" s="96" t="str">
        <f t="shared" si="2"/>
        <v/>
      </c>
      <c r="N39" s="236" t="str">
        <f t="shared" si="3"/>
        <v/>
      </c>
      <c r="O39" s="1192" t="s">
        <v>137</v>
      </c>
      <c r="P39" s="1189" t="str">
        <f>'VERRIJKT - 1e periode'!F8</f>
        <v xml:space="preserve"> - --- (gr.7), --- (gr.8) werken  met Levelwerk
 - ze krijgen instructie door de IB-er op maandag of woensdag.</v>
      </c>
      <c r="Q39" s="116"/>
      <c r="R39" s="120"/>
      <c r="S39" s="120"/>
      <c r="T39" s="120"/>
      <c r="U39" s="120"/>
      <c r="V39" s="120"/>
      <c r="W39" s="120"/>
    </row>
    <row r="40" spans="1:27" s="89" customFormat="1" ht="19.5" customHeight="1" thickBot="1" x14ac:dyDescent="0.25">
      <c r="A40" s="102"/>
      <c r="B40" s="103"/>
      <c r="C40" s="689"/>
      <c r="D40" s="91">
        <v>0</v>
      </c>
      <c r="E40" s="130">
        <v>36</v>
      </c>
      <c r="F40" s="131">
        <f>BEGINBLAD!C39</f>
        <v>0</v>
      </c>
      <c r="G40" s="132">
        <f>'NIVEAU WAARDE - vorig jaar'!F44</f>
        <v>0</v>
      </c>
      <c r="H40" s="133">
        <f>'NIVEAU WAARDE - 1e toetsperiode'!F44</f>
        <v>0</v>
      </c>
      <c r="I40" s="134" t="str">
        <f t="shared" si="0"/>
        <v/>
      </c>
      <c r="J40" s="236" t="str">
        <f t="shared" si="1"/>
        <v/>
      </c>
      <c r="K40" s="244"/>
      <c r="L40" s="135"/>
      <c r="M40" s="134" t="str">
        <f t="shared" si="2"/>
        <v/>
      </c>
      <c r="N40" s="236" t="str">
        <f t="shared" si="3"/>
        <v/>
      </c>
      <c r="O40" s="1192"/>
      <c r="P40" s="1189"/>
      <c r="Q40" s="116"/>
      <c r="R40" s="120"/>
      <c r="S40" s="120"/>
      <c r="T40" s="120"/>
      <c r="U40" s="120"/>
      <c r="V40" s="120"/>
      <c r="W40" s="120"/>
      <c r="X40" s="114"/>
      <c r="Y40" s="114"/>
      <c r="Z40" s="114"/>
      <c r="AA40" s="114"/>
    </row>
    <row r="41" spans="1:27" ht="19.5" customHeight="1" thickBot="1" x14ac:dyDescent="0.25">
      <c r="A41" s="137"/>
      <c r="B41" s="138"/>
      <c r="C41" s="1202" t="s">
        <v>109</v>
      </c>
      <c r="D41" s="1202"/>
      <c r="E41" s="1202"/>
      <c r="F41" s="1202"/>
      <c r="G41" s="1203" t="s">
        <v>108</v>
      </c>
      <c r="H41" s="1203"/>
      <c r="I41" s="1203"/>
      <c r="J41" s="1203"/>
      <c r="K41" s="1203"/>
      <c r="L41" s="1203"/>
      <c r="M41" s="1203"/>
      <c r="O41" s="1192"/>
      <c r="P41" s="1189"/>
      <c r="Q41" s="116"/>
      <c r="R41" s="139"/>
      <c r="S41" s="139"/>
      <c r="T41" s="139"/>
      <c r="U41" s="139"/>
      <c r="V41" s="139"/>
      <c r="W41" s="139"/>
    </row>
    <row r="42" spans="1:27" ht="19.5" customHeight="1" x14ac:dyDescent="0.2">
      <c r="A42" s="116"/>
      <c r="B42" s="159"/>
      <c r="C42" s="166" t="s">
        <v>214</v>
      </c>
      <c r="D42" s="1204"/>
      <c r="E42" s="1205"/>
      <c r="F42" s="1240"/>
      <c r="G42" s="1207" t="s">
        <v>214</v>
      </c>
      <c r="H42" s="1208"/>
      <c r="I42" s="1241"/>
      <c r="J42" s="1242"/>
      <c r="K42" s="1242"/>
      <c r="L42" s="1242"/>
      <c r="M42" s="1243"/>
      <c r="O42" s="1192"/>
      <c r="P42" s="1189"/>
      <c r="Q42" s="116"/>
      <c r="R42" s="139"/>
      <c r="S42" s="139"/>
      <c r="T42" s="139"/>
      <c r="U42" s="139"/>
      <c r="V42" s="139"/>
      <c r="W42" s="139"/>
    </row>
    <row r="43" spans="1:27" ht="19.5" customHeight="1" x14ac:dyDescent="0.2">
      <c r="A43" s="116"/>
      <c r="B43" s="160"/>
      <c r="C43" s="167" t="s">
        <v>215</v>
      </c>
      <c r="D43" s="1244"/>
      <c r="E43" s="1211"/>
      <c r="F43" s="1245"/>
      <c r="G43" s="1213" t="s">
        <v>215</v>
      </c>
      <c r="H43" s="1214"/>
      <c r="I43" s="1246"/>
      <c r="J43" s="1247"/>
      <c r="K43" s="1247"/>
      <c r="L43" s="1247"/>
      <c r="M43" s="1248"/>
      <c r="O43" s="1192"/>
      <c r="P43" s="1189"/>
      <c r="Q43" s="116"/>
      <c r="R43" s="139"/>
      <c r="S43" s="139"/>
      <c r="T43" s="139"/>
      <c r="U43" s="139"/>
      <c r="V43" s="139"/>
      <c r="W43" s="139"/>
    </row>
    <row r="44" spans="1:27" ht="19.5" customHeight="1" x14ac:dyDescent="0.2">
      <c r="A44" s="116"/>
      <c r="B44" s="160"/>
      <c r="C44" s="167" t="s">
        <v>216</v>
      </c>
      <c r="D44" s="1244"/>
      <c r="E44" s="1211"/>
      <c r="F44" s="1245"/>
      <c r="G44" s="1213" t="s">
        <v>216</v>
      </c>
      <c r="H44" s="1214"/>
      <c r="I44" s="1246"/>
      <c r="J44" s="1247"/>
      <c r="K44" s="1247"/>
      <c r="L44" s="1247"/>
      <c r="M44" s="1248"/>
      <c r="O44" s="1192"/>
      <c r="P44" s="1189"/>
      <c r="Q44" s="116"/>
      <c r="R44" s="139"/>
      <c r="S44" s="139"/>
      <c r="T44" s="139"/>
      <c r="U44" s="139"/>
      <c r="V44" s="139"/>
      <c r="W44" s="139"/>
    </row>
    <row r="45" spans="1:27" ht="19.5" customHeight="1" x14ac:dyDescent="0.2">
      <c r="A45" s="116"/>
      <c r="B45" s="160"/>
      <c r="C45" s="167" t="s">
        <v>217</v>
      </c>
      <c r="D45" s="1210"/>
      <c r="E45" s="1211"/>
      <c r="F45" s="1245"/>
      <c r="G45" s="1213" t="s">
        <v>217</v>
      </c>
      <c r="H45" s="1214"/>
      <c r="I45" s="1246"/>
      <c r="J45" s="1247"/>
      <c r="K45" s="1247"/>
      <c r="L45" s="1247"/>
      <c r="M45" s="1248"/>
      <c r="O45" s="1192"/>
      <c r="P45" s="1189"/>
      <c r="Q45" s="116"/>
      <c r="R45" s="139"/>
      <c r="S45" s="139"/>
      <c r="T45" s="139"/>
      <c r="U45" s="139"/>
      <c r="V45" s="139"/>
      <c r="W45" s="139"/>
    </row>
    <row r="46" spans="1:27" ht="19.5" customHeight="1" thickBot="1" x14ac:dyDescent="0.25">
      <c r="A46" s="116"/>
      <c r="B46" s="160"/>
      <c r="C46" s="168" t="s">
        <v>218</v>
      </c>
      <c r="D46" s="1222"/>
      <c r="E46" s="1223"/>
      <c r="F46" s="1249"/>
      <c r="G46" s="1225" t="s">
        <v>218</v>
      </c>
      <c r="H46" s="1226"/>
      <c r="I46" s="1250"/>
      <c r="J46" s="1251"/>
      <c r="K46" s="1251"/>
      <c r="L46" s="1251"/>
      <c r="M46" s="1252"/>
      <c r="O46" s="1193"/>
      <c r="P46" s="1190"/>
      <c r="Q46" s="116"/>
      <c r="R46" s="120"/>
      <c r="S46" s="120"/>
      <c r="T46" s="120"/>
      <c r="U46" s="120"/>
      <c r="V46" s="120"/>
      <c r="W46" s="120"/>
    </row>
    <row r="47" spans="1:27" x14ac:dyDescent="0.2">
      <c r="B47" s="140"/>
      <c r="C47" s="145"/>
      <c r="D47" s="499"/>
      <c r="E47" s="500"/>
      <c r="F47" s="500"/>
      <c r="G47" s="500"/>
      <c r="H47" s="197"/>
      <c r="I47" s="142"/>
      <c r="J47" s="142"/>
      <c r="K47" s="1235" t="s">
        <v>213</v>
      </c>
      <c r="L47" s="1235"/>
      <c r="M47" s="1235"/>
      <c r="N47" s="141"/>
      <c r="O47" s="151"/>
      <c r="P47" s="151"/>
      <c r="Q47" s="116"/>
      <c r="R47" s="120"/>
      <c r="S47" s="120"/>
      <c r="T47" s="120"/>
      <c r="U47" s="120"/>
      <c r="V47" s="120"/>
      <c r="W47" s="120"/>
    </row>
    <row r="48" spans="1:27" x14ac:dyDescent="0.2">
      <c r="B48" s="161"/>
      <c r="C48" s="154"/>
      <c r="D48" s="208">
        <f>BEGINBLAD!$D$40</f>
        <v>26</v>
      </c>
      <c r="E48" s="199"/>
      <c r="F48" s="200" t="s">
        <v>288</v>
      </c>
      <c r="G48" s="207">
        <f>H48/$D$49</f>
        <v>0</v>
      </c>
      <c r="H48" s="111">
        <f>COUNTIF($I$5:$I$40,"A-1+")</f>
        <v>0</v>
      </c>
      <c r="I48" s="111"/>
      <c r="J48" s="198" t="s">
        <v>289</v>
      </c>
      <c r="K48" s="198"/>
      <c r="L48" s="198"/>
      <c r="M48" s="222">
        <f>G48+G49+G50+G51+G52</f>
        <v>0.19230769230769232</v>
      </c>
      <c r="N48" s="222">
        <v>1</v>
      </c>
      <c r="O48" s="223"/>
      <c r="P48" s="141"/>
      <c r="Q48" s="116"/>
      <c r="R48" s="120"/>
      <c r="S48" s="120"/>
      <c r="T48" s="120"/>
      <c r="U48" s="120"/>
      <c r="V48" s="120"/>
      <c r="W48" s="120"/>
    </row>
    <row r="49" spans="2:23" x14ac:dyDescent="0.2">
      <c r="B49" s="161"/>
      <c r="C49" s="154"/>
      <c r="D49" s="205">
        <f>COUNTIF(H5:H40,"&gt;0")</f>
        <v>26</v>
      </c>
      <c r="E49" s="199"/>
      <c r="F49" s="200" t="s">
        <v>290</v>
      </c>
      <c r="G49" s="207">
        <f>H49/$D$49</f>
        <v>3.8461538461538464E-2</v>
      </c>
      <c r="H49" s="111">
        <f>COUNTIF($I$5:$I$40,"A-1")</f>
        <v>1</v>
      </c>
      <c r="I49" s="111"/>
      <c r="J49" s="198"/>
      <c r="K49" s="198"/>
      <c r="L49" s="198"/>
      <c r="M49" s="222"/>
      <c r="N49" s="222">
        <v>0.7</v>
      </c>
      <c r="O49" s="224"/>
      <c r="P49" s="153"/>
      <c r="Q49" s="116"/>
      <c r="R49" s="120"/>
      <c r="S49" s="120"/>
      <c r="T49" s="120"/>
      <c r="U49" s="120"/>
      <c r="V49" s="120"/>
      <c r="W49" s="120"/>
    </row>
    <row r="50" spans="2:23" x14ac:dyDescent="0.2">
      <c r="B50" s="161"/>
      <c r="C50" s="154"/>
      <c r="D50" s="201"/>
      <c r="E50" s="199"/>
      <c r="F50" s="202" t="s">
        <v>291</v>
      </c>
      <c r="G50" s="207">
        <f>(H50+I50)/$D$49</f>
        <v>0</v>
      </c>
      <c r="H50" s="111">
        <f>COUNTIF($I$5:$I$40,"A-2")</f>
        <v>0</v>
      </c>
      <c r="I50" s="111">
        <f>COUNTIF($I$5:$I$40,"B-2")</f>
        <v>0</v>
      </c>
      <c r="J50" s="198"/>
      <c r="K50" s="198"/>
      <c r="L50" s="198"/>
      <c r="M50" s="222"/>
      <c r="N50" s="222">
        <v>0.6</v>
      </c>
      <c r="O50" s="224"/>
      <c r="P50" s="153"/>
      <c r="Q50" s="116"/>
      <c r="R50" s="120"/>
      <c r="S50" s="120"/>
      <c r="T50" s="120"/>
      <c r="U50" s="120"/>
      <c r="V50" s="120"/>
      <c r="W50" s="120"/>
    </row>
    <row r="51" spans="2:23" x14ac:dyDescent="0.2">
      <c r="B51" s="161"/>
      <c r="C51" s="154"/>
      <c r="D51" s="201"/>
      <c r="E51" s="199"/>
      <c r="F51" s="200" t="s">
        <v>292</v>
      </c>
      <c r="G51" s="207">
        <f>H51/$D$49</f>
        <v>0.15384615384615385</v>
      </c>
      <c r="H51" s="111">
        <f>COUNTIF($I$5:$I$40,"B-3")</f>
        <v>4</v>
      </c>
      <c r="I51" s="111"/>
      <c r="J51" s="198"/>
      <c r="K51" s="198"/>
      <c r="L51" s="198"/>
      <c r="M51" s="222"/>
      <c r="N51" s="222">
        <f>$M$48</f>
        <v>0.19230769230769232</v>
      </c>
      <c r="O51" s="224"/>
      <c r="P51" s="153"/>
      <c r="Q51" s="116"/>
      <c r="R51" s="120"/>
      <c r="S51" s="120"/>
      <c r="T51" s="120"/>
      <c r="U51" s="120"/>
      <c r="V51" s="120"/>
      <c r="W51" s="120"/>
    </row>
    <row r="52" spans="2:23" x14ac:dyDescent="0.2">
      <c r="B52" s="161"/>
      <c r="C52" s="154"/>
      <c r="D52" s="201"/>
      <c r="E52" s="199"/>
      <c r="F52" s="200" t="s">
        <v>293</v>
      </c>
      <c r="G52" s="207">
        <f>H52/$D$49</f>
        <v>0</v>
      </c>
      <c r="H52" s="111">
        <f>COUNTIF($I$5:$I$40,"c-3")</f>
        <v>0</v>
      </c>
      <c r="I52" s="111"/>
      <c r="J52" s="198" t="s">
        <v>294</v>
      </c>
      <c r="K52" s="198"/>
      <c r="L52" s="198"/>
      <c r="M52" s="222">
        <f>G53+G54+G55+G57</f>
        <v>0.80769230769230771</v>
      </c>
      <c r="N52" s="225"/>
      <c r="O52" s="224"/>
      <c r="P52" s="153"/>
      <c r="Q52" s="116"/>
      <c r="R52" s="120"/>
      <c r="S52" s="120"/>
      <c r="T52" s="120"/>
      <c r="U52" s="120"/>
      <c r="V52" s="120"/>
      <c r="W52" s="120"/>
    </row>
    <row r="53" spans="2:23" x14ac:dyDescent="0.2">
      <c r="B53" s="161"/>
      <c r="C53" s="154"/>
      <c r="D53" s="201"/>
      <c r="E53" s="199"/>
      <c r="F53" s="202" t="s">
        <v>295</v>
      </c>
      <c r="G53" s="207">
        <f>H53/$D$49</f>
        <v>0.15384615384615385</v>
      </c>
      <c r="H53" s="111">
        <f>COUNTIF($I$5:$I$40,"c-4")</f>
        <v>4</v>
      </c>
      <c r="I53" s="208"/>
      <c r="J53" s="198"/>
      <c r="K53" s="198"/>
      <c r="L53" s="198"/>
      <c r="M53" s="222"/>
      <c r="N53" s="225"/>
      <c r="O53" s="224"/>
      <c r="P53" s="153"/>
      <c r="Q53" s="116"/>
      <c r="R53" s="120"/>
      <c r="S53" s="120"/>
      <c r="T53" s="120"/>
      <c r="U53" s="120"/>
      <c r="V53" s="120"/>
      <c r="W53" s="120"/>
    </row>
    <row r="54" spans="2:23" x14ac:dyDescent="0.2">
      <c r="B54" s="161"/>
      <c r="C54" s="154"/>
      <c r="D54" s="201"/>
      <c r="E54" s="199"/>
      <c r="F54" s="199" t="s">
        <v>296</v>
      </c>
      <c r="G54" s="207">
        <f>H54/$D$49</f>
        <v>7.6923076923076927E-2</v>
      </c>
      <c r="H54" s="111">
        <f>COUNTIF($I$5:$I$40,"d-4")</f>
        <v>2</v>
      </c>
      <c r="I54" s="208"/>
      <c r="J54" s="198"/>
      <c r="K54" s="198"/>
      <c r="L54" s="198"/>
      <c r="M54" s="222"/>
      <c r="N54" s="225"/>
      <c r="O54" s="224"/>
      <c r="P54" s="153"/>
      <c r="Q54" s="116"/>
      <c r="R54" s="120"/>
      <c r="S54" s="120"/>
      <c r="T54" s="120"/>
      <c r="U54" s="120"/>
      <c r="V54" s="120"/>
      <c r="W54" s="120"/>
    </row>
    <row r="55" spans="2:23" x14ac:dyDescent="0.2">
      <c r="B55" s="161"/>
      <c r="C55" s="154"/>
      <c r="D55" s="201"/>
      <c r="E55" s="199"/>
      <c r="F55" s="200" t="s">
        <v>297</v>
      </c>
      <c r="G55" s="207">
        <f>(H55+I55)/$D$49</f>
        <v>0.42307692307692307</v>
      </c>
      <c r="H55" s="111">
        <f>COUNTIF($I$5:$I$40,"d-5")</f>
        <v>5</v>
      </c>
      <c r="I55" s="111">
        <f>COUNTIF($I$5:$I$40,"e-5")</f>
        <v>6</v>
      </c>
      <c r="J55" s="198"/>
      <c r="K55" s="198"/>
      <c r="L55" s="198"/>
      <c r="M55" s="222"/>
      <c r="N55" s="225"/>
      <c r="O55" s="224"/>
      <c r="P55" s="153"/>
      <c r="Q55" s="116"/>
      <c r="R55" s="120"/>
      <c r="S55" s="120"/>
      <c r="T55" s="120"/>
      <c r="U55" s="120"/>
      <c r="V55" s="120"/>
      <c r="W55" s="120"/>
    </row>
    <row r="56" spans="2:23" x14ac:dyDescent="0.2">
      <c r="B56" s="161"/>
      <c r="C56" s="154"/>
      <c r="D56" s="201"/>
      <c r="E56" s="199"/>
      <c r="F56" s="200"/>
      <c r="G56" s="207"/>
      <c r="H56" s="111"/>
      <c r="I56" s="111"/>
      <c r="J56" s="198" t="s">
        <v>50</v>
      </c>
      <c r="K56" s="198"/>
      <c r="L56" s="198"/>
      <c r="M56" s="222">
        <f>M48+M52</f>
        <v>1</v>
      </c>
      <c r="N56" s="1209"/>
      <c r="O56" s="224"/>
      <c r="P56" s="153"/>
      <c r="Q56" s="116"/>
      <c r="R56" s="120"/>
      <c r="S56" s="120"/>
      <c r="T56" s="120"/>
      <c r="U56" s="120"/>
      <c r="V56" s="120"/>
      <c r="W56" s="120"/>
    </row>
    <row r="57" spans="2:23" x14ac:dyDescent="0.2">
      <c r="B57" s="161"/>
      <c r="C57" s="154"/>
      <c r="D57" s="201"/>
      <c r="E57" s="199"/>
      <c r="F57" s="203" t="s">
        <v>298</v>
      </c>
      <c r="G57" s="207">
        <f>H57/$D$49</f>
        <v>0.15384615384615385</v>
      </c>
      <c r="H57" s="111">
        <f>COUNTIF($I$5:$I$40,"e-5-")</f>
        <v>4</v>
      </c>
      <c r="I57" s="111"/>
      <c r="J57" s="198"/>
      <c r="K57" s="198"/>
      <c r="L57" s="198"/>
      <c r="M57" s="222"/>
      <c r="N57" s="1209"/>
      <c r="O57" s="224"/>
      <c r="P57" s="153"/>
      <c r="Q57" s="116"/>
      <c r="R57" s="120"/>
      <c r="S57" s="120"/>
      <c r="T57" s="120"/>
      <c r="U57" s="120"/>
      <c r="V57" s="120"/>
      <c r="W57" s="120"/>
    </row>
    <row r="58" spans="2:23" x14ac:dyDescent="0.2">
      <c r="B58" s="161"/>
      <c r="C58" s="145"/>
      <c r="D58" s="201"/>
      <c r="E58" s="199"/>
      <c r="F58" s="200" t="s">
        <v>50</v>
      </c>
      <c r="G58" s="204">
        <f>SUM(G48:G57)</f>
        <v>1</v>
      </c>
      <c r="H58" s="693">
        <f>SUM(H48:H57)</f>
        <v>20</v>
      </c>
      <c r="I58" s="693">
        <f>SUM(I48:I57)</f>
        <v>6</v>
      </c>
      <c r="J58" s="208"/>
      <c r="K58" s="208"/>
      <c r="L58" s="223"/>
      <c r="M58" s="223"/>
      <c r="N58" s="223"/>
      <c r="O58" s="223"/>
      <c r="P58" s="151"/>
      <c r="Q58" s="116"/>
      <c r="R58" s="120"/>
      <c r="S58" s="120"/>
      <c r="T58" s="120"/>
      <c r="U58" s="120"/>
      <c r="V58" s="120"/>
      <c r="W58" s="120"/>
    </row>
    <row r="59" spans="2:23" x14ac:dyDescent="0.2">
      <c r="B59" s="161"/>
      <c r="C59" s="145"/>
      <c r="D59" s="201"/>
      <c r="E59" s="199"/>
      <c r="F59" s="196"/>
      <c r="G59" s="196"/>
      <c r="H59" s="208">
        <f>SUM(H58+I58)</f>
        <v>26</v>
      </c>
      <c r="I59" s="208"/>
      <c r="J59" s="208"/>
      <c r="K59" s="208"/>
      <c r="L59" s="223"/>
      <c r="M59" s="223"/>
      <c r="N59" s="223"/>
      <c r="O59" s="223"/>
      <c r="P59" s="151"/>
      <c r="Q59" s="116"/>
      <c r="R59" s="120"/>
      <c r="S59" s="120"/>
      <c r="T59" s="120"/>
      <c r="U59" s="120"/>
      <c r="V59" s="120"/>
      <c r="W59" s="120"/>
    </row>
    <row r="60" spans="2:23" x14ac:dyDescent="0.2">
      <c r="B60" s="161"/>
      <c r="C60" s="145"/>
      <c r="D60" s="205"/>
      <c r="E60" s="196"/>
      <c r="F60" s="199"/>
      <c r="G60" s="207"/>
      <c r="H60" s="197"/>
      <c r="I60" s="197"/>
      <c r="J60" s="197"/>
      <c r="K60" s="197"/>
      <c r="L60" s="223"/>
      <c r="M60" s="223"/>
      <c r="N60" s="223"/>
      <c r="O60" s="223"/>
      <c r="P60" s="151"/>
      <c r="Q60" s="116"/>
      <c r="R60" s="120"/>
      <c r="S60" s="120"/>
      <c r="T60" s="120"/>
      <c r="U60" s="120"/>
      <c r="V60" s="120"/>
      <c r="W60" s="120"/>
    </row>
    <row r="61" spans="2:23" x14ac:dyDescent="0.2">
      <c r="B61" s="161"/>
      <c r="C61" s="145"/>
      <c r="D61" s="205"/>
      <c r="E61" s="196"/>
      <c r="F61" s="206"/>
      <c r="G61" s="207"/>
      <c r="H61" s="197"/>
      <c r="I61" s="197"/>
      <c r="J61" s="197"/>
      <c r="K61" s="197"/>
      <c r="L61" s="223"/>
      <c r="M61" s="223"/>
      <c r="N61" s="223"/>
      <c r="O61" s="223"/>
      <c r="P61" s="151"/>
      <c r="Q61" s="116"/>
      <c r="R61" s="120"/>
      <c r="S61" s="120"/>
      <c r="T61" s="120"/>
      <c r="U61" s="120"/>
      <c r="V61" s="120"/>
      <c r="W61" s="120"/>
    </row>
    <row r="62" spans="2:23" x14ac:dyDescent="0.2">
      <c r="B62" s="162"/>
      <c r="C62" s="169"/>
      <c r="D62" s="144"/>
      <c r="E62" s="145"/>
      <c r="F62" s="170"/>
      <c r="G62" s="171"/>
      <c r="H62" s="142"/>
      <c r="I62" s="142"/>
      <c r="J62" s="142"/>
      <c r="K62" s="142"/>
      <c r="L62" s="141"/>
      <c r="M62" s="141"/>
      <c r="N62" s="141"/>
      <c r="O62" s="141"/>
      <c r="P62" s="151"/>
      <c r="Q62" s="116"/>
      <c r="R62" s="120"/>
      <c r="S62" s="120"/>
      <c r="T62" s="120"/>
      <c r="U62" s="120"/>
      <c r="V62" s="120"/>
      <c r="W62" s="120"/>
    </row>
    <row r="63" spans="2:23" x14ac:dyDescent="0.2">
      <c r="B63" s="161"/>
      <c r="C63" s="145"/>
      <c r="D63" s="144"/>
      <c r="E63" s="145"/>
      <c r="F63" s="145"/>
      <c r="G63" s="145"/>
      <c r="H63" s="142"/>
      <c r="I63" s="142"/>
      <c r="J63" s="142"/>
      <c r="K63" s="142"/>
      <c r="L63" s="141"/>
      <c r="M63" s="141"/>
      <c r="N63" s="141"/>
      <c r="O63" s="141"/>
      <c r="P63" s="151"/>
      <c r="Q63" s="116"/>
      <c r="R63" s="120"/>
      <c r="S63" s="120"/>
      <c r="T63" s="120"/>
      <c r="U63" s="120"/>
      <c r="V63" s="120"/>
      <c r="W63" s="120"/>
    </row>
    <row r="64" spans="2:23" x14ac:dyDescent="0.2">
      <c r="B64" s="161"/>
      <c r="C64" s="143"/>
      <c r="D64" s="144"/>
      <c r="E64" s="145"/>
      <c r="F64" s="145"/>
      <c r="G64" s="145"/>
      <c r="H64" s="142"/>
      <c r="I64" s="142"/>
      <c r="J64" s="142"/>
      <c r="K64" s="142"/>
      <c r="L64" s="143"/>
      <c r="M64" s="141"/>
      <c r="N64" s="141"/>
      <c r="O64" s="141"/>
      <c r="P64" s="141"/>
      <c r="Q64" s="116"/>
      <c r="R64" s="120"/>
      <c r="S64" s="120"/>
      <c r="T64" s="120"/>
      <c r="U64" s="120"/>
      <c r="V64" s="120"/>
      <c r="W64" s="120"/>
    </row>
    <row r="65" spans="3:24" x14ac:dyDescent="0.2">
      <c r="C65" s="143"/>
      <c r="D65" s="144"/>
      <c r="E65" s="145"/>
      <c r="F65" s="145"/>
      <c r="G65" s="145"/>
      <c r="H65" s="142"/>
      <c r="I65" s="142"/>
      <c r="J65" s="142"/>
      <c r="K65" s="142"/>
      <c r="L65" s="143"/>
      <c r="M65" s="141"/>
      <c r="N65" s="141"/>
      <c r="O65" s="141"/>
      <c r="P65" s="141"/>
      <c r="Q65" s="116"/>
      <c r="R65" s="120"/>
      <c r="S65" s="120"/>
      <c r="T65" s="120"/>
      <c r="U65" s="120"/>
      <c r="V65" s="120"/>
      <c r="W65" s="120"/>
    </row>
    <row r="66" spans="3:24" x14ac:dyDescent="0.2">
      <c r="C66" s="143"/>
      <c r="D66" s="144"/>
      <c r="E66" s="145"/>
      <c r="F66" s="145"/>
      <c r="G66" s="145"/>
      <c r="H66" s="142"/>
      <c r="I66" s="142"/>
      <c r="J66" s="142"/>
      <c r="K66" s="142"/>
      <c r="L66" s="143"/>
      <c r="M66" s="141"/>
      <c r="N66" s="155"/>
      <c r="O66" s="141"/>
      <c r="P66" s="141"/>
      <c r="Q66" s="116"/>
      <c r="R66" s="120"/>
      <c r="S66" s="120"/>
      <c r="T66" s="120"/>
      <c r="U66" s="120"/>
      <c r="V66" s="120"/>
      <c r="W66" s="120"/>
      <c r="X66" s="146"/>
    </row>
    <row r="67" spans="3:24" ht="20.25" x14ac:dyDescent="0.2">
      <c r="C67" s="145"/>
      <c r="D67" s="154"/>
      <c r="E67" s="145"/>
      <c r="F67" s="145"/>
      <c r="G67" s="145"/>
      <c r="H67" s="142"/>
      <c r="I67" s="142"/>
      <c r="J67" s="156"/>
      <c r="K67" s="142"/>
      <c r="L67" s="145"/>
      <c r="M67" s="141"/>
      <c r="N67" s="141"/>
      <c r="O67" s="155"/>
      <c r="P67" s="155"/>
      <c r="Q67" s="116"/>
      <c r="R67" s="117"/>
      <c r="S67" s="117"/>
      <c r="T67" s="117"/>
      <c r="U67" s="118"/>
      <c r="V67" s="118"/>
      <c r="W67" s="118"/>
      <c r="X67" s="119"/>
    </row>
    <row r="68" spans="3:24" ht="20.25" x14ac:dyDescent="0.2">
      <c r="C68" s="145"/>
      <c r="D68" s="154"/>
      <c r="E68" s="145"/>
      <c r="F68" s="145"/>
      <c r="G68" s="145"/>
      <c r="H68" s="142"/>
      <c r="I68" s="142"/>
      <c r="J68" s="156"/>
      <c r="K68" s="142"/>
      <c r="L68" s="145"/>
      <c r="M68" s="141"/>
      <c r="N68" s="141"/>
      <c r="O68" s="141"/>
      <c r="P68" s="141"/>
      <c r="Q68" s="116"/>
      <c r="R68" s="120"/>
      <c r="S68" s="120"/>
      <c r="T68" s="120"/>
      <c r="U68" s="120"/>
      <c r="V68" s="120"/>
      <c r="W68" s="120"/>
    </row>
    <row r="69" spans="3:24" ht="20.25" x14ac:dyDescent="0.2">
      <c r="C69" s="143"/>
      <c r="D69" s="154"/>
      <c r="E69" s="143"/>
      <c r="F69" s="143"/>
      <c r="G69" s="143"/>
      <c r="H69" s="142"/>
      <c r="I69" s="142"/>
      <c r="J69" s="156"/>
      <c r="K69" s="142"/>
      <c r="L69" s="143"/>
      <c r="M69" s="141"/>
      <c r="N69" s="141"/>
      <c r="O69" s="141"/>
      <c r="P69" s="141"/>
      <c r="Q69" s="116"/>
      <c r="R69" s="120"/>
      <c r="S69" s="120"/>
      <c r="T69" s="120"/>
      <c r="U69" s="120"/>
      <c r="V69" s="120"/>
      <c r="W69" s="120"/>
    </row>
    <row r="70" spans="3:24" ht="20.25" x14ac:dyDescent="0.2">
      <c r="C70" s="143"/>
      <c r="D70" s="154"/>
      <c r="E70" s="143"/>
      <c r="F70" s="143"/>
      <c r="G70" s="143"/>
      <c r="H70" s="142"/>
      <c r="I70" s="142"/>
      <c r="J70" s="156"/>
      <c r="K70" s="142"/>
      <c r="L70" s="143"/>
      <c r="M70" s="141"/>
      <c r="N70" s="141"/>
      <c r="O70" s="141"/>
      <c r="P70" s="141"/>
      <c r="Q70" s="116"/>
      <c r="R70" s="120"/>
      <c r="S70" s="120"/>
      <c r="T70" s="120"/>
      <c r="U70" s="120"/>
      <c r="V70" s="120"/>
      <c r="W70" s="120"/>
    </row>
    <row r="71" spans="3:24" ht="20.25" x14ac:dyDescent="0.2">
      <c r="C71" s="143"/>
      <c r="D71" s="154"/>
      <c r="E71" s="143"/>
      <c r="F71" s="143"/>
      <c r="G71" s="143"/>
      <c r="H71" s="142"/>
      <c r="I71" s="142"/>
      <c r="J71" s="156"/>
      <c r="K71" s="142"/>
      <c r="L71" s="143"/>
      <c r="M71" s="141"/>
      <c r="N71" s="141"/>
      <c r="O71" s="141"/>
      <c r="P71" s="141"/>
      <c r="Q71" s="116"/>
      <c r="R71" s="120"/>
      <c r="S71" s="120"/>
      <c r="T71" s="120"/>
      <c r="U71" s="120"/>
      <c r="V71" s="120"/>
      <c r="W71" s="120"/>
    </row>
    <row r="72" spans="3:24" x14ac:dyDescent="0.2">
      <c r="C72" s="143"/>
      <c r="D72" s="144"/>
      <c r="E72" s="143"/>
      <c r="F72" s="143"/>
      <c r="G72" s="143"/>
      <c r="H72" s="142"/>
      <c r="I72" s="142"/>
      <c r="J72" s="142"/>
      <c r="K72" s="142"/>
      <c r="L72" s="143"/>
      <c r="M72" s="141"/>
      <c r="N72" s="141"/>
      <c r="O72" s="141"/>
      <c r="P72" s="141"/>
      <c r="Q72" s="116"/>
      <c r="R72" s="120"/>
      <c r="S72" s="120"/>
      <c r="T72" s="120"/>
      <c r="U72" s="120"/>
      <c r="V72" s="120"/>
      <c r="W72" s="120"/>
    </row>
    <row r="73" spans="3:24" x14ac:dyDescent="0.2">
      <c r="C73" s="143"/>
      <c r="D73" s="144"/>
      <c r="E73" s="143"/>
      <c r="F73" s="143"/>
      <c r="G73" s="143"/>
      <c r="H73" s="142"/>
      <c r="I73" s="142"/>
      <c r="J73" s="142"/>
      <c r="K73" s="142"/>
      <c r="L73" s="143"/>
      <c r="M73" s="141"/>
      <c r="N73" s="141"/>
      <c r="O73" s="141"/>
      <c r="P73" s="141"/>
      <c r="Q73" s="116"/>
      <c r="R73" s="120"/>
      <c r="S73" s="120"/>
      <c r="T73" s="120"/>
      <c r="U73" s="120"/>
      <c r="V73" s="120"/>
      <c r="W73" s="120"/>
    </row>
    <row r="74" spans="3:24" x14ac:dyDescent="0.2">
      <c r="C74" s="143"/>
      <c r="D74" s="144"/>
      <c r="E74" s="143"/>
      <c r="F74" s="143"/>
      <c r="G74" s="143"/>
      <c r="H74" s="142"/>
      <c r="I74" s="142"/>
      <c r="J74" s="142"/>
      <c r="K74" s="142"/>
      <c r="L74" s="143"/>
      <c r="M74" s="141"/>
      <c r="N74" s="141"/>
      <c r="O74" s="141"/>
      <c r="P74" s="141"/>
      <c r="Q74" s="116"/>
      <c r="R74" s="120"/>
      <c r="S74" s="120"/>
      <c r="T74" s="120"/>
      <c r="U74" s="120"/>
      <c r="V74" s="120"/>
      <c r="W74" s="120"/>
    </row>
    <row r="75" spans="3:24" x14ac:dyDescent="0.2">
      <c r="C75" s="143"/>
      <c r="D75" s="144"/>
      <c r="E75" s="143"/>
      <c r="F75" s="143"/>
      <c r="G75" s="143"/>
      <c r="H75" s="142"/>
      <c r="I75" s="142"/>
      <c r="J75" s="142"/>
      <c r="K75" s="142"/>
      <c r="L75" s="143"/>
      <c r="M75" s="141"/>
      <c r="N75" s="141"/>
      <c r="O75" s="141"/>
      <c r="P75" s="141"/>
      <c r="Q75" s="116"/>
      <c r="R75" s="120"/>
      <c r="S75" s="120"/>
      <c r="T75" s="120"/>
      <c r="U75" s="120"/>
      <c r="V75" s="120"/>
      <c r="W75" s="120"/>
    </row>
    <row r="76" spans="3:24" x14ac:dyDescent="0.2">
      <c r="C76" s="143"/>
      <c r="D76" s="144"/>
      <c r="E76" s="143"/>
      <c r="F76" s="143"/>
      <c r="G76" s="143"/>
      <c r="H76" s="142"/>
      <c r="I76" s="142"/>
      <c r="J76" s="142"/>
      <c r="K76" s="142"/>
      <c r="L76" s="143"/>
      <c r="M76" s="141"/>
      <c r="N76" s="141"/>
      <c r="O76" s="141"/>
      <c r="P76" s="141"/>
      <c r="Q76" s="116"/>
      <c r="R76" s="120"/>
      <c r="S76" s="120"/>
      <c r="T76" s="120"/>
      <c r="U76" s="120"/>
      <c r="V76" s="120"/>
      <c r="W76" s="120"/>
    </row>
    <row r="77" spans="3:24" x14ac:dyDescent="0.2">
      <c r="C77" s="143"/>
      <c r="D77" s="144"/>
      <c r="E77" s="143"/>
      <c r="F77" s="143"/>
      <c r="G77" s="143"/>
      <c r="H77" s="142"/>
      <c r="I77" s="142"/>
      <c r="J77" s="142"/>
      <c r="K77" s="142"/>
      <c r="L77" s="143"/>
      <c r="M77" s="141"/>
      <c r="N77" s="141"/>
      <c r="O77" s="141"/>
      <c r="P77" s="141"/>
      <c r="Q77" s="116"/>
      <c r="R77" s="120"/>
      <c r="S77" s="120"/>
      <c r="T77" s="120"/>
      <c r="U77" s="120"/>
      <c r="V77" s="120"/>
      <c r="W77" s="120"/>
    </row>
    <row r="78" spans="3:24" x14ac:dyDescent="0.2">
      <c r="C78" s="143"/>
      <c r="D78" s="144"/>
      <c r="E78" s="143"/>
      <c r="F78" s="143"/>
      <c r="G78" s="143"/>
      <c r="H78" s="142"/>
      <c r="I78" s="142"/>
      <c r="J78" s="142"/>
      <c r="K78" s="142"/>
      <c r="L78" s="143"/>
      <c r="M78" s="141"/>
      <c r="N78" s="141"/>
      <c r="O78" s="141"/>
      <c r="P78" s="141"/>
      <c r="Q78" s="116"/>
      <c r="R78" s="120"/>
      <c r="S78" s="120"/>
      <c r="T78" s="120"/>
      <c r="U78" s="120"/>
      <c r="V78" s="120"/>
      <c r="W78" s="120"/>
    </row>
    <row r="79" spans="3:24" x14ac:dyDescent="0.2">
      <c r="C79" s="143"/>
      <c r="D79" s="144"/>
      <c r="E79" s="143"/>
      <c r="F79" s="143"/>
      <c r="G79" s="143"/>
      <c r="H79" s="142"/>
      <c r="I79" s="142"/>
      <c r="J79" s="142"/>
      <c r="K79" s="142"/>
      <c r="L79" s="143"/>
      <c r="M79" s="141"/>
      <c r="N79" s="141"/>
      <c r="O79" s="141"/>
      <c r="P79" s="141"/>
      <c r="Q79" s="116"/>
      <c r="R79" s="120"/>
      <c r="S79" s="120"/>
      <c r="T79" s="120"/>
      <c r="U79" s="120"/>
      <c r="V79" s="120"/>
      <c r="W79" s="120"/>
    </row>
    <row r="80" spans="3:24" x14ac:dyDescent="0.2">
      <c r="C80" s="143"/>
      <c r="D80" s="144"/>
      <c r="E80" s="143"/>
      <c r="F80" s="143"/>
      <c r="G80" s="143"/>
      <c r="H80" s="142"/>
      <c r="I80" s="142"/>
      <c r="J80" s="142"/>
      <c r="K80" s="142"/>
      <c r="L80" s="143"/>
      <c r="M80" s="141"/>
      <c r="N80" s="141"/>
      <c r="O80" s="141"/>
      <c r="P80" s="141"/>
      <c r="Q80" s="116"/>
      <c r="R80" s="120"/>
      <c r="S80" s="120"/>
      <c r="T80" s="120"/>
      <c r="U80" s="120"/>
      <c r="V80" s="120"/>
      <c r="W80" s="120"/>
    </row>
    <row r="81" spans="3:23" x14ac:dyDescent="0.2">
      <c r="C81" s="143"/>
      <c r="D81" s="144"/>
      <c r="E81" s="143"/>
      <c r="F81" s="143"/>
      <c r="G81" s="143"/>
      <c r="H81" s="142"/>
      <c r="I81" s="142"/>
      <c r="J81" s="142"/>
      <c r="K81" s="142"/>
      <c r="L81" s="143"/>
      <c r="M81" s="141"/>
      <c r="N81" s="141"/>
      <c r="O81" s="141"/>
      <c r="P81" s="141"/>
      <c r="Q81" s="116"/>
      <c r="R81" s="120"/>
      <c r="S81" s="120"/>
      <c r="T81" s="120"/>
      <c r="U81" s="120"/>
      <c r="V81" s="120"/>
      <c r="W81" s="120"/>
    </row>
    <row r="82" spans="3:23" x14ac:dyDescent="0.2">
      <c r="C82" s="143"/>
      <c r="D82" s="144"/>
      <c r="E82" s="143"/>
      <c r="F82" s="143"/>
      <c r="G82" s="143"/>
      <c r="H82" s="142"/>
      <c r="I82" s="142"/>
      <c r="J82" s="142"/>
      <c r="K82" s="142"/>
      <c r="L82" s="143"/>
      <c r="M82" s="141"/>
      <c r="N82" s="141"/>
      <c r="O82" s="141"/>
      <c r="P82" s="141"/>
      <c r="Q82" s="116"/>
      <c r="R82" s="120"/>
      <c r="S82" s="120"/>
      <c r="T82" s="120"/>
      <c r="U82" s="120"/>
      <c r="V82" s="120"/>
      <c r="W82" s="120"/>
    </row>
    <row r="83" spans="3:23" x14ac:dyDescent="0.2">
      <c r="C83" s="143"/>
      <c r="D83" s="144"/>
      <c r="E83" s="143"/>
      <c r="F83" s="143"/>
      <c r="G83" s="143"/>
      <c r="H83" s="142"/>
      <c r="I83" s="142"/>
      <c r="J83" s="142"/>
      <c r="K83" s="142"/>
      <c r="L83" s="143"/>
      <c r="M83" s="141"/>
      <c r="N83" s="141"/>
      <c r="O83" s="141"/>
      <c r="P83" s="141"/>
      <c r="Q83" s="116"/>
      <c r="R83" s="120"/>
      <c r="S83" s="120"/>
      <c r="T83" s="120"/>
      <c r="U83" s="120"/>
      <c r="V83" s="120"/>
      <c r="W83" s="120"/>
    </row>
    <row r="84" spans="3:23" x14ac:dyDescent="0.2">
      <c r="C84" s="143"/>
      <c r="D84" s="144"/>
      <c r="E84" s="143"/>
      <c r="F84" s="143"/>
      <c r="G84" s="143"/>
      <c r="H84" s="142"/>
      <c r="I84" s="142"/>
      <c r="J84" s="142"/>
      <c r="K84" s="142"/>
      <c r="L84" s="143"/>
      <c r="M84" s="141"/>
      <c r="N84" s="141"/>
      <c r="O84" s="141"/>
      <c r="P84" s="141"/>
      <c r="Q84" s="116"/>
      <c r="R84" s="120"/>
      <c r="S84" s="120"/>
      <c r="T84" s="120"/>
      <c r="U84" s="120"/>
      <c r="V84" s="120"/>
      <c r="W84" s="120"/>
    </row>
    <row r="85" spans="3:23" x14ac:dyDescent="0.2">
      <c r="C85" s="143"/>
      <c r="D85" s="152"/>
      <c r="E85" s="157"/>
      <c r="F85" s="157"/>
      <c r="G85" s="157"/>
      <c r="H85" s="158"/>
      <c r="I85" s="158"/>
      <c r="J85" s="158"/>
      <c r="K85" s="158"/>
      <c r="L85" s="143"/>
      <c r="M85" s="141"/>
      <c r="N85" s="141"/>
      <c r="O85" s="141"/>
      <c r="P85" s="141"/>
      <c r="Q85" s="116"/>
      <c r="R85" s="120"/>
      <c r="S85" s="120"/>
      <c r="T85" s="120"/>
      <c r="U85" s="120"/>
      <c r="V85" s="120"/>
      <c r="W85" s="120"/>
    </row>
    <row r="86" spans="3:23" x14ac:dyDescent="0.2">
      <c r="M86" s="89"/>
      <c r="N86" s="89"/>
      <c r="O86" s="89"/>
      <c r="P86" s="89"/>
      <c r="Q86" s="116"/>
      <c r="R86" s="120"/>
      <c r="S86" s="120"/>
      <c r="T86" s="120"/>
      <c r="U86" s="120"/>
      <c r="V86" s="120"/>
      <c r="W86" s="120"/>
    </row>
    <row r="87" spans="3:23" x14ac:dyDescent="0.2">
      <c r="M87" s="89"/>
      <c r="N87" s="89"/>
      <c r="O87" s="89"/>
      <c r="P87" s="89"/>
      <c r="Q87" s="116"/>
      <c r="R87" s="120"/>
      <c r="S87" s="120"/>
      <c r="T87" s="120"/>
      <c r="U87" s="120"/>
      <c r="V87" s="120"/>
      <c r="W87" s="120"/>
    </row>
    <row r="88" spans="3:23" x14ac:dyDescent="0.2">
      <c r="M88" s="89"/>
      <c r="N88" s="89"/>
      <c r="O88" s="89"/>
      <c r="P88" s="89"/>
      <c r="Q88" s="89"/>
      <c r="R88" s="120"/>
      <c r="S88" s="120"/>
      <c r="T88" s="120"/>
      <c r="U88" s="120"/>
      <c r="V88" s="120"/>
      <c r="W88" s="120"/>
    </row>
    <row r="89" spans="3:23" x14ac:dyDescent="0.2">
      <c r="M89" s="89"/>
      <c r="N89" s="89"/>
      <c r="O89" s="89"/>
      <c r="P89" s="89"/>
      <c r="Q89" s="89"/>
      <c r="R89" s="120"/>
      <c r="S89" s="120"/>
      <c r="T89" s="120"/>
      <c r="U89" s="120"/>
      <c r="V89" s="120"/>
      <c r="W89" s="120"/>
    </row>
    <row r="90" spans="3:23" x14ac:dyDescent="0.2">
      <c r="M90" s="89"/>
      <c r="N90" s="89"/>
      <c r="O90" s="89"/>
      <c r="P90" s="89"/>
      <c r="Q90" s="89"/>
      <c r="R90" s="120"/>
      <c r="S90" s="120"/>
      <c r="T90" s="120"/>
      <c r="U90" s="120"/>
      <c r="V90" s="120"/>
      <c r="W90" s="120"/>
    </row>
    <row r="91" spans="3:23" x14ac:dyDescent="0.2">
      <c r="M91" s="89"/>
      <c r="N91" s="89"/>
      <c r="O91" s="89"/>
      <c r="P91" s="89"/>
      <c r="Q91" s="89"/>
      <c r="R91" s="120"/>
      <c r="S91" s="120"/>
      <c r="T91" s="120"/>
      <c r="U91" s="120"/>
      <c r="V91" s="120"/>
      <c r="W91" s="120"/>
    </row>
    <row r="92" spans="3:23" x14ac:dyDescent="0.2">
      <c r="R92" s="146"/>
      <c r="S92" s="146"/>
      <c r="T92" s="146"/>
      <c r="U92" s="146"/>
      <c r="V92" s="146"/>
      <c r="W92" s="146"/>
    </row>
    <row r="93" spans="3:23" x14ac:dyDescent="0.2">
      <c r="R93" s="146"/>
      <c r="S93" s="146"/>
      <c r="T93" s="146"/>
      <c r="U93" s="146"/>
      <c r="V93" s="146"/>
      <c r="W93" s="146"/>
    </row>
    <row r="94" spans="3:23" x14ac:dyDescent="0.2">
      <c r="R94" s="146"/>
      <c r="S94" s="146"/>
      <c r="T94" s="146"/>
      <c r="U94" s="146"/>
      <c r="V94" s="146"/>
      <c r="W94" s="146"/>
    </row>
    <row r="95" spans="3:23" x14ac:dyDescent="0.2">
      <c r="R95" s="146"/>
      <c r="S95" s="146"/>
      <c r="T95" s="146"/>
      <c r="U95" s="146"/>
      <c r="V95" s="146"/>
      <c r="W95" s="146"/>
    </row>
    <row r="96" spans="3:23" x14ac:dyDescent="0.2">
      <c r="R96" s="146"/>
      <c r="S96" s="146"/>
      <c r="T96" s="146"/>
      <c r="U96" s="146"/>
      <c r="V96" s="146"/>
      <c r="W96" s="146"/>
    </row>
    <row r="97" spans="18:23" x14ac:dyDescent="0.2">
      <c r="R97" s="146"/>
      <c r="S97" s="146"/>
      <c r="T97" s="146"/>
      <c r="U97" s="146"/>
      <c r="V97" s="146"/>
      <c r="W97" s="146"/>
    </row>
    <row r="98" spans="18:23" x14ac:dyDescent="0.2">
      <c r="R98" s="146"/>
      <c r="S98" s="146"/>
      <c r="T98" s="146"/>
      <c r="U98" s="146"/>
      <c r="V98" s="146"/>
      <c r="W98" s="146"/>
    </row>
    <row r="99" spans="18:23" x14ac:dyDescent="0.2">
      <c r="R99" s="146"/>
      <c r="S99" s="146"/>
      <c r="T99" s="146"/>
      <c r="U99" s="146"/>
      <c r="V99" s="146"/>
      <c r="W99" s="146"/>
    </row>
    <row r="100" spans="18:23" x14ac:dyDescent="0.2">
      <c r="R100" s="146"/>
      <c r="S100" s="146"/>
      <c r="T100" s="146"/>
      <c r="U100" s="146"/>
      <c r="V100" s="146"/>
      <c r="W100" s="146"/>
    </row>
    <row r="101" spans="18:23" x14ac:dyDescent="0.2">
      <c r="R101" s="146"/>
      <c r="S101" s="146"/>
      <c r="T101" s="146"/>
      <c r="U101" s="146"/>
      <c r="V101" s="146"/>
      <c r="W101" s="146"/>
    </row>
    <row r="102" spans="18:23" x14ac:dyDescent="0.2">
      <c r="R102" s="146"/>
      <c r="S102" s="146"/>
      <c r="T102" s="146"/>
      <c r="U102" s="146"/>
      <c r="V102" s="146"/>
      <c r="W102" s="146"/>
    </row>
    <row r="103" spans="18:23" x14ac:dyDescent="0.2">
      <c r="R103" s="146"/>
      <c r="S103" s="146"/>
      <c r="T103" s="146"/>
      <c r="U103" s="146"/>
      <c r="V103" s="146"/>
      <c r="W103" s="146"/>
    </row>
    <row r="104" spans="18:23" x14ac:dyDescent="0.2">
      <c r="R104" s="146"/>
      <c r="S104" s="146"/>
      <c r="T104" s="146"/>
      <c r="U104" s="146"/>
      <c r="V104" s="146"/>
      <c r="W104" s="146"/>
    </row>
    <row r="105" spans="18:23" x14ac:dyDescent="0.2">
      <c r="R105" s="146"/>
      <c r="S105" s="146"/>
      <c r="T105" s="146"/>
      <c r="U105" s="146"/>
      <c r="V105" s="146"/>
      <c r="W105" s="146"/>
    </row>
    <row r="106" spans="18:23" x14ac:dyDescent="0.2">
      <c r="R106" s="146"/>
      <c r="S106" s="146"/>
      <c r="T106" s="146"/>
      <c r="U106" s="146"/>
      <c r="V106" s="146"/>
      <c r="W106" s="146"/>
    </row>
    <row r="107" spans="18:23" x14ac:dyDescent="0.2">
      <c r="R107" s="146"/>
      <c r="S107" s="146"/>
      <c r="T107" s="146"/>
      <c r="U107" s="146"/>
      <c r="V107" s="146"/>
      <c r="W107" s="146"/>
    </row>
    <row r="108" spans="18:23" x14ac:dyDescent="0.2">
      <c r="R108" s="146"/>
      <c r="S108" s="146"/>
      <c r="T108" s="146"/>
      <c r="U108" s="146"/>
      <c r="V108" s="146"/>
      <c r="W108" s="146"/>
    </row>
    <row r="109" spans="18:23" x14ac:dyDescent="0.2">
      <c r="R109" s="146"/>
      <c r="S109" s="146"/>
      <c r="T109" s="146"/>
      <c r="U109" s="146"/>
      <c r="V109" s="146"/>
      <c r="W109" s="146"/>
    </row>
    <row r="110" spans="18:23" x14ac:dyDescent="0.2">
      <c r="R110" s="146"/>
      <c r="S110" s="146"/>
      <c r="T110" s="146"/>
      <c r="U110" s="146"/>
      <c r="V110" s="146"/>
      <c r="W110" s="146"/>
    </row>
    <row r="111" spans="18:23" x14ac:dyDescent="0.2">
      <c r="R111" s="146"/>
      <c r="S111" s="146"/>
      <c r="T111" s="146"/>
      <c r="U111" s="146"/>
      <c r="V111" s="146"/>
      <c r="W111" s="146"/>
    </row>
    <row r="112" spans="18:23" x14ac:dyDescent="0.2">
      <c r="R112" s="146"/>
      <c r="S112" s="146"/>
      <c r="T112" s="146"/>
      <c r="U112" s="146"/>
      <c r="V112" s="146"/>
      <c r="W112" s="146"/>
    </row>
    <row r="113" spans="18:23" x14ac:dyDescent="0.2">
      <c r="R113" s="146"/>
      <c r="S113" s="146"/>
      <c r="T113" s="146"/>
      <c r="U113" s="146"/>
      <c r="V113" s="146"/>
      <c r="W113" s="146"/>
    </row>
    <row r="114" spans="18:23" x14ac:dyDescent="0.2">
      <c r="R114" s="146"/>
      <c r="S114" s="146"/>
      <c r="T114" s="146"/>
      <c r="U114" s="146"/>
      <c r="V114" s="146"/>
      <c r="W114" s="146"/>
    </row>
    <row r="115" spans="18:23" x14ac:dyDescent="0.2">
      <c r="R115" s="146"/>
      <c r="S115" s="146"/>
      <c r="T115" s="146"/>
      <c r="U115" s="146"/>
      <c r="V115" s="146"/>
      <c r="W115" s="146"/>
    </row>
    <row r="116" spans="18:23" x14ac:dyDescent="0.2">
      <c r="R116" s="146"/>
      <c r="S116" s="146"/>
      <c r="T116" s="146"/>
      <c r="U116" s="146"/>
      <c r="V116" s="146"/>
      <c r="W116" s="146"/>
    </row>
    <row r="117" spans="18:23" x14ac:dyDescent="0.2">
      <c r="R117" s="146"/>
      <c r="S117" s="146"/>
      <c r="T117" s="146"/>
      <c r="U117" s="146"/>
      <c r="V117" s="146"/>
      <c r="W117" s="146"/>
    </row>
    <row r="118" spans="18:23" x14ac:dyDescent="0.2">
      <c r="R118" s="146"/>
      <c r="S118" s="146"/>
      <c r="T118" s="146"/>
      <c r="U118" s="146"/>
      <c r="V118" s="146"/>
      <c r="W118" s="146"/>
    </row>
    <row r="119" spans="18:23" x14ac:dyDescent="0.2">
      <c r="R119" s="146"/>
      <c r="S119" s="146"/>
      <c r="T119" s="146"/>
      <c r="U119" s="146"/>
      <c r="V119" s="146"/>
      <c r="W119" s="146"/>
    </row>
    <row r="120" spans="18:23" x14ac:dyDescent="0.2">
      <c r="R120" s="146"/>
      <c r="S120" s="146"/>
      <c r="T120" s="146"/>
      <c r="U120" s="146"/>
      <c r="V120" s="146"/>
      <c r="W120" s="146"/>
    </row>
    <row r="121" spans="18:23" x14ac:dyDescent="0.2">
      <c r="R121" s="146"/>
      <c r="S121" s="146"/>
      <c r="T121" s="146"/>
      <c r="U121" s="146"/>
      <c r="V121" s="146"/>
      <c r="W121" s="146"/>
    </row>
    <row r="122" spans="18:23" x14ac:dyDescent="0.2">
      <c r="R122" s="146"/>
      <c r="S122" s="146"/>
      <c r="T122" s="146"/>
      <c r="U122" s="146"/>
      <c r="V122" s="146"/>
      <c r="W122" s="146"/>
    </row>
    <row r="123" spans="18:23" x14ac:dyDescent="0.2">
      <c r="R123" s="146"/>
      <c r="S123" s="146"/>
      <c r="T123" s="146"/>
      <c r="U123" s="146"/>
      <c r="V123" s="146"/>
      <c r="W123" s="146"/>
    </row>
    <row r="124" spans="18:23" x14ac:dyDescent="0.2">
      <c r="R124" s="146"/>
      <c r="S124" s="146"/>
      <c r="T124" s="146"/>
      <c r="U124" s="146"/>
      <c r="V124" s="146"/>
      <c r="W124" s="146"/>
    </row>
    <row r="125" spans="18:23" x14ac:dyDescent="0.2">
      <c r="R125" s="146"/>
      <c r="S125" s="146"/>
      <c r="T125" s="146"/>
      <c r="U125" s="146"/>
      <c r="V125" s="146"/>
      <c r="W125" s="146"/>
    </row>
    <row r="126" spans="18:23" x14ac:dyDescent="0.2">
      <c r="R126" s="146"/>
      <c r="S126" s="146"/>
      <c r="T126" s="146"/>
      <c r="U126" s="146"/>
      <c r="V126" s="146"/>
      <c r="W126" s="146"/>
    </row>
    <row r="127" spans="18:23" x14ac:dyDescent="0.2">
      <c r="R127" s="146"/>
      <c r="S127" s="146"/>
      <c r="T127" s="146"/>
      <c r="U127" s="146"/>
      <c r="V127" s="146"/>
      <c r="W127" s="146"/>
    </row>
    <row r="128" spans="18:23" x14ac:dyDescent="0.2">
      <c r="R128" s="146"/>
      <c r="S128" s="146"/>
      <c r="T128" s="146"/>
      <c r="U128" s="146"/>
      <c r="V128" s="146"/>
      <c r="W128" s="146"/>
    </row>
    <row r="129" spans="18:23" x14ac:dyDescent="0.2">
      <c r="R129" s="146"/>
      <c r="S129" s="146"/>
      <c r="T129" s="146"/>
      <c r="U129" s="146"/>
      <c r="V129" s="146"/>
      <c r="W129" s="146"/>
    </row>
    <row r="130" spans="18:23" x14ac:dyDescent="0.2">
      <c r="R130" s="146"/>
      <c r="S130" s="146"/>
      <c r="T130" s="146"/>
      <c r="U130" s="146"/>
      <c r="V130" s="146"/>
      <c r="W130" s="146"/>
    </row>
    <row r="131" spans="18:23" x14ac:dyDescent="0.2">
      <c r="R131" s="146"/>
      <c r="S131" s="146"/>
      <c r="T131" s="146"/>
      <c r="U131" s="146"/>
      <c r="V131" s="146"/>
      <c r="W131" s="146"/>
    </row>
    <row r="132" spans="18:23" x14ac:dyDescent="0.2">
      <c r="R132" s="146"/>
      <c r="S132" s="146"/>
      <c r="T132" s="146"/>
      <c r="U132" s="146"/>
      <c r="V132" s="146"/>
      <c r="W132" s="146"/>
    </row>
    <row r="133" spans="18:23" x14ac:dyDescent="0.2">
      <c r="R133" s="146"/>
      <c r="S133" s="146"/>
      <c r="T133" s="146"/>
      <c r="U133" s="146"/>
      <c r="V133" s="146"/>
      <c r="W133" s="146"/>
    </row>
    <row r="134" spans="18:23" x14ac:dyDescent="0.2">
      <c r="R134" s="146"/>
      <c r="S134" s="146"/>
      <c r="T134" s="146"/>
      <c r="U134" s="146"/>
      <c r="V134" s="146"/>
      <c r="W134" s="146"/>
    </row>
    <row r="135" spans="18:23" x14ac:dyDescent="0.2">
      <c r="R135" s="146"/>
      <c r="S135" s="146"/>
      <c r="T135" s="146"/>
      <c r="U135" s="146"/>
      <c r="V135" s="146"/>
      <c r="W135" s="146"/>
    </row>
    <row r="136" spans="18:23" x14ac:dyDescent="0.2">
      <c r="R136" s="146"/>
      <c r="S136" s="146"/>
      <c r="T136" s="146"/>
      <c r="U136" s="146"/>
      <c r="V136" s="146"/>
      <c r="W136" s="146"/>
    </row>
    <row r="137" spans="18:23" x14ac:dyDescent="0.2">
      <c r="R137" s="146"/>
      <c r="S137" s="146"/>
      <c r="T137" s="146"/>
      <c r="U137" s="146"/>
      <c r="V137" s="146"/>
      <c r="W137" s="146"/>
    </row>
    <row r="138" spans="18:23" x14ac:dyDescent="0.2">
      <c r="R138" s="146"/>
      <c r="S138" s="146"/>
      <c r="T138" s="146"/>
      <c r="U138" s="146"/>
      <c r="V138" s="146"/>
      <c r="W138" s="146"/>
    </row>
    <row r="139" spans="18:23" x14ac:dyDescent="0.2">
      <c r="R139" s="146"/>
      <c r="S139" s="146"/>
      <c r="T139" s="146"/>
      <c r="U139" s="146"/>
      <c r="V139" s="146"/>
      <c r="W139" s="146"/>
    </row>
    <row r="140" spans="18:23" x14ac:dyDescent="0.2">
      <c r="R140" s="146"/>
      <c r="S140" s="146"/>
      <c r="T140" s="146"/>
      <c r="U140" s="146"/>
      <c r="V140" s="146"/>
      <c r="W140" s="146"/>
    </row>
    <row r="141" spans="18:23" x14ac:dyDescent="0.2">
      <c r="R141" s="146"/>
      <c r="S141" s="146"/>
      <c r="T141" s="146"/>
      <c r="U141" s="146"/>
      <c r="V141" s="146"/>
      <c r="W141" s="146"/>
    </row>
    <row r="142" spans="18:23" x14ac:dyDescent="0.2">
      <c r="R142" s="146"/>
      <c r="S142" s="146"/>
      <c r="T142" s="146"/>
      <c r="U142" s="146"/>
      <c r="V142" s="146"/>
      <c r="W142" s="146"/>
    </row>
    <row r="143" spans="18:23" x14ac:dyDescent="0.2">
      <c r="R143" s="146"/>
      <c r="S143" s="146"/>
      <c r="T143" s="146"/>
      <c r="U143" s="146"/>
      <c r="V143" s="146"/>
      <c r="W143" s="146"/>
    </row>
    <row r="144" spans="18:23" x14ac:dyDescent="0.2">
      <c r="R144" s="146"/>
      <c r="S144" s="146"/>
      <c r="T144" s="146"/>
      <c r="U144" s="146"/>
      <c r="V144" s="146"/>
      <c r="W144" s="146"/>
    </row>
    <row r="145" spans="18:23" x14ac:dyDescent="0.2">
      <c r="R145" s="146"/>
      <c r="S145" s="146"/>
      <c r="T145" s="146"/>
      <c r="U145" s="146"/>
      <c r="V145" s="146"/>
      <c r="W145" s="146"/>
    </row>
    <row r="146" spans="18:23" x14ac:dyDescent="0.2">
      <c r="R146" s="146"/>
      <c r="S146" s="146"/>
      <c r="T146" s="146"/>
      <c r="U146" s="146"/>
      <c r="V146" s="146"/>
      <c r="W146" s="146"/>
    </row>
    <row r="147" spans="18:23" x14ac:dyDescent="0.2">
      <c r="R147" s="146"/>
      <c r="S147" s="146"/>
      <c r="T147" s="146"/>
      <c r="U147" s="146"/>
      <c r="V147" s="146"/>
      <c r="W147" s="146"/>
    </row>
    <row r="148" spans="18:23" x14ac:dyDescent="0.2">
      <c r="R148" s="146"/>
      <c r="S148" s="146"/>
      <c r="T148" s="146"/>
      <c r="U148" s="146"/>
      <c r="V148" s="146"/>
      <c r="W148" s="146"/>
    </row>
    <row r="149" spans="18:23" x14ac:dyDescent="0.2">
      <c r="R149" s="146"/>
      <c r="S149" s="146"/>
      <c r="T149" s="146"/>
      <c r="U149" s="146"/>
      <c r="V149" s="146"/>
      <c r="W149" s="146"/>
    </row>
    <row r="150" spans="18:23" x14ac:dyDescent="0.2">
      <c r="R150" s="146"/>
      <c r="S150" s="146"/>
      <c r="T150" s="146"/>
      <c r="U150" s="146"/>
      <c r="V150" s="146"/>
      <c r="W150" s="146"/>
    </row>
    <row r="151" spans="18:23" x14ac:dyDescent="0.2">
      <c r="R151" s="146"/>
      <c r="S151" s="146"/>
      <c r="T151" s="146"/>
      <c r="U151" s="146"/>
      <c r="V151" s="146"/>
      <c r="W151" s="146"/>
    </row>
    <row r="152" spans="18:23" x14ac:dyDescent="0.2">
      <c r="R152" s="146"/>
      <c r="S152" s="146"/>
      <c r="T152" s="146"/>
      <c r="U152" s="146"/>
      <c r="V152" s="146"/>
      <c r="W152" s="146"/>
    </row>
    <row r="153" spans="18:23" x14ac:dyDescent="0.2">
      <c r="R153" s="146"/>
      <c r="S153" s="146"/>
      <c r="T153" s="146"/>
      <c r="U153" s="146"/>
      <c r="V153" s="146"/>
      <c r="W153" s="146"/>
    </row>
    <row r="154" spans="18:23" x14ac:dyDescent="0.2">
      <c r="R154" s="146"/>
      <c r="S154" s="146"/>
      <c r="T154" s="146"/>
      <c r="U154" s="146"/>
      <c r="V154" s="146"/>
      <c r="W154" s="146"/>
    </row>
    <row r="155" spans="18:23" x14ac:dyDescent="0.2">
      <c r="R155" s="146"/>
      <c r="S155" s="146"/>
      <c r="T155" s="146"/>
      <c r="U155" s="146"/>
      <c r="V155" s="146"/>
      <c r="W155" s="146"/>
    </row>
    <row r="156" spans="18:23" x14ac:dyDescent="0.2">
      <c r="R156" s="146"/>
      <c r="S156" s="146"/>
      <c r="T156" s="146"/>
      <c r="U156" s="146"/>
      <c r="V156" s="146"/>
      <c r="W156" s="146"/>
    </row>
    <row r="157" spans="18:23" x14ac:dyDescent="0.2">
      <c r="R157" s="146"/>
      <c r="S157" s="146"/>
      <c r="T157" s="146"/>
      <c r="U157" s="146"/>
      <c r="V157" s="146"/>
      <c r="W157" s="146"/>
    </row>
    <row r="158" spans="18:23" x14ac:dyDescent="0.2">
      <c r="R158" s="146"/>
      <c r="S158" s="146"/>
      <c r="T158" s="146"/>
      <c r="U158" s="146"/>
      <c r="V158" s="146"/>
      <c r="W158" s="146"/>
    </row>
    <row r="159" spans="18:23" x14ac:dyDescent="0.2">
      <c r="R159" s="146"/>
      <c r="S159" s="146"/>
      <c r="T159" s="146"/>
      <c r="U159" s="146"/>
      <c r="V159" s="146"/>
      <c r="W159" s="146"/>
    </row>
    <row r="160" spans="18:23" x14ac:dyDescent="0.2">
      <c r="R160" s="146"/>
      <c r="S160" s="146"/>
      <c r="T160" s="146"/>
      <c r="U160" s="146"/>
      <c r="V160" s="146"/>
      <c r="W160" s="146"/>
    </row>
    <row r="161" spans="18:23" x14ac:dyDescent="0.2">
      <c r="R161" s="146"/>
      <c r="S161" s="146"/>
      <c r="T161" s="146"/>
      <c r="U161" s="146"/>
      <c r="V161" s="146"/>
      <c r="W161" s="146"/>
    </row>
    <row r="162" spans="18:23" x14ac:dyDescent="0.2">
      <c r="R162" s="146"/>
      <c r="S162" s="146"/>
      <c r="T162" s="146"/>
      <c r="U162" s="146"/>
      <c r="V162" s="146"/>
      <c r="W162" s="146"/>
    </row>
    <row r="163" spans="18:23" x14ac:dyDescent="0.2">
      <c r="R163" s="146"/>
      <c r="S163" s="146"/>
      <c r="T163" s="146"/>
      <c r="U163" s="146"/>
      <c r="V163" s="146"/>
      <c r="W163" s="146"/>
    </row>
    <row r="164" spans="18:23" x14ac:dyDescent="0.2">
      <c r="R164" s="146"/>
      <c r="S164" s="146"/>
      <c r="T164" s="146"/>
      <c r="U164" s="146"/>
      <c r="V164" s="146"/>
      <c r="W164" s="146"/>
    </row>
    <row r="165" spans="18:23" x14ac:dyDescent="0.2">
      <c r="R165" s="146"/>
      <c r="S165" s="146"/>
      <c r="T165" s="146"/>
      <c r="U165" s="146"/>
      <c r="V165" s="146"/>
      <c r="W165" s="146"/>
    </row>
    <row r="166" spans="18:23" x14ac:dyDescent="0.2">
      <c r="R166" s="146"/>
      <c r="S166" s="146"/>
      <c r="T166" s="146"/>
      <c r="U166" s="146"/>
      <c r="V166" s="146"/>
      <c r="W166" s="146"/>
    </row>
    <row r="167" spans="18:23" x14ac:dyDescent="0.2">
      <c r="R167" s="146"/>
      <c r="S167" s="146"/>
      <c r="T167" s="146"/>
      <c r="U167" s="146"/>
      <c r="V167" s="146"/>
      <c r="W167" s="146"/>
    </row>
    <row r="168" spans="18:23" x14ac:dyDescent="0.2">
      <c r="R168" s="146"/>
      <c r="S168" s="146"/>
      <c r="T168" s="146"/>
      <c r="U168" s="146"/>
      <c r="V168" s="146"/>
      <c r="W168" s="146"/>
    </row>
    <row r="169" spans="18:23" x14ac:dyDescent="0.2">
      <c r="R169" s="146"/>
      <c r="S169" s="146"/>
      <c r="T169" s="146"/>
      <c r="U169" s="146"/>
      <c r="V169" s="146"/>
      <c r="W169" s="146"/>
    </row>
    <row r="170" spans="18:23" x14ac:dyDescent="0.2">
      <c r="R170" s="146"/>
      <c r="S170" s="146"/>
      <c r="T170" s="146"/>
      <c r="U170" s="146"/>
      <c r="V170" s="146"/>
      <c r="W170" s="146"/>
    </row>
    <row r="171" spans="18:23" x14ac:dyDescent="0.2">
      <c r="R171" s="146"/>
      <c r="S171" s="146"/>
      <c r="T171" s="146"/>
      <c r="U171" s="146"/>
      <c r="V171" s="146"/>
      <c r="W171" s="146"/>
    </row>
    <row r="172" spans="18:23" x14ac:dyDescent="0.2">
      <c r="R172" s="146"/>
      <c r="S172" s="146"/>
      <c r="T172" s="146"/>
      <c r="U172" s="146"/>
      <c r="V172" s="146"/>
      <c r="W172" s="146"/>
    </row>
    <row r="173" spans="18:23" x14ac:dyDescent="0.2">
      <c r="R173" s="146"/>
      <c r="S173" s="146"/>
      <c r="T173" s="146"/>
      <c r="U173" s="146"/>
      <c r="V173" s="146"/>
      <c r="W173" s="146"/>
    </row>
    <row r="174" spans="18:23" x14ac:dyDescent="0.2">
      <c r="R174" s="146"/>
      <c r="S174" s="146"/>
      <c r="T174" s="146"/>
      <c r="U174" s="146"/>
      <c r="V174" s="146"/>
      <c r="W174" s="146"/>
    </row>
    <row r="175" spans="18:23" x14ac:dyDescent="0.2">
      <c r="R175" s="146"/>
      <c r="S175" s="146"/>
      <c r="T175" s="146"/>
      <c r="U175" s="146"/>
      <c r="V175" s="146"/>
      <c r="W175" s="146"/>
    </row>
    <row r="176" spans="18:23" x14ac:dyDescent="0.2">
      <c r="R176" s="146"/>
      <c r="S176" s="146"/>
      <c r="T176" s="146"/>
      <c r="U176" s="146"/>
      <c r="V176" s="146"/>
      <c r="W176" s="146"/>
    </row>
    <row r="177" spans="18:23" x14ac:dyDescent="0.2">
      <c r="R177" s="146"/>
      <c r="S177" s="146"/>
      <c r="T177" s="146"/>
      <c r="U177" s="146"/>
      <c r="V177" s="146"/>
      <c r="W177" s="146"/>
    </row>
    <row r="178" spans="18:23" x14ac:dyDescent="0.2">
      <c r="R178" s="146"/>
      <c r="S178" s="146"/>
      <c r="T178" s="146"/>
      <c r="U178" s="146"/>
      <c r="V178" s="146"/>
      <c r="W178" s="146"/>
    </row>
    <row r="179" spans="18:23" x14ac:dyDescent="0.2">
      <c r="R179" s="146"/>
      <c r="S179" s="146"/>
      <c r="T179" s="146"/>
      <c r="U179" s="146"/>
      <c r="V179" s="146"/>
      <c r="W179" s="146"/>
    </row>
    <row r="180" spans="18:23" x14ac:dyDescent="0.2">
      <c r="R180" s="146"/>
      <c r="S180" s="146"/>
      <c r="T180" s="146"/>
      <c r="U180" s="146"/>
      <c r="V180" s="146"/>
      <c r="W180" s="146"/>
    </row>
    <row r="181" spans="18:23" x14ac:dyDescent="0.2">
      <c r="R181" s="146"/>
      <c r="S181" s="146"/>
      <c r="T181" s="146"/>
      <c r="U181" s="146"/>
      <c r="V181" s="146"/>
      <c r="W181" s="146"/>
    </row>
    <row r="182" spans="18:23" x14ac:dyDescent="0.2">
      <c r="R182" s="146"/>
      <c r="S182" s="146"/>
      <c r="T182" s="146"/>
      <c r="U182" s="146"/>
      <c r="V182" s="146"/>
      <c r="W182" s="146"/>
    </row>
    <row r="183" spans="18:23" x14ac:dyDescent="0.2">
      <c r="R183" s="146"/>
      <c r="S183" s="146"/>
      <c r="T183" s="146"/>
      <c r="U183" s="146"/>
      <c r="V183" s="146"/>
      <c r="W183" s="146"/>
    </row>
    <row r="184" spans="18:23" x14ac:dyDescent="0.2">
      <c r="R184" s="146"/>
      <c r="S184" s="146"/>
      <c r="T184" s="146"/>
      <c r="U184" s="146"/>
      <c r="V184" s="146"/>
      <c r="W184" s="146"/>
    </row>
    <row r="185" spans="18:23" x14ac:dyDescent="0.2">
      <c r="R185" s="146"/>
      <c r="S185" s="146"/>
      <c r="T185" s="146"/>
      <c r="U185" s="146"/>
      <c r="V185" s="146"/>
      <c r="W185" s="146"/>
    </row>
    <row r="186" spans="18:23" x14ac:dyDescent="0.2">
      <c r="R186" s="146"/>
      <c r="S186" s="146"/>
      <c r="T186" s="146"/>
      <c r="U186" s="146"/>
      <c r="V186" s="146"/>
      <c r="W186" s="146"/>
    </row>
    <row r="187" spans="18:23" x14ac:dyDescent="0.2">
      <c r="R187" s="146"/>
      <c r="S187" s="146"/>
      <c r="T187" s="146"/>
      <c r="U187" s="146"/>
      <c r="V187" s="146"/>
      <c r="W187" s="146"/>
    </row>
    <row r="188" spans="18:23" x14ac:dyDescent="0.2">
      <c r="R188" s="146"/>
      <c r="S188" s="146"/>
      <c r="T188" s="146"/>
      <c r="U188" s="146"/>
      <c r="V188" s="146"/>
      <c r="W188" s="146"/>
    </row>
    <row r="189" spans="18:23" x14ac:dyDescent="0.2">
      <c r="R189" s="146"/>
      <c r="S189" s="146"/>
      <c r="T189" s="146"/>
      <c r="U189" s="146"/>
      <c r="V189" s="146"/>
      <c r="W189" s="146"/>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16:C18">
    <cfRule type="expression" dxfId="1079" priority="137" stopIfTrue="1">
      <formula>B16=3</formula>
    </cfRule>
    <cfRule type="expression" dxfId="1078" priority="138" stopIfTrue="1">
      <formula>B16=4</formula>
    </cfRule>
    <cfRule type="expression" dxfId="1077" priority="139" stopIfTrue="1">
      <formula>B16=5</formula>
    </cfRule>
  </conditionalFormatting>
  <conditionalFormatting sqref="F5:F40">
    <cfRule type="expression" dxfId="1076" priority="133">
      <formula>$H5=0</formula>
    </cfRule>
    <cfRule type="expression" dxfId="1075" priority="136">
      <formula>$H5=0</formula>
    </cfRule>
  </conditionalFormatting>
  <conditionalFormatting sqref="H5:H40">
    <cfRule type="cellIs" dxfId="1074" priority="140" stopIfTrue="1" operator="between">
      <formula>0.1</formula>
      <formula>1.9</formula>
    </cfRule>
    <cfRule type="cellIs" dxfId="1073" priority="141" stopIfTrue="1" operator="between">
      <formula>3</formula>
      <formula>3.9</formula>
    </cfRule>
    <cfRule type="cellIs" dxfId="1072" priority="142" stopIfTrue="1" operator="between">
      <formula>4</formula>
      <formula>5</formula>
    </cfRule>
  </conditionalFormatting>
  <conditionalFormatting sqref="F5:F40">
    <cfRule type="expression" dxfId="1071" priority="134">
      <formula>$H5&lt;#REF!</formula>
    </cfRule>
    <cfRule type="expression" dxfId="1070" priority="135">
      <formula>$H5&gt;=#REF!</formula>
    </cfRule>
  </conditionalFormatting>
  <conditionalFormatting sqref="E5:E40">
    <cfRule type="expression" dxfId="1069" priority="127">
      <formula>$D5=3</formula>
    </cfRule>
    <cfRule type="expression" dxfId="1068" priority="128">
      <formula>$D5=4</formula>
    </cfRule>
    <cfRule type="expression" dxfId="1067" priority="129">
      <formula>$D5=5</formula>
    </cfRule>
    <cfRule type="expression" dxfId="1066" priority="130">
      <formula>$D5=8</formula>
    </cfRule>
    <cfRule type="expression" dxfId="1065" priority="131">
      <formula>$D5=7</formula>
    </cfRule>
    <cfRule type="expression" dxfId="1064" priority="132">
      <formula>$D5=6</formula>
    </cfRule>
  </conditionalFormatting>
  <conditionalFormatting sqref="C16:C18">
    <cfRule type="cellIs" dxfId="1063" priority="123" operator="equal">
      <formula>""</formula>
    </cfRule>
    <cfRule type="expression" dxfId="1062" priority="124" stopIfTrue="1">
      <formula>B16=8</formula>
    </cfRule>
    <cfRule type="expression" dxfId="1061" priority="125" stopIfTrue="1">
      <formula>B16=7</formula>
    </cfRule>
    <cfRule type="expression" dxfId="1060" priority="126" stopIfTrue="1">
      <formula>B16=6</formula>
    </cfRule>
  </conditionalFormatting>
  <conditionalFormatting sqref="C38:C40">
    <cfRule type="expression" dxfId="1059" priority="120" stopIfTrue="1">
      <formula>B38=3</formula>
    </cfRule>
    <cfRule type="expression" dxfId="1058" priority="121" stopIfTrue="1">
      <formula>B38=4</formula>
    </cfRule>
    <cfRule type="expression" dxfId="1057" priority="122" stopIfTrue="1">
      <formula>B38=5</formula>
    </cfRule>
  </conditionalFormatting>
  <conditionalFormatting sqref="C38:C40">
    <cfRule type="cellIs" dxfId="1056" priority="116" operator="equal">
      <formula>""</formula>
    </cfRule>
    <cfRule type="expression" dxfId="1055" priority="117" stopIfTrue="1">
      <formula>B38=8</formula>
    </cfRule>
    <cfRule type="expression" dxfId="1054" priority="118" stopIfTrue="1">
      <formula>B38=7</formula>
    </cfRule>
    <cfRule type="expression" dxfId="1053" priority="119" stopIfTrue="1">
      <formula>B38=6</formula>
    </cfRule>
  </conditionalFormatting>
  <conditionalFormatting sqref="G42:G46">
    <cfRule type="cellIs" dxfId="1052" priority="113" operator="notEqual">
      <formula>""</formula>
    </cfRule>
  </conditionalFormatting>
  <conditionalFormatting sqref="S7:U7 S9:U9 S11:U11">
    <cfRule type="cellIs" dxfId="1051" priority="112" operator="equal">
      <formula>0</formula>
    </cfRule>
  </conditionalFormatting>
  <conditionalFormatting sqref="V13 V15">
    <cfRule type="cellIs" dxfId="1050" priority="111" operator="equal">
      <formula>0</formula>
    </cfRule>
  </conditionalFormatting>
  <conditionalFormatting sqref="R13 R15">
    <cfRule type="cellIs" dxfId="1049" priority="110" operator="equal">
      <formula>0</formula>
    </cfRule>
  </conditionalFormatting>
  <conditionalFormatting sqref="R7 R9 R11">
    <cfRule type="cellIs" dxfId="1048" priority="109" operator="equal">
      <formula>0</formula>
    </cfRule>
  </conditionalFormatting>
  <conditionalFormatting sqref="V7 V9 V11">
    <cfRule type="cellIs" dxfId="1047" priority="108" operator="equal">
      <formula>0</formula>
    </cfRule>
  </conditionalFormatting>
  <conditionalFormatting sqref="S13:U13 S15:U15">
    <cfRule type="cellIs" dxfId="1046" priority="107" operator="equal">
      <formula>0</formula>
    </cfRule>
  </conditionalFormatting>
  <conditionalFormatting sqref="R6">
    <cfRule type="cellIs" dxfId="1045" priority="106" operator="equal">
      <formula>0</formula>
    </cfRule>
  </conditionalFormatting>
  <conditionalFormatting sqref="V6">
    <cfRule type="cellIs" dxfId="1044" priority="105" operator="equal">
      <formula>0</formula>
    </cfRule>
  </conditionalFormatting>
  <conditionalFormatting sqref="I5:I40">
    <cfRule type="cellIs" dxfId="1043" priority="102" stopIfTrue="1" operator="between">
      <formula>"D-3"</formula>
      <formula>"E-5"</formula>
    </cfRule>
    <cfRule type="cellIs" dxfId="1042" priority="103" stopIfTrue="1" operator="between">
      <formula>"B-2"</formula>
      <formula>"B-3"</formula>
    </cfRule>
    <cfRule type="cellIs" dxfId="1041" priority="104" stopIfTrue="1" operator="between">
      <formula>"A-1"</formula>
      <formula>"A-2"</formula>
    </cfRule>
  </conditionalFormatting>
  <conditionalFormatting sqref="I5:I40">
    <cfRule type="cellIs" dxfId="1040" priority="100" operator="equal">
      <formula>"E-5-"</formula>
    </cfRule>
    <cfRule type="cellIs" dxfId="1039" priority="101" operator="equal">
      <formula>"A-1+"</formula>
    </cfRule>
  </conditionalFormatting>
  <conditionalFormatting sqref="C42:C46">
    <cfRule type="cellIs" dxfId="1038" priority="92" operator="notEqual">
      <formula>""</formula>
    </cfRule>
  </conditionalFormatting>
  <conditionalFormatting sqref="L34:L40">
    <cfRule type="cellIs" dxfId="1037" priority="89" stopIfTrue="1" operator="between">
      <formula>0.1</formula>
      <formula>1.9</formula>
    </cfRule>
    <cfRule type="cellIs" dxfId="1036" priority="90" stopIfTrue="1" operator="between">
      <formula>3</formula>
      <formula>3.9</formula>
    </cfRule>
    <cfRule type="cellIs" dxfId="1035" priority="91" stopIfTrue="1" operator="between">
      <formula>4</formula>
      <formula>5</formula>
    </cfRule>
  </conditionalFormatting>
  <conditionalFormatting sqref="L31:L33">
    <cfRule type="cellIs" dxfId="1034" priority="86" stopIfTrue="1" operator="between">
      <formula>0.1</formula>
      <formula>1.9</formula>
    </cfRule>
    <cfRule type="cellIs" dxfId="1033" priority="87" stopIfTrue="1" operator="between">
      <formula>3</formula>
      <formula>3.9</formula>
    </cfRule>
    <cfRule type="cellIs" dxfId="1032" priority="88" stopIfTrue="1" operator="between">
      <formula>4</formula>
      <formula>5</formula>
    </cfRule>
  </conditionalFormatting>
  <conditionalFormatting sqref="L29:L30">
    <cfRule type="cellIs" dxfId="1031" priority="83" stopIfTrue="1" operator="between">
      <formula>0.1</formula>
      <formula>1.9</formula>
    </cfRule>
    <cfRule type="cellIs" dxfId="1030" priority="84" stopIfTrue="1" operator="between">
      <formula>3</formula>
      <formula>3.9</formula>
    </cfRule>
    <cfRule type="cellIs" dxfId="1029" priority="85" stopIfTrue="1" operator="between">
      <formula>4</formula>
      <formula>5</formula>
    </cfRule>
  </conditionalFormatting>
  <conditionalFormatting sqref="L25:L28">
    <cfRule type="cellIs" dxfId="1028" priority="80" stopIfTrue="1" operator="between">
      <formula>0.1</formula>
      <formula>1.9</formula>
    </cfRule>
    <cfRule type="cellIs" dxfId="1027" priority="81" stopIfTrue="1" operator="between">
      <formula>3</formula>
      <formula>3.9</formula>
    </cfRule>
    <cfRule type="cellIs" dxfId="1026" priority="82" stopIfTrue="1" operator="between">
      <formula>4</formula>
      <formula>5</formula>
    </cfRule>
  </conditionalFormatting>
  <conditionalFormatting sqref="L19:L23">
    <cfRule type="cellIs" dxfId="1025" priority="77" stopIfTrue="1" operator="between">
      <formula>0.1</formula>
      <formula>1.9</formula>
    </cfRule>
    <cfRule type="cellIs" dxfId="1024" priority="78" stopIfTrue="1" operator="between">
      <formula>3</formula>
      <formula>3.9</formula>
    </cfRule>
    <cfRule type="cellIs" dxfId="1023" priority="79" stopIfTrue="1" operator="between">
      <formula>4</formula>
      <formula>5</formula>
    </cfRule>
  </conditionalFormatting>
  <conditionalFormatting sqref="L21:L24">
    <cfRule type="cellIs" dxfId="1022" priority="74" stopIfTrue="1" operator="between">
      <formula>0.1</formula>
      <formula>1.9</formula>
    </cfRule>
    <cfRule type="cellIs" dxfId="1021" priority="75" stopIfTrue="1" operator="between">
      <formula>3</formula>
      <formula>3.9</formula>
    </cfRule>
    <cfRule type="cellIs" dxfId="1020" priority="76" stopIfTrue="1" operator="between">
      <formula>4</formula>
      <formula>5</formula>
    </cfRule>
  </conditionalFormatting>
  <conditionalFormatting sqref="K19:K23">
    <cfRule type="cellIs" dxfId="1019" priority="64" stopIfTrue="1" operator="between">
      <formula>0.1</formula>
      <formula>1.9</formula>
    </cfRule>
    <cfRule type="cellIs" dxfId="1018" priority="65" stopIfTrue="1" operator="between">
      <formula>3</formula>
      <formula>3.9</formula>
    </cfRule>
    <cfRule type="cellIs" dxfId="1017" priority="66" stopIfTrue="1" operator="between">
      <formula>4</formula>
      <formula>5</formula>
    </cfRule>
  </conditionalFormatting>
  <conditionalFormatting sqref="K19:K40">
    <cfRule type="cellIs" dxfId="1016" priority="63" operator="equal">
      <formula>""</formula>
    </cfRule>
  </conditionalFormatting>
  <conditionalFormatting sqref="L19:L40">
    <cfRule type="cellIs" dxfId="1015" priority="62" operator="equal">
      <formula>""</formula>
    </cfRule>
  </conditionalFormatting>
  <conditionalFormatting sqref="K5:K8">
    <cfRule type="cellIs" dxfId="1014" priority="57" operator="greaterThanOrEqual">
      <formula>""</formula>
    </cfRule>
  </conditionalFormatting>
  <conditionalFormatting sqref="L5:L8">
    <cfRule type="cellIs" dxfId="1013" priority="54" stopIfTrue="1" operator="between">
      <formula>0.1</formula>
      <formula>1.9</formula>
    </cfRule>
    <cfRule type="cellIs" dxfId="1012" priority="55" stopIfTrue="1" operator="between">
      <formula>3</formula>
      <formula>3.9</formula>
    </cfRule>
    <cfRule type="cellIs" dxfId="1011" priority="56" stopIfTrue="1" operator="between">
      <formula>4</formula>
      <formula>5</formula>
    </cfRule>
  </conditionalFormatting>
  <conditionalFormatting sqref="J5:J40">
    <cfRule type="cellIs" dxfId="1010" priority="43" operator="equal">
      <formula>"*"</formula>
    </cfRule>
    <cfRule type="cellIs" dxfId="1009" priority="44" operator="equal">
      <formula>"!"</formula>
    </cfRule>
  </conditionalFormatting>
  <conditionalFormatting sqref="N5:N40">
    <cfRule type="cellIs" dxfId="1008" priority="41" operator="equal">
      <formula>"*"</formula>
    </cfRule>
    <cfRule type="cellIs" dxfId="1007" priority="42" operator="equal">
      <formula>"!"</formula>
    </cfRule>
  </conditionalFormatting>
  <conditionalFormatting sqref="M5:M40">
    <cfRule type="cellIs" dxfId="1006" priority="38" stopIfTrue="1" operator="between">
      <formula>"D-3"</formula>
      <formula>"E-5"</formula>
    </cfRule>
    <cfRule type="cellIs" dxfId="1005" priority="39" stopIfTrue="1" operator="between">
      <formula>"B-2"</formula>
      <formula>"B-3"</formula>
    </cfRule>
    <cfRule type="cellIs" dxfId="1004" priority="40" stopIfTrue="1" operator="between">
      <formula>"A-1"</formula>
      <formula>"A-2"</formula>
    </cfRule>
  </conditionalFormatting>
  <conditionalFormatting sqref="M5:M40">
    <cfRule type="cellIs" dxfId="1003" priority="36" operator="equal">
      <formula>"E-5-"</formula>
    </cfRule>
    <cfRule type="cellIs" dxfId="1002" priority="37" operator="equal">
      <formula>"A-1+"</formula>
    </cfRule>
  </conditionalFormatting>
  <conditionalFormatting sqref="C35:C37">
    <cfRule type="expression" dxfId="1001" priority="33" stopIfTrue="1">
      <formula>B35=3</formula>
    </cfRule>
    <cfRule type="expression" dxfId="1000" priority="34" stopIfTrue="1">
      <formula>B35=4</formula>
    </cfRule>
    <cfRule type="expression" dxfId="999" priority="35" stopIfTrue="1">
      <formula>B35=5</formula>
    </cfRule>
  </conditionalFormatting>
  <conditionalFormatting sqref="C35:C37">
    <cfRule type="cellIs" dxfId="998" priority="29" operator="equal">
      <formula>""</formula>
    </cfRule>
    <cfRule type="expression" dxfId="997" priority="30" stopIfTrue="1">
      <formula>B35=8</formula>
    </cfRule>
    <cfRule type="expression" dxfId="996" priority="31" stopIfTrue="1">
      <formula>B35=7</formula>
    </cfRule>
    <cfRule type="expression" dxfId="995" priority="32" stopIfTrue="1">
      <formula>B35=6</formula>
    </cfRule>
  </conditionalFormatting>
  <conditionalFormatting sqref="C33:C34">
    <cfRule type="expression" dxfId="994" priority="26" stopIfTrue="1">
      <formula>B33=3</formula>
    </cfRule>
    <cfRule type="expression" dxfId="993" priority="27" stopIfTrue="1">
      <formula>B33=4</formula>
    </cfRule>
    <cfRule type="expression" dxfId="992" priority="28" stopIfTrue="1">
      <formula>B33=5</formula>
    </cfRule>
  </conditionalFormatting>
  <conditionalFormatting sqref="C33:C34">
    <cfRule type="cellIs" dxfId="991" priority="22" operator="equal">
      <formula>""</formula>
    </cfRule>
    <cfRule type="expression" dxfId="990" priority="23" stopIfTrue="1">
      <formula>B33=8</formula>
    </cfRule>
    <cfRule type="expression" dxfId="989" priority="24" stopIfTrue="1">
      <formula>B33=7</formula>
    </cfRule>
    <cfRule type="expression" dxfId="988" priority="25" stopIfTrue="1">
      <formula>B33=6</formula>
    </cfRule>
  </conditionalFormatting>
  <conditionalFormatting sqref="C29:C32">
    <cfRule type="expression" dxfId="987" priority="19" stopIfTrue="1">
      <formula>B29=3</formula>
    </cfRule>
    <cfRule type="expression" dxfId="986" priority="20" stopIfTrue="1">
      <formula>B29=4</formula>
    </cfRule>
    <cfRule type="expression" dxfId="985" priority="21" stopIfTrue="1">
      <formula>B29=5</formula>
    </cfRule>
  </conditionalFormatting>
  <conditionalFormatting sqref="C29:C32">
    <cfRule type="cellIs" dxfId="984" priority="15" operator="equal">
      <formula>""</formula>
    </cfRule>
    <cfRule type="expression" dxfId="983" priority="16" stopIfTrue="1">
      <formula>B29=8</formula>
    </cfRule>
    <cfRule type="expression" dxfId="982" priority="17" stopIfTrue="1">
      <formula>B29=7</formula>
    </cfRule>
    <cfRule type="expression" dxfId="981" priority="18" stopIfTrue="1">
      <formula>B29=6</formula>
    </cfRule>
  </conditionalFormatting>
  <conditionalFormatting sqref="C13:C15">
    <cfRule type="expression" dxfId="980" priority="12" stopIfTrue="1">
      <formula>B13=3</formula>
    </cfRule>
    <cfRule type="expression" dxfId="979" priority="13" stopIfTrue="1">
      <formula>B13=4</formula>
    </cfRule>
    <cfRule type="expression" dxfId="978" priority="14" stopIfTrue="1">
      <formula>B13=5</formula>
    </cfRule>
  </conditionalFormatting>
  <conditionalFormatting sqref="C13:C15">
    <cfRule type="cellIs" dxfId="977" priority="8" operator="equal">
      <formula>""</formula>
    </cfRule>
    <cfRule type="expression" dxfId="976" priority="9" stopIfTrue="1">
      <formula>B13=8</formula>
    </cfRule>
    <cfRule type="expression" dxfId="975" priority="10" stopIfTrue="1">
      <formula>B13=7</formula>
    </cfRule>
    <cfRule type="expression" dxfId="974" priority="11" stopIfTrue="1">
      <formula>B13=6</formula>
    </cfRule>
  </conditionalFormatting>
  <conditionalFormatting sqref="C7:C12">
    <cfRule type="expression" dxfId="973" priority="5" stopIfTrue="1">
      <formula>B7=3</formula>
    </cfRule>
    <cfRule type="expression" dxfId="972" priority="6" stopIfTrue="1">
      <formula>B7=4</formula>
    </cfRule>
    <cfRule type="expression" dxfId="971" priority="7" stopIfTrue="1">
      <formula>B7=5</formula>
    </cfRule>
  </conditionalFormatting>
  <conditionalFormatting sqref="C7:C12">
    <cfRule type="cellIs" dxfId="970" priority="1" operator="equal">
      <formula>""</formula>
    </cfRule>
    <cfRule type="expression" dxfId="969" priority="2" stopIfTrue="1">
      <formula>B7=8</formula>
    </cfRule>
    <cfRule type="expression" dxfId="968" priority="3" stopIfTrue="1">
      <formula>B7=7</formula>
    </cfRule>
    <cfRule type="expression" dxfId="967" priority="4" stopIfTrue="1">
      <formula>B7=6</formula>
    </cfRule>
  </conditionalFormatting>
  <dataValidations count="10">
    <dataValidation allowBlank="1" showInputMessage="1" showErrorMessage="1" promptTitle="Nieuwe regel:" prompt="druk op Alt-Enter" sqref="P15 P28 P17 P26 P37 P39" xr:uid="{00000000-0002-0000-2500-000000000000}"/>
    <dataValidation allowBlank="1" showInputMessage="1" showErrorMessage="1" promptTitle="Pulldown menu" prompt="groeps  HP: -_x000a_indiv.    HP:#_x000a_hele groep: $" sqref="C18 C40" xr:uid="{00000000-0002-0000-2500-000001000000}"/>
    <dataValidation allowBlank="1" showInputMessage="1" showErrorMessage="1" promptTitle="Pulldown venster" prompt="groeps  HP: -_x000a_indiv.    HP:#_x000a_hele groep: $" sqref="C29:C39 C7:C17" xr:uid="{00000000-0002-0000-25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500-000003000000}">
      <formula1>2</formula1>
    </dataValidation>
    <dataValidation type="list" allowBlank="1" showInputMessage="1" showErrorMessage="1" sqref="B29:B40 B7:B18" xr:uid="{00000000-0002-0000-2500-000004000000}">
      <formula1>"3,4,5,6,7,8,"</formula1>
    </dataValidation>
    <dataValidation type="list" allowBlank="1" showInputMessage="1" showErrorMessage="1" sqref="C42 G42" xr:uid="{00000000-0002-0000-2500-000005000000}">
      <formula1>"maandag,"</formula1>
    </dataValidation>
    <dataValidation type="list" allowBlank="1" showInputMessage="1" showErrorMessage="1" sqref="C43 G43" xr:uid="{00000000-0002-0000-2500-000006000000}">
      <formula1>"dinsdag,"</formula1>
    </dataValidation>
    <dataValidation type="list" allowBlank="1" showInputMessage="1" showErrorMessage="1" sqref="C44 G44" xr:uid="{00000000-0002-0000-2500-000007000000}">
      <formula1>"woensdag,"</formula1>
    </dataValidation>
    <dataValidation type="list" allowBlank="1" showInputMessage="1" showErrorMessage="1" sqref="C45 G45" xr:uid="{00000000-0002-0000-2500-000008000000}">
      <formula1>"donderdag,"</formula1>
    </dataValidation>
    <dataValidation type="list" allowBlank="1" showInputMessage="1" showErrorMessage="1" sqref="C46 G46" xr:uid="{00000000-0002-0000-25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CCCCFF"/>
    <pageSetUpPr fitToPage="1"/>
  </sheetPr>
  <dimension ref="A1:AA189"/>
  <sheetViews>
    <sheetView showGridLines="0" showRowColHeaders="0" zoomScale="90" zoomScaleNormal="90" workbookViewId="0"/>
  </sheetViews>
  <sheetFormatPr defaultColWidth="9.140625" defaultRowHeight="12.75" x14ac:dyDescent="0.2"/>
  <cols>
    <col min="1" max="1" width="3.140625" style="69" customWidth="1"/>
    <col min="2" max="2" width="3.140625" style="70" bestFit="1" customWidth="1"/>
    <col min="3" max="3" width="11.85546875" style="74" bestFit="1" customWidth="1"/>
    <col min="4" max="4" width="3.140625" style="75" customWidth="1"/>
    <col min="5" max="5" width="5.85546875" style="74" customWidth="1"/>
    <col min="6" max="6" width="20.85546875" style="74" customWidth="1"/>
    <col min="7" max="7" width="5.85546875" style="74" customWidth="1"/>
    <col min="8" max="9" width="5.85546875" style="76" customWidth="1"/>
    <col min="10" max="10" width="3.140625" style="76" customWidth="1"/>
    <col min="11" max="11" width="5.85546875" style="76" customWidth="1"/>
    <col min="12" max="12" width="5.85546875" style="74" customWidth="1"/>
    <col min="13" max="13" width="5.85546875" style="69" customWidth="1"/>
    <col min="14" max="14" width="3.140625" style="69" customWidth="1"/>
    <col min="15" max="15" width="4.85546875" style="69" bestFit="1" customWidth="1"/>
    <col min="16" max="16" width="60.85546875" style="69" customWidth="1"/>
    <col min="17" max="17" width="6.85546875" style="69" customWidth="1"/>
    <col min="18" max="22" width="7.140625" style="73" customWidth="1"/>
    <col min="23" max="25" width="6.85546875" style="73" customWidth="1"/>
    <col min="26" max="26" width="6.140625" style="73" customWidth="1"/>
    <col min="27" max="27" width="9.140625" style="73"/>
    <col min="28" max="16384" width="9.140625" style="69"/>
  </cols>
  <sheetData>
    <row r="1" spans="1:24" s="66" customFormat="1" ht="30" customHeight="1" thickBot="1" x14ac:dyDescent="0.45">
      <c r="B1" s="615"/>
      <c r="C1" s="1128" t="s">
        <v>305</v>
      </c>
      <c r="D1" s="1129"/>
      <c r="E1" s="1129"/>
      <c r="F1" s="1129"/>
      <c r="G1" s="1129"/>
      <c r="H1" s="1129"/>
      <c r="I1" s="1129"/>
      <c r="J1" s="1129"/>
      <c r="K1" s="1230">
        <f>BEGINBLAD!$I$2</f>
        <v>0</v>
      </c>
      <c r="L1" s="1230"/>
      <c r="M1" s="1230"/>
      <c r="N1" s="1230"/>
      <c r="O1" s="1230"/>
      <c r="P1" s="67"/>
      <c r="X1" s="68"/>
    </row>
    <row r="2" spans="1:24" ht="24" customHeight="1" x14ac:dyDescent="0.2">
      <c r="C2" s="1130" t="str">
        <f>BEGINBLAD!$S$2</f>
        <v>mei.</v>
      </c>
      <c r="D2" s="1130"/>
      <c r="E2" s="241"/>
      <c r="F2" s="691" t="str">
        <f>BEGINBLAD!$T$2</f>
        <v>okt.</v>
      </c>
      <c r="G2" s="1131">
        <f>BEGINBLAD!$P$2</f>
        <v>2021</v>
      </c>
      <c r="H2" s="1131"/>
      <c r="I2" s="1131"/>
      <c r="M2" s="71"/>
      <c r="N2" s="72"/>
      <c r="O2" s="72"/>
    </row>
    <row r="3" spans="1:24" ht="13.5" thickBot="1" x14ac:dyDescent="0.25">
      <c r="M3" s="77"/>
      <c r="N3" s="77"/>
      <c r="O3" s="77"/>
      <c r="P3" s="77"/>
    </row>
    <row r="4" spans="1:24" ht="140.1" customHeight="1" x14ac:dyDescent="0.2">
      <c r="C4" s="78"/>
      <c r="D4" s="79"/>
      <c r="E4" s="80"/>
      <c r="F4" s="81" t="s">
        <v>44</v>
      </c>
      <c r="G4" s="82" t="s">
        <v>301</v>
      </c>
      <c r="H4" s="83" t="s">
        <v>303</v>
      </c>
      <c r="I4" s="84" t="s">
        <v>268</v>
      </c>
      <c r="J4" s="235"/>
      <c r="K4" s="82" t="s">
        <v>301</v>
      </c>
      <c r="L4" s="86" t="s">
        <v>304</v>
      </c>
      <c r="M4" s="84" t="s">
        <v>268</v>
      </c>
      <c r="N4" s="235"/>
      <c r="O4" s="88"/>
    </row>
    <row r="5" spans="1:24" ht="19.5" customHeight="1" x14ac:dyDescent="0.2">
      <c r="A5" s="89"/>
      <c r="B5" s="1132" t="s">
        <v>43</v>
      </c>
      <c r="C5" s="90" t="s">
        <v>198</v>
      </c>
      <c r="D5" s="91">
        <v>0</v>
      </c>
      <c r="E5" s="92">
        <v>1</v>
      </c>
      <c r="F5" s="165" t="str">
        <f>BEGINBLAD!C4</f>
        <v>leelring 1</v>
      </c>
      <c r="G5" s="94">
        <f>'NIVEAU WAARDE - 1e toetsperiode'!F9</f>
        <v>4.0999999999999996</v>
      </c>
      <c r="H5" s="95">
        <f>'NIVEAU WAARDE - 2e toetsperiode'!F9</f>
        <v>4.8</v>
      </c>
      <c r="I5" s="96" t="str">
        <f>IF(H5=0,"",IF(H5&gt;4.5,"A-1+",IF(H5&gt;4,"A-1",IF(H5&gt;=4,"A-2",IF(H5&gt;3.4,"B-2",IF(H5&gt;=3,"B-3",IF(H5&gt;2.5,"C-3",IF(H5&gt;=2,"C-4",IF(H5&gt;1.6,"D-4",IF(H5&gt;=1,"D-5",IF(H5&gt;0.5,"E-5",IF(H5&gt;=0,"E-5-"))))))))))))</f>
        <v>A-1+</v>
      </c>
      <c r="J5" s="236" t="str">
        <f>IF(H5=0,"",IF(G5-H5&gt;0.5,"!",IF(H5-G5&gt;0.5,"*",IF(H5-G5&lt;=0.5,""))))</f>
        <v>*</v>
      </c>
      <c r="K5" s="243"/>
      <c r="L5" s="97"/>
      <c r="M5" s="96" t="str">
        <f>IF(L5=0,"",IF(L5&gt;4.5,"A-1+",IF(L5&gt;4,"A-1",IF(L5&gt;=4,"A-2",IF(L5&gt;3.4,"B-2",IF(L5&gt;=3,"B-3",IF(L5&gt;2.5,"C-3",IF(L5&gt;=2,"C-4",IF(L5&gt;1.6,"D-4",IF(L5&gt;=1,"D-5",IF(L5&gt;0.5,"E-5",IF(L5&gt;=0,"E-5-"))))))))))))</f>
        <v/>
      </c>
      <c r="N5" s="236" t="str">
        <f>IF(L5=0,"",IF(K5-L5&gt;0.5,"!",IF(L5-K5&gt;0.5,"*",IF(L5-K5&lt;=0.5,""))))</f>
        <v/>
      </c>
      <c r="O5" s="100"/>
    </row>
    <row r="6" spans="1:24" ht="19.5" customHeight="1" x14ac:dyDescent="0.2">
      <c r="A6" s="89"/>
      <c r="B6" s="1132"/>
      <c r="C6" s="101" t="s">
        <v>200</v>
      </c>
      <c r="D6" s="91">
        <v>0</v>
      </c>
      <c r="E6" s="92">
        <v>2</v>
      </c>
      <c r="F6" s="93" t="str">
        <f>BEGINBLAD!C5</f>
        <v>leerling 2</v>
      </c>
      <c r="G6" s="94">
        <f>'NIVEAU WAARDE - 1e toetsperiode'!F10</f>
        <v>0.3</v>
      </c>
      <c r="H6" s="95">
        <f>'NIVEAU WAARDE - 2e toetsperiode'!F10</f>
        <v>1.6</v>
      </c>
      <c r="I6" s="96" t="str">
        <f t="shared" ref="I6:I40" si="0">IF(H6=0,"",IF(H6&gt;4.5,"A-1+",IF(H6&gt;4,"A-1",IF(H6&gt;=4,"A-2",IF(H6&gt;3.4,"B-2",IF(H6&gt;=3,"B-3",IF(H6&gt;2.5,"C-3",IF(H6&gt;=2,"C-4",IF(H6&gt;1.6,"D-4",IF(H6&gt;=1,"D-5",IF(H6&gt;0.5,"E-5",IF(H6&gt;=0,"E-5-"))))))))))))</f>
        <v>D-5</v>
      </c>
      <c r="J6" s="236" t="str">
        <f t="shared" ref="J6:J40" si="1">IF(H6=0,"",IF(G6-H6&gt;0.5,"!",IF(H6-G6&gt;0.5,"*",IF(H6-G6&lt;=0.5,""))))</f>
        <v>*</v>
      </c>
      <c r="K6" s="243"/>
      <c r="L6" s="97"/>
      <c r="M6" s="96" t="str">
        <f t="shared" ref="M6:M40" si="2">IF(L6=0,"",IF(L6&gt;4.5,"A-1+",IF(L6&gt;4,"A-1",IF(L6&gt;=4,"A-2",IF(L6&gt;3.4,"B-2",IF(L6&gt;=3,"B-3",IF(L6&gt;2.5,"C-3",IF(L6&gt;=2,"C-4",IF(L6&gt;1.6,"D-4",IF(L6&gt;=1,"D-5",IF(L6&gt;0.5,"E-5",IF(L6&gt;=0,"E-5-"))))))))))))</f>
        <v/>
      </c>
      <c r="N6" s="236" t="str">
        <f t="shared" ref="N6:N40" si="3">IF(L6=0,"",IF(K6-L6&gt;0.5,"!",IF(L6-K6&gt;0.5,"*",IF(L6-K6&lt;=0.5,""))))</f>
        <v/>
      </c>
      <c r="O6" s="100"/>
      <c r="R6" s="147"/>
      <c r="S6" s="147"/>
      <c r="T6" s="147"/>
      <c r="U6" s="147"/>
      <c r="V6" s="147"/>
    </row>
    <row r="7" spans="1:24" ht="19.5" customHeight="1" x14ac:dyDescent="0.2">
      <c r="A7" s="102"/>
      <c r="B7" s="326"/>
      <c r="C7" s="328"/>
      <c r="D7" s="91">
        <v>0</v>
      </c>
      <c r="E7" s="92">
        <v>3</v>
      </c>
      <c r="F7" s="93" t="str">
        <f>BEGINBLAD!C6</f>
        <v>leerling 3</v>
      </c>
      <c r="G7" s="94">
        <f>'NIVEAU WAARDE - 1e toetsperiode'!F11</f>
        <v>1.2</v>
      </c>
      <c r="H7" s="95">
        <f>'NIVEAU WAARDE - 2e toetsperiode'!F11</f>
        <v>1.1000000000000001</v>
      </c>
      <c r="I7" s="96" t="str">
        <f t="shared" si="0"/>
        <v>D-5</v>
      </c>
      <c r="J7" s="236" t="str">
        <f t="shared" si="1"/>
        <v/>
      </c>
      <c r="K7" s="243"/>
      <c r="L7" s="97"/>
      <c r="M7" s="96" t="str">
        <f t="shared" si="2"/>
        <v/>
      </c>
      <c r="N7" s="236" t="str">
        <f t="shared" si="3"/>
        <v/>
      </c>
      <c r="O7" s="100"/>
      <c r="R7" s="148"/>
      <c r="S7" s="148"/>
      <c r="T7" s="148"/>
      <c r="U7" s="148"/>
      <c r="V7" s="148"/>
    </row>
    <row r="8" spans="1:24" ht="19.5" customHeight="1" x14ac:dyDescent="0.2">
      <c r="A8" s="102"/>
      <c r="B8" s="326"/>
      <c r="C8" s="328"/>
      <c r="D8" s="105">
        <v>0</v>
      </c>
      <c r="E8" s="92">
        <v>4</v>
      </c>
      <c r="F8" s="93" t="str">
        <f>BEGINBLAD!C7</f>
        <v>leerling 4</v>
      </c>
      <c r="G8" s="94">
        <f>'NIVEAU WAARDE - 1e toetsperiode'!F12</f>
        <v>0.8</v>
      </c>
      <c r="H8" s="95">
        <f>'NIVEAU WAARDE - 2e toetsperiode'!F12</f>
        <v>3.3</v>
      </c>
      <c r="I8" s="96" t="str">
        <f t="shared" si="0"/>
        <v>B-3</v>
      </c>
      <c r="J8" s="236" t="str">
        <f t="shared" si="1"/>
        <v>*</v>
      </c>
      <c r="K8" s="243"/>
      <c r="L8" s="106"/>
      <c r="M8" s="96" t="str">
        <f t="shared" si="2"/>
        <v/>
      </c>
      <c r="N8" s="236" t="str">
        <f t="shared" si="3"/>
        <v/>
      </c>
      <c r="O8" s="107"/>
      <c r="R8" s="148"/>
      <c r="S8" s="148"/>
      <c r="T8" s="148"/>
      <c r="U8" s="148"/>
      <c r="V8" s="148"/>
    </row>
    <row r="9" spans="1:24" ht="19.5" customHeight="1" x14ac:dyDescent="0.2">
      <c r="A9" s="102"/>
      <c r="B9" s="326"/>
      <c r="C9" s="328"/>
      <c r="D9" s="108">
        <v>0</v>
      </c>
      <c r="E9" s="92">
        <v>5</v>
      </c>
      <c r="F9" s="93" t="str">
        <f>BEGINBLAD!C8</f>
        <v>leerling 5</v>
      </c>
      <c r="G9" s="94">
        <f>'NIVEAU WAARDE - 1e toetsperiode'!F13</f>
        <v>3.4</v>
      </c>
      <c r="H9" s="95">
        <f>'NIVEAU WAARDE - 2e toetsperiode'!F13</f>
        <v>4</v>
      </c>
      <c r="I9" s="96" t="str">
        <f t="shared" si="0"/>
        <v>A-2</v>
      </c>
      <c r="J9" s="236" t="str">
        <f t="shared" si="1"/>
        <v>*</v>
      </c>
      <c r="K9" s="243"/>
      <c r="L9" s="109"/>
      <c r="M9" s="96" t="str">
        <f t="shared" si="2"/>
        <v/>
      </c>
      <c r="N9" s="236" t="str">
        <f t="shared" si="3"/>
        <v/>
      </c>
      <c r="O9" s="110"/>
      <c r="R9" s="148"/>
      <c r="S9" s="148"/>
      <c r="T9" s="148"/>
      <c r="U9" s="148"/>
      <c r="V9" s="148"/>
    </row>
    <row r="10" spans="1:24" ht="19.5" customHeight="1" x14ac:dyDescent="0.2">
      <c r="A10" s="102"/>
      <c r="B10" s="326"/>
      <c r="C10" s="328"/>
      <c r="D10" s="111">
        <v>0</v>
      </c>
      <c r="E10" s="92">
        <v>6</v>
      </c>
      <c r="F10" s="93" t="str">
        <f>BEGINBLAD!C9</f>
        <v>leerling 6</v>
      </c>
      <c r="G10" s="94">
        <f>'NIVEAU WAARDE - 1e toetsperiode'!F14</f>
        <v>1.4</v>
      </c>
      <c r="H10" s="95">
        <f>'NIVEAU WAARDE - 2e toetsperiode'!F14</f>
        <v>2.2999999999999998</v>
      </c>
      <c r="I10" s="96" t="str">
        <f t="shared" si="0"/>
        <v>C-4</v>
      </c>
      <c r="J10" s="236" t="str">
        <f t="shared" si="1"/>
        <v>*</v>
      </c>
      <c r="K10" s="243"/>
      <c r="L10" s="109"/>
      <c r="M10" s="96" t="str">
        <f t="shared" si="2"/>
        <v/>
      </c>
      <c r="N10" s="236" t="str">
        <f t="shared" si="3"/>
        <v/>
      </c>
      <c r="O10" s="112"/>
      <c r="R10" s="148"/>
      <c r="S10" s="148"/>
      <c r="T10" s="148"/>
      <c r="U10" s="148"/>
      <c r="V10" s="148"/>
    </row>
    <row r="11" spans="1:24" ht="19.5" customHeight="1" x14ac:dyDescent="0.2">
      <c r="A11" s="102"/>
      <c r="B11" s="326"/>
      <c r="C11" s="328"/>
      <c r="D11" s="111">
        <v>0</v>
      </c>
      <c r="E11" s="92">
        <v>7</v>
      </c>
      <c r="F11" s="93" t="str">
        <f>BEGINBLAD!C10</f>
        <v>leerling 7</v>
      </c>
      <c r="G11" s="94">
        <f>'NIVEAU WAARDE - 1e toetsperiode'!F15</f>
        <v>0.4</v>
      </c>
      <c r="H11" s="95">
        <f>'NIVEAU WAARDE - 2e toetsperiode'!F15</f>
        <v>1.1000000000000001</v>
      </c>
      <c r="I11" s="96" t="str">
        <f t="shared" si="0"/>
        <v>D-5</v>
      </c>
      <c r="J11" s="236" t="str">
        <f t="shared" si="1"/>
        <v>*</v>
      </c>
      <c r="K11" s="243"/>
      <c r="L11" s="109"/>
      <c r="M11" s="96" t="str">
        <f t="shared" si="2"/>
        <v/>
      </c>
      <c r="N11" s="236" t="str">
        <f t="shared" si="3"/>
        <v/>
      </c>
      <c r="O11" s="77"/>
      <c r="R11" s="148"/>
      <c r="S11" s="148"/>
      <c r="T11" s="148"/>
      <c r="U11" s="148"/>
      <c r="V11" s="148"/>
    </row>
    <row r="12" spans="1:24" ht="19.5" customHeight="1" x14ac:dyDescent="0.2">
      <c r="A12" s="102"/>
      <c r="B12" s="326"/>
      <c r="C12" s="328"/>
      <c r="D12" s="91">
        <v>0</v>
      </c>
      <c r="E12" s="92">
        <v>8</v>
      </c>
      <c r="F12" s="93" t="str">
        <f>BEGINBLAD!C11</f>
        <v>leerling 8</v>
      </c>
      <c r="G12" s="94">
        <f>'NIVEAU WAARDE - 1e toetsperiode'!F16</f>
        <v>1.7</v>
      </c>
      <c r="H12" s="95">
        <f>'NIVEAU WAARDE - 2e toetsperiode'!F16</f>
        <v>4</v>
      </c>
      <c r="I12" s="96" t="str">
        <f t="shared" si="0"/>
        <v>A-2</v>
      </c>
      <c r="J12" s="236" t="str">
        <f t="shared" si="1"/>
        <v>*</v>
      </c>
      <c r="K12" s="243"/>
      <c r="L12" s="109"/>
      <c r="M12" s="96" t="str">
        <f t="shared" si="2"/>
        <v/>
      </c>
      <c r="N12" s="236" t="str">
        <f t="shared" si="3"/>
        <v/>
      </c>
      <c r="O12" s="88"/>
      <c r="R12" s="148"/>
      <c r="S12" s="148"/>
      <c r="T12" s="148"/>
      <c r="U12" s="148"/>
      <c r="V12" s="148"/>
    </row>
    <row r="13" spans="1:24" ht="19.5" customHeight="1" x14ac:dyDescent="0.2">
      <c r="A13" s="102"/>
      <c r="B13" s="326"/>
      <c r="C13" s="328"/>
      <c r="D13" s="91">
        <v>0</v>
      </c>
      <c r="E13" s="92">
        <v>9</v>
      </c>
      <c r="F13" s="93" t="str">
        <f>BEGINBLAD!C12</f>
        <v>leerling 9</v>
      </c>
      <c r="G13" s="94">
        <f>'NIVEAU WAARDE - 1e toetsperiode'!F17</f>
        <v>1</v>
      </c>
      <c r="H13" s="95">
        <f>'NIVEAU WAARDE - 2e toetsperiode'!F17</f>
        <v>1.9</v>
      </c>
      <c r="I13" s="96" t="str">
        <f t="shared" si="0"/>
        <v>D-4</v>
      </c>
      <c r="J13" s="236" t="str">
        <f t="shared" si="1"/>
        <v>*</v>
      </c>
      <c r="K13" s="243"/>
      <c r="L13" s="109"/>
      <c r="M13" s="96" t="str">
        <f t="shared" si="2"/>
        <v/>
      </c>
      <c r="N13" s="236" t="str">
        <f t="shared" si="3"/>
        <v/>
      </c>
      <c r="O13" s="100"/>
      <c r="R13" s="149"/>
      <c r="S13" s="149"/>
      <c r="T13" s="149"/>
      <c r="U13" s="149"/>
      <c r="V13" s="149"/>
    </row>
    <row r="14" spans="1:24" ht="19.5" customHeight="1" thickBot="1" x14ac:dyDescent="0.25">
      <c r="A14" s="102"/>
      <c r="B14" s="326"/>
      <c r="C14" s="328"/>
      <c r="D14" s="91">
        <v>0</v>
      </c>
      <c r="E14" s="92">
        <v>10</v>
      </c>
      <c r="F14" s="93" t="str">
        <f>BEGINBLAD!C13</f>
        <v>leerling 10</v>
      </c>
      <c r="G14" s="94">
        <f>'NIVEAU WAARDE - 1e toetsperiode'!F18</f>
        <v>0.6</v>
      </c>
      <c r="H14" s="95">
        <f>'NIVEAU WAARDE - 2e toetsperiode'!F18</f>
        <v>0.9</v>
      </c>
      <c r="I14" s="96" t="str">
        <f t="shared" si="0"/>
        <v>E-5</v>
      </c>
      <c r="J14" s="236" t="str">
        <f t="shared" si="1"/>
        <v/>
      </c>
      <c r="K14" s="243"/>
      <c r="L14" s="109"/>
      <c r="M14" s="96" t="str">
        <f t="shared" si="2"/>
        <v/>
      </c>
      <c r="N14" s="236" t="str">
        <f t="shared" si="3"/>
        <v/>
      </c>
      <c r="O14" s="107"/>
      <c r="P14" s="113" t="s">
        <v>109</v>
      </c>
      <c r="R14" s="149"/>
      <c r="S14" s="149"/>
      <c r="T14" s="149"/>
      <c r="U14" s="149"/>
      <c r="V14" s="149"/>
    </row>
    <row r="15" spans="1:24" ht="19.5" customHeight="1" x14ac:dyDescent="0.2">
      <c r="A15" s="102"/>
      <c r="B15" s="326"/>
      <c r="C15" s="328"/>
      <c r="D15" s="91">
        <v>0</v>
      </c>
      <c r="E15" s="92">
        <v>11</v>
      </c>
      <c r="F15" s="93" t="str">
        <f>BEGINBLAD!C14</f>
        <v>leerling 11</v>
      </c>
      <c r="G15" s="94">
        <f>'NIVEAU WAARDE - 1e toetsperiode'!F19</f>
        <v>3.1</v>
      </c>
      <c r="H15" s="95">
        <f>'NIVEAU WAARDE - 2e toetsperiode'!F19</f>
        <v>4.5999999999999996</v>
      </c>
      <c r="I15" s="96" t="str">
        <f t="shared" si="0"/>
        <v>A-1+</v>
      </c>
      <c r="J15" s="236" t="str">
        <f t="shared" si="1"/>
        <v>*</v>
      </c>
      <c r="K15" s="243"/>
      <c r="L15" s="109"/>
      <c r="M15" s="96" t="str">
        <f t="shared" si="2"/>
        <v/>
      </c>
      <c r="N15" s="236" t="str">
        <f t="shared" si="3"/>
        <v/>
      </c>
      <c r="O15" s="1191" t="s">
        <v>135</v>
      </c>
      <c r="P15" s="1194">
        <f>'INTENSIEF - 2e periode'!F6</f>
        <v>0</v>
      </c>
      <c r="R15" s="149"/>
      <c r="S15" s="149"/>
      <c r="T15" s="149"/>
      <c r="U15" s="149"/>
      <c r="V15" s="149"/>
    </row>
    <row r="16" spans="1:24" ht="19.5" customHeight="1" x14ac:dyDescent="0.2">
      <c r="A16" s="102"/>
      <c r="B16" s="326"/>
      <c r="C16" s="328"/>
      <c r="D16" s="91">
        <v>0</v>
      </c>
      <c r="E16" s="92">
        <v>12</v>
      </c>
      <c r="F16" s="93" t="str">
        <f>BEGINBLAD!C15</f>
        <v>leerling 12</v>
      </c>
      <c r="G16" s="94">
        <f>'NIVEAU WAARDE - 1e toetsperiode'!F20</f>
        <v>0.2</v>
      </c>
      <c r="H16" s="95">
        <f>'NIVEAU WAARDE - 2e toetsperiode'!F20</f>
        <v>0.6</v>
      </c>
      <c r="I16" s="96" t="str">
        <f t="shared" si="0"/>
        <v>E-5</v>
      </c>
      <c r="J16" s="236" t="str">
        <f t="shared" si="1"/>
        <v/>
      </c>
      <c r="K16" s="243"/>
      <c r="L16" s="109"/>
      <c r="M16" s="96" t="str">
        <f t="shared" si="2"/>
        <v/>
      </c>
      <c r="N16" s="236" t="str">
        <f t="shared" si="3"/>
        <v/>
      </c>
      <c r="O16" s="1192"/>
      <c r="P16" s="1195"/>
      <c r="R16" s="149"/>
      <c r="S16" s="149"/>
      <c r="T16" s="149"/>
      <c r="U16" s="149"/>
      <c r="V16" s="149"/>
    </row>
    <row r="17" spans="1:24" ht="19.5" customHeight="1" x14ac:dyDescent="0.2">
      <c r="A17" s="102"/>
      <c r="B17" s="103"/>
      <c r="C17" s="689"/>
      <c r="D17" s="105">
        <v>0</v>
      </c>
      <c r="E17" s="92">
        <v>13</v>
      </c>
      <c r="F17" s="93" t="str">
        <f>BEGINBLAD!C16</f>
        <v>leerling 13</v>
      </c>
      <c r="G17" s="94">
        <f>'NIVEAU WAARDE - 1e toetsperiode'!F21</f>
        <v>2</v>
      </c>
      <c r="H17" s="95">
        <f>'NIVEAU WAARDE - 2e toetsperiode'!F21</f>
        <v>2.9</v>
      </c>
      <c r="I17" s="96" t="str">
        <f t="shared" si="0"/>
        <v>C-3</v>
      </c>
      <c r="J17" s="236" t="str">
        <f t="shared" si="1"/>
        <v>*</v>
      </c>
      <c r="K17" s="243"/>
      <c r="L17" s="109"/>
      <c r="M17" s="96" t="str">
        <f t="shared" si="2"/>
        <v/>
      </c>
      <c r="N17" s="236" t="str">
        <f t="shared" si="3"/>
        <v/>
      </c>
      <c r="O17" s="1198" t="s">
        <v>137</v>
      </c>
      <c r="P17" s="1196">
        <f>'INTENSIEF - 2e periode'!F8</f>
        <v>0</v>
      </c>
      <c r="R17" s="120"/>
      <c r="S17" s="120"/>
      <c r="T17" s="120"/>
      <c r="U17" s="120"/>
      <c r="V17" s="120"/>
    </row>
    <row r="18" spans="1:24" ht="19.5" customHeight="1" x14ac:dyDescent="0.2">
      <c r="A18" s="102"/>
      <c r="B18" s="103"/>
      <c r="C18" s="689"/>
      <c r="D18" s="111">
        <v>0</v>
      </c>
      <c r="E18" s="92">
        <v>14</v>
      </c>
      <c r="F18" s="93" t="str">
        <f>BEGINBLAD!C17</f>
        <v>leerling 14</v>
      </c>
      <c r="G18" s="94">
        <f>'NIVEAU WAARDE - 1e toetsperiode'!F22</f>
        <v>0.8</v>
      </c>
      <c r="H18" s="95">
        <f>'NIVEAU WAARDE - 2e toetsperiode'!F22</f>
        <v>1.6</v>
      </c>
      <c r="I18" s="96" t="str">
        <f t="shared" si="0"/>
        <v>D-5</v>
      </c>
      <c r="J18" s="236" t="str">
        <f t="shared" si="1"/>
        <v>*</v>
      </c>
      <c r="K18" s="243"/>
      <c r="L18" s="109"/>
      <c r="M18" s="96" t="str">
        <f t="shared" si="2"/>
        <v/>
      </c>
      <c r="N18" s="236" t="str">
        <f t="shared" si="3"/>
        <v/>
      </c>
      <c r="O18" s="1198"/>
      <c r="P18" s="1196"/>
      <c r="Q18" s="89"/>
      <c r="R18" s="114"/>
      <c r="S18" s="114"/>
      <c r="T18" s="114"/>
      <c r="U18" s="114"/>
      <c r="V18" s="114"/>
      <c r="W18" s="114"/>
    </row>
    <row r="19" spans="1:24" ht="19.5" customHeight="1" x14ac:dyDescent="0.2">
      <c r="D19" s="111">
        <v>0</v>
      </c>
      <c r="E19" s="92">
        <v>15</v>
      </c>
      <c r="F19" s="93" t="str">
        <f>BEGINBLAD!C18</f>
        <v>leerling 15</v>
      </c>
      <c r="G19" s="94">
        <f>'NIVEAU WAARDE - 1e toetsperiode'!F23</f>
        <v>3.1</v>
      </c>
      <c r="H19" s="95">
        <f>'NIVEAU WAARDE - 2e toetsperiode'!F23</f>
        <v>1.9</v>
      </c>
      <c r="I19" s="96" t="str">
        <f t="shared" si="0"/>
        <v>D-4</v>
      </c>
      <c r="J19" s="236" t="str">
        <f t="shared" si="1"/>
        <v>!</v>
      </c>
      <c r="K19" s="115"/>
      <c r="L19" s="106"/>
      <c r="M19" s="96" t="str">
        <f t="shared" si="2"/>
        <v/>
      </c>
      <c r="N19" s="236" t="str">
        <f t="shared" si="3"/>
        <v/>
      </c>
      <c r="O19" s="1198"/>
      <c r="P19" s="1196"/>
      <c r="Q19" s="116"/>
      <c r="R19" s="117"/>
      <c r="S19" s="117"/>
      <c r="T19" s="117"/>
      <c r="U19" s="118"/>
      <c r="V19" s="118"/>
      <c r="W19" s="118"/>
      <c r="X19" s="119"/>
    </row>
    <row r="20" spans="1:24" ht="19.5" customHeight="1" x14ac:dyDescent="0.2">
      <c r="D20" s="111">
        <v>0</v>
      </c>
      <c r="E20" s="92">
        <v>16</v>
      </c>
      <c r="F20" s="93" t="str">
        <f>BEGINBLAD!C19</f>
        <v>leerling 16</v>
      </c>
      <c r="G20" s="94">
        <f>'NIVEAU WAARDE - 1e toetsperiode'!F24</f>
        <v>0.8</v>
      </c>
      <c r="H20" s="95">
        <f>'NIVEAU WAARDE - 2e toetsperiode'!F24</f>
        <v>0.2</v>
      </c>
      <c r="I20" s="96" t="str">
        <f t="shared" si="0"/>
        <v>E-5-</v>
      </c>
      <c r="J20" s="236" t="str">
        <f t="shared" si="1"/>
        <v>!</v>
      </c>
      <c r="K20" s="115"/>
      <c r="L20" s="106"/>
      <c r="M20" s="96" t="str">
        <f t="shared" si="2"/>
        <v/>
      </c>
      <c r="N20" s="236" t="str">
        <f t="shared" si="3"/>
        <v/>
      </c>
      <c r="O20" s="1198"/>
      <c r="P20" s="1196"/>
      <c r="Q20" s="116"/>
      <c r="R20" s="120"/>
      <c r="S20" s="120"/>
      <c r="T20" s="120"/>
      <c r="U20" s="120"/>
      <c r="V20" s="120"/>
      <c r="W20" s="120"/>
    </row>
    <row r="21" spans="1:24" ht="19.5" customHeight="1" x14ac:dyDescent="0.2">
      <c r="D21" s="111">
        <v>0</v>
      </c>
      <c r="E21" s="92">
        <v>17</v>
      </c>
      <c r="F21" s="93" t="str">
        <f>BEGINBLAD!C20</f>
        <v>leerling 17</v>
      </c>
      <c r="G21" s="94">
        <f>'NIVEAU WAARDE - 1e toetsperiode'!F25</f>
        <v>0.2</v>
      </c>
      <c r="H21" s="95">
        <f>'NIVEAU WAARDE - 2e toetsperiode'!F25</f>
        <v>2.2999999999999998</v>
      </c>
      <c r="I21" s="96" t="str">
        <f t="shared" si="0"/>
        <v>C-4</v>
      </c>
      <c r="J21" s="236" t="str">
        <f t="shared" si="1"/>
        <v>*</v>
      </c>
      <c r="K21" s="115"/>
      <c r="L21" s="121"/>
      <c r="M21" s="96" t="str">
        <f t="shared" si="2"/>
        <v/>
      </c>
      <c r="N21" s="236" t="str">
        <f t="shared" si="3"/>
        <v/>
      </c>
      <c r="O21" s="1198"/>
      <c r="P21" s="1196"/>
      <c r="Q21" s="116"/>
      <c r="R21" s="120"/>
      <c r="S21" s="120"/>
      <c r="T21" s="120"/>
      <c r="U21" s="120"/>
      <c r="V21" s="120"/>
      <c r="W21" s="120"/>
    </row>
    <row r="22" spans="1:24" ht="19.5" customHeight="1" x14ac:dyDescent="0.2">
      <c r="D22" s="111">
        <v>0</v>
      </c>
      <c r="E22" s="92">
        <v>18</v>
      </c>
      <c r="F22" s="93" t="str">
        <f>BEGINBLAD!C21</f>
        <v>leerling 18</v>
      </c>
      <c r="G22" s="94">
        <f>'NIVEAU WAARDE - 1e toetsperiode'!F26</f>
        <v>2.2000000000000002</v>
      </c>
      <c r="H22" s="95">
        <f>'NIVEAU WAARDE - 2e toetsperiode'!F26</f>
        <v>2.6</v>
      </c>
      <c r="I22" s="96" t="str">
        <f t="shared" si="0"/>
        <v>C-3</v>
      </c>
      <c r="J22" s="236" t="str">
        <f t="shared" si="1"/>
        <v/>
      </c>
      <c r="K22" s="115"/>
      <c r="L22" s="97"/>
      <c r="M22" s="96" t="str">
        <f t="shared" si="2"/>
        <v/>
      </c>
      <c r="N22" s="236" t="str">
        <f t="shared" si="3"/>
        <v/>
      </c>
      <c r="O22" s="1198"/>
      <c r="P22" s="1196"/>
      <c r="Q22" s="116"/>
      <c r="R22" s="120"/>
      <c r="S22" s="120"/>
      <c r="T22" s="120"/>
      <c r="U22" s="120"/>
      <c r="V22" s="120"/>
      <c r="W22" s="120"/>
    </row>
    <row r="23" spans="1:24" ht="19.5" customHeight="1" x14ac:dyDescent="0.2">
      <c r="B23" s="122"/>
      <c r="C23" s="122"/>
      <c r="D23" s="111">
        <v>0</v>
      </c>
      <c r="E23" s="92">
        <v>19</v>
      </c>
      <c r="F23" s="93" t="str">
        <f>BEGINBLAD!C22</f>
        <v>leerling 19</v>
      </c>
      <c r="G23" s="94">
        <f>'NIVEAU WAARDE - 1e toetsperiode'!F27</f>
        <v>1.2</v>
      </c>
      <c r="H23" s="95">
        <f>'NIVEAU WAARDE - 2e toetsperiode'!F27</f>
        <v>2.9</v>
      </c>
      <c r="I23" s="96" t="str">
        <f t="shared" si="0"/>
        <v>C-3</v>
      </c>
      <c r="J23" s="236" t="str">
        <f t="shared" si="1"/>
        <v>*</v>
      </c>
      <c r="K23" s="115"/>
      <c r="L23" s="121"/>
      <c r="M23" s="96" t="str">
        <f t="shared" si="2"/>
        <v/>
      </c>
      <c r="N23" s="236" t="str">
        <f t="shared" si="3"/>
        <v/>
      </c>
      <c r="O23" s="1198"/>
      <c r="P23" s="1196"/>
    </row>
    <row r="24" spans="1:24" ht="19.5" customHeight="1" thickBot="1" x14ac:dyDescent="0.25">
      <c r="B24" s="123"/>
      <c r="C24" s="122"/>
      <c r="D24" s="111">
        <v>0</v>
      </c>
      <c r="E24" s="92">
        <v>20</v>
      </c>
      <c r="F24" s="93" t="str">
        <f>BEGINBLAD!C23</f>
        <v>leerling 20</v>
      </c>
      <c r="G24" s="94">
        <f>'NIVEAU WAARDE - 1e toetsperiode'!F28</f>
        <v>0.8</v>
      </c>
      <c r="H24" s="95">
        <f>'NIVEAU WAARDE - 2e toetsperiode'!F28</f>
        <v>2.6</v>
      </c>
      <c r="I24" s="96" t="str">
        <f t="shared" si="0"/>
        <v>C-3</v>
      </c>
      <c r="J24" s="236" t="str">
        <f t="shared" si="1"/>
        <v>*</v>
      </c>
      <c r="K24" s="124"/>
      <c r="L24" s="121"/>
      <c r="M24" s="96" t="str">
        <f t="shared" si="2"/>
        <v/>
      </c>
      <c r="N24" s="236" t="str">
        <f t="shared" si="3"/>
        <v/>
      </c>
      <c r="O24" s="1199"/>
      <c r="P24" s="1197"/>
      <c r="Q24" s="116"/>
      <c r="R24" s="120"/>
      <c r="S24" s="120"/>
      <c r="T24" s="120"/>
      <c r="U24" s="120"/>
      <c r="V24" s="120"/>
      <c r="W24" s="120"/>
    </row>
    <row r="25" spans="1:24" ht="19.5" customHeight="1" thickBot="1" x14ac:dyDescent="0.25">
      <c r="B25" s="123"/>
      <c r="C25" s="122"/>
      <c r="D25" s="111">
        <v>0</v>
      </c>
      <c r="E25" s="92">
        <v>21</v>
      </c>
      <c r="F25" s="93" t="str">
        <f>BEGINBLAD!C24</f>
        <v>leerling 21</v>
      </c>
      <c r="G25" s="94">
        <f>'NIVEAU WAARDE - 1e toetsperiode'!F29</f>
        <v>0.6</v>
      </c>
      <c r="H25" s="95">
        <f>'NIVEAU WAARDE - 2e toetsperiode'!F29</f>
        <v>2.6</v>
      </c>
      <c r="I25" s="96" t="str">
        <f t="shared" si="0"/>
        <v>C-3</v>
      </c>
      <c r="J25" s="236" t="str">
        <f t="shared" si="1"/>
        <v>*</v>
      </c>
      <c r="K25" s="124"/>
      <c r="L25" s="121"/>
      <c r="M25" s="96" t="str">
        <f t="shared" si="2"/>
        <v/>
      </c>
      <c r="N25" s="236" t="str">
        <f t="shared" si="3"/>
        <v/>
      </c>
      <c r="O25" s="107"/>
      <c r="P25" s="113" t="s">
        <v>282</v>
      </c>
      <c r="Q25" s="116"/>
      <c r="R25" s="120"/>
      <c r="S25" s="120"/>
      <c r="T25" s="120"/>
      <c r="U25" s="120"/>
      <c r="V25" s="120"/>
      <c r="W25" s="120"/>
    </row>
    <row r="26" spans="1:24" ht="19.5" customHeight="1" x14ac:dyDescent="0.2">
      <c r="D26" s="111">
        <v>0</v>
      </c>
      <c r="E26" s="92">
        <v>22</v>
      </c>
      <c r="F26" s="93" t="str">
        <f>BEGINBLAD!C25</f>
        <v>leerling 22</v>
      </c>
      <c r="G26" s="94">
        <f>'NIVEAU WAARDE - 1e toetsperiode'!F30</f>
        <v>1.7</v>
      </c>
      <c r="H26" s="95">
        <f>'NIVEAU WAARDE - 2e toetsperiode'!F30</f>
        <v>3.3</v>
      </c>
      <c r="I26" s="96" t="str">
        <f t="shared" si="0"/>
        <v>B-3</v>
      </c>
      <c r="J26" s="236" t="str">
        <f t="shared" si="1"/>
        <v>*</v>
      </c>
      <c r="K26" s="124"/>
      <c r="L26" s="121"/>
      <c r="M26" s="96" t="str">
        <f t="shared" si="2"/>
        <v/>
      </c>
      <c r="N26" s="236" t="str">
        <f t="shared" si="3"/>
        <v/>
      </c>
      <c r="O26" s="1191" t="s">
        <v>135</v>
      </c>
      <c r="P26" s="1194">
        <f>'BASISAANPAK - 2e periode'!F6</f>
        <v>0</v>
      </c>
      <c r="Q26" s="89"/>
      <c r="R26" s="114"/>
      <c r="S26" s="114"/>
      <c r="T26" s="114"/>
      <c r="U26" s="114"/>
      <c r="V26" s="114"/>
      <c r="W26" s="114"/>
    </row>
    <row r="27" spans="1:24" s="126" customFormat="1" ht="19.5" customHeight="1" x14ac:dyDescent="0.4">
      <c r="A27" s="89"/>
      <c r="B27" s="1132" t="s">
        <v>43</v>
      </c>
      <c r="C27" s="90" t="s">
        <v>210</v>
      </c>
      <c r="D27" s="105">
        <v>0</v>
      </c>
      <c r="E27" s="92">
        <v>23</v>
      </c>
      <c r="F27" s="93" t="str">
        <f>BEGINBLAD!C26</f>
        <v>leerling 23</v>
      </c>
      <c r="G27" s="94">
        <f>'NIVEAU WAARDE - 1e toetsperiode'!F31</f>
        <v>3.4</v>
      </c>
      <c r="H27" s="95">
        <f>'NIVEAU WAARDE - 2e toetsperiode'!F31</f>
        <v>4</v>
      </c>
      <c r="I27" s="96" t="str">
        <f t="shared" si="0"/>
        <v>A-2</v>
      </c>
      <c r="J27" s="236" t="str">
        <f t="shared" si="1"/>
        <v>*</v>
      </c>
      <c r="K27" s="124"/>
      <c r="L27" s="121"/>
      <c r="M27" s="96" t="str">
        <f t="shared" si="2"/>
        <v/>
      </c>
      <c r="N27" s="236" t="str">
        <f t="shared" si="3"/>
        <v/>
      </c>
      <c r="O27" s="1192"/>
      <c r="P27" s="1195"/>
      <c r="Q27" s="125"/>
      <c r="R27" s="125"/>
      <c r="S27" s="125"/>
      <c r="T27" s="125"/>
      <c r="U27" s="125"/>
      <c r="V27" s="125"/>
      <c r="W27" s="125"/>
    </row>
    <row r="28" spans="1:24" ht="19.5" customHeight="1" x14ac:dyDescent="0.4">
      <c r="A28" s="89"/>
      <c r="B28" s="1132"/>
      <c r="C28" s="101" t="s">
        <v>200</v>
      </c>
      <c r="D28" s="105">
        <v>0</v>
      </c>
      <c r="E28" s="92">
        <v>24</v>
      </c>
      <c r="F28" s="93" t="str">
        <f>BEGINBLAD!C27</f>
        <v>leerling 24</v>
      </c>
      <c r="G28" s="94">
        <f>'NIVEAU WAARDE - 1e toetsperiode'!F32</f>
        <v>2.2000000000000002</v>
      </c>
      <c r="H28" s="95">
        <f>'NIVEAU WAARDE - 2e toetsperiode'!F32</f>
        <v>2.9</v>
      </c>
      <c r="I28" s="96" t="str">
        <f t="shared" si="0"/>
        <v>C-3</v>
      </c>
      <c r="J28" s="236" t="str">
        <f t="shared" si="1"/>
        <v>*</v>
      </c>
      <c r="K28" s="124"/>
      <c r="L28" s="121"/>
      <c r="M28" s="96" t="str">
        <f t="shared" si="2"/>
        <v/>
      </c>
      <c r="N28" s="236" t="str">
        <f t="shared" si="3"/>
        <v/>
      </c>
      <c r="O28" s="1192" t="s">
        <v>137</v>
      </c>
      <c r="P28" s="1200">
        <f>'BASISAANPAK - 2e periode'!F8</f>
        <v>0</v>
      </c>
      <c r="Q28" s="77"/>
      <c r="R28" s="127"/>
      <c r="S28" s="88"/>
      <c r="T28" s="88"/>
      <c r="U28" s="88"/>
      <c r="V28" s="88"/>
      <c r="W28" s="88"/>
    </row>
    <row r="29" spans="1:24" ht="19.5" customHeight="1" x14ac:dyDescent="0.2">
      <c r="A29" s="102"/>
      <c r="B29" s="103"/>
      <c r="C29" s="689"/>
      <c r="D29" s="91">
        <v>0</v>
      </c>
      <c r="E29" s="92">
        <v>25</v>
      </c>
      <c r="F29" s="93" t="str">
        <f>BEGINBLAD!C28</f>
        <v>leerling 25</v>
      </c>
      <c r="G29" s="94">
        <f>'NIVEAU WAARDE - 1e toetsperiode'!F33</f>
        <v>1.2</v>
      </c>
      <c r="H29" s="95">
        <f>'NIVEAU WAARDE - 2e toetsperiode'!F33</f>
        <v>2.9</v>
      </c>
      <c r="I29" s="96" t="str">
        <f t="shared" si="0"/>
        <v>C-3</v>
      </c>
      <c r="J29" s="236" t="str">
        <f t="shared" si="1"/>
        <v>*</v>
      </c>
      <c r="K29" s="124"/>
      <c r="L29" s="121"/>
      <c r="M29" s="96" t="str">
        <f t="shared" si="2"/>
        <v/>
      </c>
      <c r="N29" s="236" t="str">
        <f t="shared" si="3"/>
        <v/>
      </c>
      <c r="O29" s="1192"/>
      <c r="P29" s="1200"/>
      <c r="Q29" s="128"/>
      <c r="R29" s="117"/>
      <c r="S29" s="117"/>
      <c r="T29" s="117"/>
      <c r="U29" s="117"/>
      <c r="V29" s="117"/>
      <c r="W29" s="117"/>
    </row>
    <row r="30" spans="1:24" ht="19.5" customHeight="1" x14ac:dyDescent="0.2">
      <c r="A30" s="102"/>
      <c r="B30" s="103"/>
      <c r="C30" s="689"/>
      <c r="D30" s="91">
        <v>0</v>
      </c>
      <c r="E30" s="92">
        <v>26</v>
      </c>
      <c r="F30" s="93" t="str">
        <f>BEGINBLAD!C29</f>
        <v>leerling 26</v>
      </c>
      <c r="G30" s="94">
        <f>'NIVEAU WAARDE - 1e toetsperiode'!F34</f>
        <v>2.5</v>
      </c>
      <c r="H30" s="95">
        <f>'NIVEAU WAARDE - 2e toetsperiode'!F34</f>
        <v>2.2999999999999998</v>
      </c>
      <c r="I30" s="96" t="str">
        <f t="shared" si="0"/>
        <v>C-4</v>
      </c>
      <c r="J30" s="236" t="str">
        <f t="shared" si="1"/>
        <v/>
      </c>
      <c r="K30" s="124"/>
      <c r="L30" s="121"/>
      <c r="M30" s="96" t="str">
        <f t="shared" si="2"/>
        <v/>
      </c>
      <c r="N30" s="236" t="str">
        <f t="shared" si="3"/>
        <v/>
      </c>
      <c r="O30" s="1192"/>
      <c r="P30" s="1200"/>
      <c r="Q30" s="116"/>
      <c r="R30" s="120"/>
      <c r="S30" s="120"/>
      <c r="T30" s="120"/>
      <c r="U30" s="120"/>
      <c r="V30" s="120"/>
      <c r="W30" s="120"/>
    </row>
    <row r="31" spans="1:24" ht="19.5" customHeight="1" x14ac:dyDescent="0.2">
      <c r="A31" s="102"/>
      <c r="B31" s="103"/>
      <c r="C31" s="689"/>
      <c r="D31" s="91">
        <v>0</v>
      </c>
      <c r="E31" s="92">
        <v>27</v>
      </c>
      <c r="F31" s="93">
        <f>BEGINBLAD!C30</f>
        <v>0</v>
      </c>
      <c r="G31" s="94">
        <f>'NIVEAU WAARDE - 1e toetsperiode'!F35</f>
        <v>0</v>
      </c>
      <c r="H31" s="95">
        <f>'NIVEAU WAARDE - 2e toetsperiode'!F35</f>
        <v>0</v>
      </c>
      <c r="I31" s="96" t="str">
        <f t="shared" si="0"/>
        <v/>
      </c>
      <c r="J31" s="236" t="str">
        <f t="shared" si="1"/>
        <v/>
      </c>
      <c r="K31" s="124"/>
      <c r="L31" s="121"/>
      <c r="M31" s="96" t="str">
        <f t="shared" si="2"/>
        <v/>
      </c>
      <c r="N31" s="236" t="str">
        <f t="shared" si="3"/>
        <v/>
      </c>
      <c r="O31" s="1192"/>
      <c r="P31" s="1200"/>
      <c r="Q31" s="116"/>
      <c r="R31" s="120"/>
      <c r="S31" s="120"/>
      <c r="T31" s="120"/>
      <c r="U31" s="120"/>
      <c r="V31" s="120"/>
      <c r="W31" s="120"/>
    </row>
    <row r="32" spans="1:24" ht="19.5" customHeight="1" x14ac:dyDescent="0.2">
      <c r="A32" s="102"/>
      <c r="B32" s="103"/>
      <c r="C32" s="689"/>
      <c r="D32" s="91">
        <v>0</v>
      </c>
      <c r="E32" s="92">
        <v>28</v>
      </c>
      <c r="F32" s="93">
        <f>BEGINBLAD!C31</f>
        <v>0</v>
      </c>
      <c r="G32" s="94">
        <f>'NIVEAU WAARDE - 1e toetsperiode'!F36</f>
        <v>0</v>
      </c>
      <c r="H32" s="95">
        <f>'NIVEAU WAARDE - 2e toetsperiode'!F36</f>
        <v>0</v>
      </c>
      <c r="I32" s="96" t="str">
        <f t="shared" si="0"/>
        <v/>
      </c>
      <c r="J32" s="236" t="str">
        <f t="shared" si="1"/>
        <v/>
      </c>
      <c r="K32" s="124"/>
      <c r="L32" s="121"/>
      <c r="M32" s="96" t="str">
        <f t="shared" si="2"/>
        <v/>
      </c>
      <c r="N32" s="236" t="str">
        <f t="shared" si="3"/>
        <v/>
      </c>
      <c r="O32" s="1192"/>
      <c r="P32" s="1200"/>
      <c r="Q32" s="116"/>
      <c r="R32" s="120"/>
      <c r="S32" s="120"/>
      <c r="T32" s="120"/>
      <c r="U32" s="120"/>
      <c r="V32" s="120"/>
      <c r="W32" s="120"/>
    </row>
    <row r="33" spans="1:27" ht="19.5" customHeight="1" x14ac:dyDescent="0.2">
      <c r="A33" s="102"/>
      <c r="B33" s="103"/>
      <c r="C33" s="689"/>
      <c r="D33" s="91">
        <v>0</v>
      </c>
      <c r="E33" s="92">
        <v>29</v>
      </c>
      <c r="F33" s="93">
        <f>BEGINBLAD!C32</f>
        <v>0</v>
      </c>
      <c r="G33" s="94">
        <f>'NIVEAU WAARDE - 1e toetsperiode'!F37</f>
        <v>0</v>
      </c>
      <c r="H33" s="95">
        <f>'NIVEAU WAARDE - 2e toetsperiode'!F37</f>
        <v>0</v>
      </c>
      <c r="I33" s="96" t="str">
        <f t="shared" si="0"/>
        <v/>
      </c>
      <c r="J33" s="236" t="str">
        <f t="shared" si="1"/>
        <v/>
      </c>
      <c r="K33" s="124"/>
      <c r="L33" s="121"/>
      <c r="M33" s="96" t="str">
        <f t="shared" si="2"/>
        <v/>
      </c>
      <c r="N33" s="236" t="str">
        <f t="shared" si="3"/>
        <v/>
      </c>
      <c r="O33" s="1192"/>
      <c r="P33" s="1200"/>
      <c r="Q33" s="116"/>
      <c r="R33" s="120"/>
      <c r="S33" s="120"/>
      <c r="T33" s="120"/>
      <c r="U33" s="120"/>
      <c r="V33" s="120"/>
      <c r="W33" s="120"/>
    </row>
    <row r="34" spans="1:27" ht="19.5" customHeight="1" x14ac:dyDescent="0.2">
      <c r="A34" s="102"/>
      <c r="B34" s="103"/>
      <c r="C34" s="689"/>
      <c r="D34" s="91">
        <v>0</v>
      </c>
      <c r="E34" s="92">
        <v>30</v>
      </c>
      <c r="F34" s="93">
        <f>BEGINBLAD!C33</f>
        <v>0</v>
      </c>
      <c r="G34" s="94">
        <f>'NIVEAU WAARDE - 1e toetsperiode'!F38</f>
        <v>0</v>
      </c>
      <c r="H34" s="95">
        <f>'NIVEAU WAARDE - 2e toetsperiode'!F38</f>
        <v>0</v>
      </c>
      <c r="I34" s="96" t="str">
        <f t="shared" si="0"/>
        <v/>
      </c>
      <c r="J34" s="236" t="str">
        <f t="shared" si="1"/>
        <v/>
      </c>
      <c r="K34" s="124"/>
      <c r="L34" s="121"/>
      <c r="M34" s="96" t="str">
        <f t="shared" si="2"/>
        <v/>
      </c>
      <c r="N34" s="236" t="str">
        <f t="shared" si="3"/>
        <v/>
      </c>
      <c r="O34" s="1192"/>
      <c r="P34" s="1200"/>
      <c r="Q34" s="116"/>
      <c r="R34" s="120"/>
      <c r="S34" s="120"/>
      <c r="T34" s="120"/>
      <c r="U34" s="120"/>
      <c r="V34" s="120"/>
      <c r="W34" s="120"/>
    </row>
    <row r="35" spans="1:27" ht="19.5" customHeight="1" thickBot="1" x14ac:dyDescent="0.25">
      <c r="A35" s="102"/>
      <c r="B35" s="103"/>
      <c r="C35" s="689"/>
      <c r="D35" s="91">
        <v>0</v>
      </c>
      <c r="E35" s="92">
        <v>31</v>
      </c>
      <c r="F35" s="93">
        <f>BEGINBLAD!C34</f>
        <v>0</v>
      </c>
      <c r="G35" s="94">
        <f>'NIVEAU WAARDE - 1e toetsperiode'!F39</f>
        <v>0</v>
      </c>
      <c r="H35" s="95">
        <f>'NIVEAU WAARDE - 2e toetsperiode'!F39</f>
        <v>0</v>
      </c>
      <c r="I35" s="96" t="str">
        <f t="shared" si="0"/>
        <v/>
      </c>
      <c r="J35" s="236" t="str">
        <f t="shared" si="1"/>
        <v/>
      </c>
      <c r="K35" s="124"/>
      <c r="L35" s="121"/>
      <c r="M35" s="96" t="str">
        <f t="shared" si="2"/>
        <v/>
      </c>
      <c r="N35" s="236" t="str">
        <f t="shared" si="3"/>
        <v/>
      </c>
      <c r="O35" s="1193"/>
      <c r="P35" s="1201"/>
      <c r="Q35" s="116"/>
      <c r="R35" s="120"/>
      <c r="S35" s="120"/>
      <c r="T35" s="120"/>
      <c r="U35" s="120"/>
      <c r="V35" s="120"/>
      <c r="W35" s="120"/>
    </row>
    <row r="36" spans="1:27" ht="19.5" customHeight="1" thickBot="1" x14ac:dyDescent="0.25">
      <c r="A36" s="102"/>
      <c r="B36" s="103"/>
      <c r="C36" s="689"/>
      <c r="D36" s="91">
        <v>0</v>
      </c>
      <c r="E36" s="92">
        <v>32</v>
      </c>
      <c r="F36" s="93">
        <f>BEGINBLAD!C35</f>
        <v>0</v>
      </c>
      <c r="G36" s="94">
        <f>'NIVEAU WAARDE - 1e toetsperiode'!F40</f>
        <v>0</v>
      </c>
      <c r="H36" s="95">
        <f>'NIVEAU WAARDE - 2e toetsperiode'!F40</f>
        <v>0</v>
      </c>
      <c r="I36" s="96" t="str">
        <f t="shared" si="0"/>
        <v/>
      </c>
      <c r="J36" s="236" t="str">
        <f t="shared" si="1"/>
        <v/>
      </c>
      <c r="K36" s="124"/>
      <c r="L36" s="121"/>
      <c r="M36" s="96" t="str">
        <f t="shared" si="2"/>
        <v/>
      </c>
      <c r="N36" s="236" t="str">
        <f t="shared" si="3"/>
        <v/>
      </c>
      <c r="O36" s="107"/>
      <c r="P36" s="113" t="s">
        <v>108</v>
      </c>
      <c r="Q36" s="116"/>
      <c r="R36" s="120"/>
      <c r="S36" s="120"/>
      <c r="T36" s="120"/>
      <c r="U36" s="120"/>
      <c r="V36" s="120"/>
      <c r="W36" s="120"/>
    </row>
    <row r="37" spans="1:27" ht="19.5" customHeight="1" x14ac:dyDescent="0.2">
      <c r="A37" s="102"/>
      <c r="B37" s="103"/>
      <c r="C37" s="689"/>
      <c r="D37" s="91">
        <v>0</v>
      </c>
      <c r="E37" s="92">
        <v>33</v>
      </c>
      <c r="F37" s="93">
        <f>BEGINBLAD!C36</f>
        <v>0</v>
      </c>
      <c r="G37" s="94">
        <f>'NIVEAU WAARDE - 1e toetsperiode'!F41</f>
        <v>0</v>
      </c>
      <c r="H37" s="95">
        <f>'NIVEAU WAARDE - 2e toetsperiode'!F41</f>
        <v>0</v>
      </c>
      <c r="I37" s="96" t="str">
        <f t="shared" si="0"/>
        <v/>
      </c>
      <c r="J37" s="236" t="str">
        <f t="shared" si="1"/>
        <v/>
      </c>
      <c r="K37" s="124"/>
      <c r="L37" s="121"/>
      <c r="M37" s="96" t="str">
        <f t="shared" si="2"/>
        <v/>
      </c>
      <c r="N37" s="236" t="str">
        <f t="shared" si="3"/>
        <v/>
      </c>
      <c r="O37" s="1191" t="s">
        <v>135</v>
      </c>
      <c r="P37" s="1194">
        <f>'VERRIJKT - 2e periode'!F6</f>
        <v>0</v>
      </c>
      <c r="Q37" s="116"/>
      <c r="R37" s="120"/>
      <c r="S37" s="120"/>
      <c r="T37" s="120"/>
      <c r="U37" s="120"/>
      <c r="V37" s="120"/>
      <c r="W37" s="120"/>
    </row>
    <row r="38" spans="1:27" ht="19.5" customHeight="1" x14ac:dyDescent="0.2">
      <c r="A38" s="102"/>
      <c r="B38" s="103"/>
      <c r="C38" s="689"/>
      <c r="D38" s="91">
        <v>0</v>
      </c>
      <c r="E38" s="92">
        <v>34</v>
      </c>
      <c r="F38" s="93">
        <f>BEGINBLAD!C37</f>
        <v>0</v>
      </c>
      <c r="G38" s="94">
        <f>'NIVEAU WAARDE - 1e toetsperiode'!F42</f>
        <v>0</v>
      </c>
      <c r="H38" s="95">
        <f>'NIVEAU WAARDE - 2e toetsperiode'!F42</f>
        <v>0</v>
      </c>
      <c r="I38" s="96" t="str">
        <f t="shared" si="0"/>
        <v/>
      </c>
      <c r="J38" s="236" t="str">
        <f t="shared" si="1"/>
        <v/>
      </c>
      <c r="K38" s="124"/>
      <c r="L38" s="121"/>
      <c r="M38" s="96" t="str">
        <f t="shared" si="2"/>
        <v/>
      </c>
      <c r="N38" s="236" t="str">
        <f t="shared" si="3"/>
        <v/>
      </c>
      <c r="O38" s="1192"/>
      <c r="P38" s="1195"/>
      <c r="Q38" s="116"/>
      <c r="R38" s="120"/>
      <c r="S38" s="120"/>
      <c r="T38" s="120"/>
      <c r="U38" s="120"/>
      <c r="V38" s="120"/>
      <c r="W38" s="120"/>
    </row>
    <row r="39" spans="1:27" ht="19.5" customHeight="1" x14ac:dyDescent="0.2">
      <c r="A39" s="102"/>
      <c r="B39" s="103"/>
      <c r="C39" s="689"/>
      <c r="D39" s="91">
        <v>0</v>
      </c>
      <c r="E39" s="92">
        <v>35</v>
      </c>
      <c r="F39" s="93">
        <f>BEGINBLAD!C38</f>
        <v>0</v>
      </c>
      <c r="G39" s="94">
        <f>'NIVEAU WAARDE - 1e toetsperiode'!F43</f>
        <v>0</v>
      </c>
      <c r="H39" s="95">
        <f>'NIVEAU WAARDE - 2e toetsperiode'!F43</f>
        <v>0</v>
      </c>
      <c r="I39" s="96" t="str">
        <f t="shared" si="0"/>
        <v/>
      </c>
      <c r="J39" s="236" t="str">
        <f t="shared" si="1"/>
        <v/>
      </c>
      <c r="K39" s="124"/>
      <c r="L39" s="121"/>
      <c r="M39" s="96" t="str">
        <f t="shared" si="2"/>
        <v/>
      </c>
      <c r="N39" s="236" t="str">
        <f t="shared" si="3"/>
        <v/>
      </c>
      <c r="O39" s="1192" t="s">
        <v>137</v>
      </c>
      <c r="P39" s="1189">
        <f>'VERRIJKT - 2e periode'!F8</f>
        <v>0</v>
      </c>
      <c r="Q39" s="116"/>
      <c r="R39" s="120"/>
      <c r="S39" s="120"/>
      <c r="T39" s="120"/>
      <c r="U39" s="120"/>
      <c r="V39" s="120"/>
      <c r="W39" s="120"/>
    </row>
    <row r="40" spans="1:27" s="89" customFormat="1" ht="19.5" customHeight="1" thickBot="1" x14ac:dyDescent="0.25">
      <c r="A40" s="102"/>
      <c r="B40" s="103"/>
      <c r="C40" s="689"/>
      <c r="D40" s="91">
        <v>0</v>
      </c>
      <c r="E40" s="130">
        <v>36</v>
      </c>
      <c r="F40" s="131">
        <f>BEGINBLAD!C39</f>
        <v>0</v>
      </c>
      <c r="G40" s="132">
        <f>'NIVEAU WAARDE - 1e toetsperiode'!F44</f>
        <v>0</v>
      </c>
      <c r="H40" s="133">
        <f>'NIVEAU WAARDE - 2e toetsperiode'!F44</f>
        <v>0</v>
      </c>
      <c r="I40" s="134" t="str">
        <f t="shared" si="0"/>
        <v/>
      </c>
      <c r="J40" s="236" t="str">
        <f t="shared" si="1"/>
        <v/>
      </c>
      <c r="K40" s="244"/>
      <c r="L40" s="135"/>
      <c r="M40" s="134" t="str">
        <f t="shared" si="2"/>
        <v/>
      </c>
      <c r="N40" s="236" t="str">
        <f t="shared" si="3"/>
        <v/>
      </c>
      <c r="O40" s="1192"/>
      <c r="P40" s="1189"/>
      <c r="Q40" s="116"/>
      <c r="R40" s="120"/>
      <c r="S40" s="120"/>
      <c r="T40" s="120"/>
      <c r="U40" s="120"/>
      <c r="V40" s="120"/>
      <c r="W40" s="120"/>
      <c r="X40" s="114"/>
      <c r="Y40" s="114"/>
      <c r="Z40" s="114"/>
      <c r="AA40" s="114"/>
    </row>
    <row r="41" spans="1:27" ht="19.5" customHeight="1" thickBot="1" x14ac:dyDescent="0.25">
      <c r="A41" s="137"/>
      <c r="B41" s="138"/>
      <c r="C41" s="1202" t="s">
        <v>109</v>
      </c>
      <c r="D41" s="1202"/>
      <c r="E41" s="1202"/>
      <c r="F41" s="1202"/>
      <c r="G41" s="1203" t="s">
        <v>108</v>
      </c>
      <c r="H41" s="1203"/>
      <c r="I41" s="1203"/>
      <c r="J41" s="1203"/>
      <c r="K41" s="1203"/>
      <c r="L41" s="1203"/>
      <c r="M41" s="1203"/>
      <c r="O41" s="1192"/>
      <c r="P41" s="1189"/>
      <c r="Q41" s="116"/>
      <c r="R41" s="139"/>
      <c r="S41" s="139"/>
      <c r="T41" s="139"/>
      <c r="U41" s="139"/>
      <c r="V41" s="139"/>
      <c r="W41" s="139"/>
    </row>
    <row r="42" spans="1:27" ht="19.5" customHeight="1" x14ac:dyDescent="0.2">
      <c r="A42" s="116"/>
      <c r="B42" s="159"/>
      <c r="C42" s="166" t="s">
        <v>214</v>
      </c>
      <c r="D42" s="1204"/>
      <c r="E42" s="1205"/>
      <c r="F42" s="1240"/>
      <c r="G42" s="1207" t="s">
        <v>214</v>
      </c>
      <c r="H42" s="1208"/>
      <c r="I42" s="1259"/>
      <c r="J42" s="1260"/>
      <c r="K42" s="1260"/>
      <c r="L42" s="1260"/>
      <c r="M42" s="1261"/>
      <c r="O42" s="1192"/>
      <c r="P42" s="1189"/>
      <c r="Q42" s="116"/>
      <c r="R42" s="139"/>
      <c r="S42" s="139"/>
      <c r="T42" s="139"/>
      <c r="U42" s="139"/>
      <c r="V42" s="139"/>
      <c r="W42" s="139"/>
    </row>
    <row r="43" spans="1:27" ht="19.5" customHeight="1" x14ac:dyDescent="0.2">
      <c r="A43" s="116"/>
      <c r="B43" s="160"/>
      <c r="C43" s="167" t="s">
        <v>215</v>
      </c>
      <c r="D43" s="1244"/>
      <c r="E43" s="1211"/>
      <c r="F43" s="1245"/>
      <c r="G43" s="1213" t="s">
        <v>215</v>
      </c>
      <c r="H43" s="1214"/>
      <c r="I43" s="1253"/>
      <c r="J43" s="1254"/>
      <c r="K43" s="1254"/>
      <c r="L43" s="1254"/>
      <c r="M43" s="1255"/>
      <c r="O43" s="1192"/>
      <c r="P43" s="1189"/>
      <c r="Q43" s="116"/>
      <c r="R43" s="139"/>
      <c r="S43" s="139"/>
      <c r="T43" s="139"/>
      <c r="U43" s="139"/>
      <c r="V43" s="139"/>
      <c r="W43" s="139"/>
    </row>
    <row r="44" spans="1:27" ht="19.5" customHeight="1" x14ac:dyDescent="0.2">
      <c r="A44" s="116"/>
      <c r="B44" s="160"/>
      <c r="C44" s="167" t="s">
        <v>216</v>
      </c>
      <c r="D44" s="1244"/>
      <c r="E44" s="1211"/>
      <c r="F44" s="1245"/>
      <c r="G44" s="1213" t="s">
        <v>216</v>
      </c>
      <c r="H44" s="1214"/>
      <c r="I44" s="1253"/>
      <c r="J44" s="1254"/>
      <c r="K44" s="1254"/>
      <c r="L44" s="1254"/>
      <c r="M44" s="1255"/>
      <c r="O44" s="1192"/>
      <c r="P44" s="1189"/>
      <c r="Q44" s="116"/>
      <c r="R44" s="139"/>
      <c r="S44" s="139"/>
      <c r="T44" s="139"/>
      <c r="U44" s="139"/>
      <c r="V44" s="139"/>
      <c r="W44" s="139"/>
    </row>
    <row r="45" spans="1:27" ht="19.5" customHeight="1" x14ac:dyDescent="0.2">
      <c r="A45" s="116"/>
      <c r="B45" s="160"/>
      <c r="C45" s="167" t="s">
        <v>217</v>
      </c>
      <c r="D45" s="1210"/>
      <c r="E45" s="1211"/>
      <c r="F45" s="1245"/>
      <c r="G45" s="1213" t="s">
        <v>217</v>
      </c>
      <c r="H45" s="1214"/>
      <c r="I45" s="1253"/>
      <c r="J45" s="1254"/>
      <c r="K45" s="1254"/>
      <c r="L45" s="1254"/>
      <c r="M45" s="1255"/>
      <c r="O45" s="1192"/>
      <c r="P45" s="1189"/>
      <c r="Q45" s="116"/>
      <c r="R45" s="139"/>
      <c r="S45" s="139"/>
      <c r="T45" s="139"/>
      <c r="U45" s="139"/>
      <c r="V45" s="139"/>
      <c r="W45" s="139"/>
    </row>
    <row r="46" spans="1:27" ht="19.5" customHeight="1" thickBot="1" x14ac:dyDescent="0.25">
      <c r="A46" s="116"/>
      <c r="B46" s="160"/>
      <c r="C46" s="168" t="s">
        <v>218</v>
      </c>
      <c r="D46" s="1222"/>
      <c r="E46" s="1223"/>
      <c r="F46" s="1249"/>
      <c r="G46" s="1225" t="s">
        <v>218</v>
      </c>
      <c r="H46" s="1226"/>
      <c r="I46" s="1256"/>
      <c r="J46" s="1257"/>
      <c r="K46" s="1257"/>
      <c r="L46" s="1257"/>
      <c r="M46" s="1258"/>
      <c r="O46" s="1193"/>
      <c r="P46" s="1190"/>
      <c r="Q46" s="116"/>
      <c r="R46" s="120"/>
      <c r="S46" s="120"/>
      <c r="T46" s="120"/>
      <c r="U46" s="120"/>
      <c r="V46" s="120"/>
      <c r="W46" s="120"/>
    </row>
    <row r="47" spans="1:27" x14ac:dyDescent="0.2">
      <c r="B47" s="140"/>
      <c r="C47" s="145"/>
      <c r="D47" s="499"/>
      <c r="E47" s="500"/>
      <c r="F47" s="500"/>
      <c r="G47" s="500"/>
      <c r="H47" s="197"/>
      <c r="I47" s="142"/>
      <c r="J47" s="142"/>
      <c r="K47" s="1235" t="s">
        <v>213</v>
      </c>
      <c r="L47" s="1235"/>
      <c r="M47" s="1235"/>
      <c r="N47" s="141"/>
      <c r="O47" s="151"/>
      <c r="P47" s="151"/>
      <c r="Q47" s="116"/>
      <c r="R47" s="120"/>
      <c r="S47" s="120"/>
      <c r="T47" s="120"/>
      <c r="U47" s="120"/>
      <c r="V47" s="120"/>
      <c r="W47" s="120"/>
    </row>
    <row r="48" spans="1:27" x14ac:dyDescent="0.2">
      <c r="B48" s="161"/>
      <c r="C48" s="154"/>
      <c r="D48" s="208">
        <f>BEGINBLAD!$D$40</f>
        <v>26</v>
      </c>
      <c r="E48" s="199"/>
      <c r="F48" s="200" t="s">
        <v>288</v>
      </c>
      <c r="G48" s="207">
        <f>H48/$D$49</f>
        <v>7.6923076923076927E-2</v>
      </c>
      <c r="H48" s="111">
        <f>COUNTIF($I$5:$I$40,"A-1+")</f>
        <v>2</v>
      </c>
      <c r="I48" s="111"/>
      <c r="J48" s="198" t="s">
        <v>289</v>
      </c>
      <c r="K48" s="198"/>
      <c r="L48" s="198"/>
      <c r="M48" s="222">
        <f>G48+G49+G50+G51+G52</f>
        <v>0.53846153846153855</v>
      </c>
      <c r="N48" s="222">
        <v>1</v>
      </c>
      <c r="O48" s="223"/>
      <c r="P48" s="141"/>
      <c r="Q48" s="116"/>
      <c r="R48" s="120"/>
      <c r="S48" s="120"/>
      <c r="T48" s="120"/>
      <c r="U48" s="120"/>
      <c r="V48" s="120"/>
      <c r="W48" s="120"/>
    </row>
    <row r="49" spans="2:23" x14ac:dyDescent="0.2">
      <c r="B49" s="161"/>
      <c r="C49" s="154"/>
      <c r="D49" s="205">
        <f>COUNTIF(H5:H40,"&gt;0")</f>
        <v>26</v>
      </c>
      <c r="E49" s="199"/>
      <c r="F49" s="200" t="s">
        <v>290</v>
      </c>
      <c r="G49" s="207">
        <f>H49/$D$49</f>
        <v>0</v>
      </c>
      <c r="H49" s="111">
        <f>COUNTIF($I$5:$I$40,"A-1")</f>
        <v>0</v>
      </c>
      <c r="I49" s="111"/>
      <c r="J49" s="198"/>
      <c r="K49" s="198"/>
      <c r="L49" s="198"/>
      <c r="M49" s="222"/>
      <c r="N49" s="222">
        <v>0.7</v>
      </c>
      <c r="O49" s="224"/>
      <c r="P49" s="153"/>
      <c r="Q49" s="116"/>
      <c r="R49" s="120"/>
      <c r="S49" s="120"/>
      <c r="T49" s="120"/>
      <c r="U49" s="120"/>
      <c r="V49" s="120"/>
      <c r="W49" s="120"/>
    </row>
    <row r="50" spans="2:23" x14ac:dyDescent="0.2">
      <c r="B50" s="161"/>
      <c r="C50" s="154"/>
      <c r="D50" s="201"/>
      <c r="E50" s="199"/>
      <c r="F50" s="202" t="s">
        <v>291</v>
      </c>
      <c r="G50" s="207">
        <f>(H50+I50)/$D$49</f>
        <v>0.11538461538461539</v>
      </c>
      <c r="H50" s="111">
        <f>COUNTIF($I$5:$I$40,"A-2")</f>
        <v>3</v>
      </c>
      <c r="I50" s="111">
        <f>COUNTIF($I$5:$I$40,"B-2")</f>
        <v>0</v>
      </c>
      <c r="J50" s="198"/>
      <c r="K50" s="198"/>
      <c r="L50" s="198"/>
      <c r="M50" s="222"/>
      <c r="N50" s="222">
        <v>0.6</v>
      </c>
      <c r="O50" s="224"/>
      <c r="P50" s="153"/>
      <c r="Q50" s="116"/>
      <c r="R50" s="120"/>
      <c r="S50" s="120"/>
      <c r="T50" s="120"/>
      <c r="U50" s="120"/>
      <c r="V50" s="120"/>
      <c r="W50" s="120"/>
    </row>
    <row r="51" spans="2:23" x14ac:dyDescent="0.2">
      <c r="B51" s="161"/>
      <c r="C51" s="154"/>
      <c r="D51" s="201"/>
      <c r="E51" s="199"/>
      <c r="F51" s="200" t="s">
        <v>292</v>
      </c>
      <c r="G51" s="207">
        <f>H51/$D$49</f>
        <v>7.6923076923076927E-2</v>
      </c>
      <c r="H51" s="111">
        <f>COUNTIF($I$5:$I$40,"B-3")</f>
        <v>2</v>
      </c>
      <c r="I51" s="111"/>
      <c r="J51" s="198"/>
      <c r="K51" s="198"/>
      <c r="L51" s="198"/>
      <c r="M51" s="222"/>
      <c r="N51" s="222">
        <f>$M$48</f>
        <v>0.53846153846153855</v>
      </c>
      <c r="O51" s="224"/>
      <c r="P51" s="153"/>
      <c r="Q51" s="116"/>
      <c r="R51" s="120"/>
      <c r="S51" s="120"/>
      <c r="T51" s="120"/>
      <c r="U51" s="120"/>
      <c r="V51" s="120"/>
      <c r="W51" s="120"/>
    </row>
    <row r="52" spans="2:23" x14ac:dyDescent="0.2">
      <c r="B52" s="161"/>
      <c r="C52" s="154"/>
      <c r="D52" s="201"/>
      <c r="E52" s="199"/>
      <c r="F52" s="200" t="s">
        <v>293</v>
      </c>
      <c r="G52" s="207">
        <f>H52/$D$49</f>
        <v>0.26923076923076922</v>
      </c>
      <c r="H52" s="111">
        <f>COUNTIF($I$5:$I$40,"c-3")</f>
        <v>7</v>
      </c>
      <c r="I52" s="111"/>
      <c r="J52" s="198" t="s">
        <v>294</v>
      </c>
      <c r="K52" s="198"/>
      <c r="L52" s="198"/>
      <c r="M52" s="222">
        <f>G53+G54+G55+G57</f>
        <v>0.46153846153846156</v>
      </c>
      <c r="N52" s="225"/>
      <c r="O52" s="224"/>
      <c r="P52" s="153"/>
      <c r="Q52" s="116"/>
      <c r="R52" s="120"/>
      <c r="S52" s="120"/>
      <c r="T52" s="120"/>
      <c r="U52" s="120"/>
      <c r="V52" s="120"/>
      <c r="W52" s="120"/>
    </row>
    <row r="53" spans="2:23" x14ac:dyDescent="0.2">
      <c r="B53" s="161"/>
      <c r="C53" s="154"/>
      <c r="D53" s="201"/>
      <c r="E53" s="199"/>
      <c r="F53" s="202" t="s">
        <v>295</v>
      </c>
      <c r="G53" s="207">
        <f>H53/$D$49</f>
        <v>0.11538461538461539</v>
      </c>
      <c r="H53" s="111">
        <f>COUNTIF($I$5:$I$40,"c-4")</f>
        <v>3</v>
      </c>
      <c r="I53" s="208"/>
      <c r="J53" s="198"/>
      <c r="K53" s="198"/>
      <c r="L53" s="198"/>
      <c r="M53" s="222"/>
      <c r="N53" s="225"/>
      <c r="O53" s="224"/>
      <c r="P53" s="153"/>
      <c r="Q53" s="116"/>
      <c r="R53" s="120"/>
      <c r="S53" s="120"/>
      <c r="T53" s="120"/>
      <c r="U53" s="120"/>
      <c r="V53" s="120"/>
      <c r="W53" s="120"/>
    </row>
    <row r="54" spans="2:23" x14ac:dyDescent="0.2">
      <c r="B54" s="161"/>
      <c r="C54" s="154"/>
      <c r="D54" s="201"/>
      <c r="E54" s="199"/>
      <c r="F54" s="199" t="s">
        <v>296</v>
      </c>
      <c r="G54" s="207">
        <f>H54/$D$49</f>
        <v>7.6923076923076927E-2</v>
      </c>
      <c r="H54" s="111">
        <f>COUNTIF($I$5:$I$40,"d-4")</f>
        <v>2</v>
      </c>
      <c r="I54" s="208"/>
      <c r="J54" s="198"/>
      <c r="K54" s="198"/>
      <c r="L54" s="198"/>
      <c r="M54" s="222"/>
      <c r="N54" s="225"/>
      <c r="O54" s="224"/>
      <c r="P54" s="153"/>
      <c r="Q54" s="116"/>
      <c r="R54" s="120"/>
      <c r="S54" s="120"/>
      <c r="T54" s="120"/>
      <c r="U54" s="120"/>
      <c r="V54" s="120"/>
      <c r="W54" s="120"/>
    </row>
    <row r="55" spans="2:23" x14ac:dyDescent="0.2">
      <c r="B55" s="161"/>
      <c r="C55" s="154"/>
      <c r="D55" s="201"/>
      <c r="E55" s="199"/>
      <c r="F55" s="200" t="s">
        <v>297</v>
      </c>
      <c r="G55" s="207">
        <f>(H55+I55)/$D$49</f>
        <v>0.23076923076923078</v>
      </c>
      <c r="H55" s="111">
        <f>COUNTIF($I$5:$I$40,"d-5")</f>
        <v>4</v>
      </c>
      <c r="I55" s="111">
        <f>COUNTIF($I$5:$I$40,"e-5")</f>
        <v>2</v>
      </c>
      <c r="J55" s="198"/>
      <c r="K55" s="198"/>
      <c r="L55" s="198"/>
      <c r="M55" s="222"/>
      <c r="N55" s="225"/>
      <c r="O55" s="224"/>
      <c r="P55" s="153"/>
      <c r="Q55" s="116"/>
      <c r="R55" s="120"/>
      <c r="S55" s="120"/>
      <c r="T55" s="120"/>
      <c r="U55" s="120"/>
      <c r="V55" s="120"/>
      <c r="W55" s="120"/>
    </row>
    <row r="56" spans="2:23" x14ac:dyDescent="0.2">
      <c r="B56" s="161"/>
      <c r="C56" s="154"/>
      <c r="D56" s="201"/>
      <c r="E56" s="199"/>
      <c r="F56" s="200"/>
      <c r="G56" s="207"/>
      <c r="H56" s="111"/>
      <c r="I56" s="111"/>
      <c r="J56" s="198" t="s">
        <v>50</v>
      </c>
      <c r="K56" s="198"/>
      <c r="L56" s="198"/>
      <c r="M56" s="222">
        <f>M48+M52</f>
        <v>1</v>
      </c>
      <c r="N56" s="1209"/>
      <c r="O56" s="224"/>
      <c r="P56" s="153"/>
      <c r="Q56" s="116"/>
      <c r="R56" s="120"/>
      <c r="S56" s="120"/>
      <c r="T56" s="120"/>
      <c r="U56" s="120"/>
      <c r="V56" s="120"/>
      <c r="W56" s="120"/>
    </row>
    <row r="57" spans="2:23" x14ac:dyDescent="0.2">
      <c r="B57" s="161"/>
      <c r="C57" s="154"/>
      <c r="D57" s="201"/>
      <c r="E57" s="199"/>
      <c r="F57" s="203" t="s">
        <v>298</v>
      </c>
      <c r="G57" s="207">
        <f>H57/$D$49</f>
        <v>3.8461538461538464E-2</v>
      </c>
      <c r="H57" s="111">
        <f>COUNTIF($I$5:$I$40,"e-5-")</f>
        <v>1</v>
      </c>
      <c r="I57" s="111"/>
      <c r="J57" s="198"/>
      <c r="K57" s="198"/>
      <c r="L57" s="198"/>
      <c r="M57" s="222"/>
      <c r="N57" s="1209"/>
      <c r="O57" s="224"/>
      <c r="P57" s="153"/>
      <c r="Q57" s="116"/>
      <c r="R57" s="120"/>
      <c r="S57" s="120"/>
      <c r="T57" s="120"/>
      <c r="U57" s="120"/>
      <c r="V57" s="120"/>
      <c r="W57" s="120"/>
    </row>
    <row r="58" spans="2:23" x14ac:dyDescent="0.2">
      <c r="B58" s="161"/>
      <c r="C58" s="145"/>
      <c r="D58" s="201"/>
      <c r="E58" s="199"/>
      <c r="F58" s="200" t="s">
        <v>50</v>
      </c>
      <c r="G58" s="204">
        <f>SUM(G48:G57)</f>
        <v>1.0000000000000002</v>
      </c>
      <c r="H58" s="693">
        <f>SUM(H48:H57)</f>
        <v>24</v>
      </c>
      <c r="I58" s="693">
        <f>SUM(I48:I57)</f>
        <v>2</v>
      </c>
      <c r="J58" s="208"/>
      <c r="K58" s="208"/>
      <c r="L58" s="223"/>
      <c r="M58" s="223"/>
      <c r="N58" s="223"/>
      <c r="O58" s="223"/>
      <c r="P58" s="151"/>
      <c r="Q58" s="116"/>
      <c r="R58" s="120"/>
      <c r="S58" s="120"/>
      <c r="T58" s="120"/>
      <c r="U58" s="120"/>
      <c r="V58" s="120"/>
      <c r="W58" s="120"/>
    </row>
    <row r="59" spans="2:23" x14ac:dyDescent="0.2">
      <c r="B59" s="161"/>
      <c r="C59" s="145"/>
      <c r="D59" s="201"/>
      <c r="E59" s="199"/>
      <c r="F59" s="196"/>
      <c r="G59" s="196"/>
      <c r="H59" s="208">
        <f>SUM(H58+I58)</f>
        <v>26</v>
      </c>
      <c r="I59" s="208"/>
      <c r="J59" s="208"/>
      <c r="K59" s="208"/>
      <c r="L59" s="223"/>
      <c r="M59" s="223"/>
      <c r="N59" s="223"/>
      <c r="O59" s="223"/>
      <c r="P59" s="151"/>
      <c r="Q59" s="116"/>
      <c r="R59" s="120"/>
      <c r="S59" s="120"/>
      <c r="T59" s="120"/>
      <c r="U59" s="120"/>
      <c r="V59" s="120"/>
      <c r="W59" s="120"/>
    </row>
    <row r="60" spans="2:23" x14ac:dyDescent="0.2">
      <c r="B60" s="161"/>
      <c r="C60" s="145"/>
      <c r="D60" s="205"/>
      <c r="E60" s="196"/>
      <c r="F60" s="199"/>
      <c r="G60" s="207"/>
      <c r="H60" s="197"/>
      <c r="I60" s="197"/>
      <c r="J60" s="197"/>
      <c r="K60" s="197"/>
      <c r="L60" s="223"/>
      <c r="M60" s="223"/>
      <c r="N60" s="223"/>
      <c r="O60" s="223"/>
      <c r="P60" s="151"/>
      <c r="Q60" s="116"/>
      <c r="R60" s="120"/>
      <c r="S60" s="120"/>
      <c r="T60" s="120"/>
      <c r="U60" s="120"/>
      <c r="V60" s="120"/>
      <c r="W60" s="120"/>
    </row>
    <row r="61" spans="2:23" x14ac:dyDescent="0.2">
      <c r="B61" s="161"/>
      <c r="C61" s="145"/>
      <c r="D61" s="205"/>
      <c r="E61" s="196"/>
      <c r="F61" s="206"/>
      <c r="G61" s="207"/>
      <c r="H61" s="197"/>
      <c r="I61" s="197"/>
      <c r="J61" s="197"/>
      <c r="K61" s="197"/>
      <c r="L61" s="223"/>
      <c r="M61" s="223"/>
      <c r="N61" s="223"/>
      <c r="O61" s="223"/>
      <c r="P61" s="151"/>
      <c r="Q61" s="116"/>
      <c r="R61" s="120"/>
      <c r="S61" s="120"/>
      <c r="T61" s="120"/>
      <c r="U61" s="120"/>
      <c r="V61" s="120"/>
      <c r="W61" s="120"/>
    </row>
    <row r="62" spans="2:23" x14ac:dyDescent="0.2">
      <c r="B62" s="162"/>
      <c r="C62" s="169"/>
      <c r="D62" s="144"/>
      <c r="E62" s="145"/>
      <c r="F62" s="170"/>
      <c r="G62" s="171"/>
      <c r="H62" s="142"/>
      <c r="I62" s="142"/>
      <c r="J62" s="142"/>
      <c r="K62" s="142"/>
      <c r="L62" s="141"/>
      <c r="M62" s="141"/>
      <c r="N62" s="141"/>
      <c r="O62" s="141"/>
      <c r="P62" s="151"/>
      <c r="Q62" s="116"/>
      <c r="R62" s="120"/>
      <c r="S62" s="120"/>
      <c r="T62" s="120"/>
      <c r="U62" s="120"/>
      <c r="V62" s="120"/>
      <c r="W62" s="120"/>
    </row>
    <row r="63" spans="2:23" x14ac:dyDescent="0.2">
      <c r="B63" s="161"/>
      <c r="C63" s="145"/>
      <c r="D63" s="144"/>
      <c r="E63" s="145"/>
      <c r="F63" s="145"/>
      <c r="G63" s="145"/>
      <c r="H63" s="142"/>
      <c r="I63" s="142"/>
      <c r="J63" s="142"/>
      <c r="K63" s="142"/>
      <c r="L63" s="141"/>
      <c r="M63" s="141"/>
      <c r="N63" s="141"/>
      <c r="O63" s="141"/>
      <c r="P63" s="151"/>
      <c r="Q63" s="116"/>
      <c r="R63" s="120"/>
      <c r="S63" s="120"/>
      <c r="T63" s="120"/>
      <c r="U63" s="120"/>
      <c r="V63" s="120"/>
      <c r="W63" s="120"/>
    </row>
    <row r="64" spans="2:23" x14ac:dyDescent="0.2">
      <c r="B64" s="161"/>
      <c r="C64" s="143"/>
      <c r="D64" s="144"/>
      <c r="E64" s="145"/>
      <c r="F64" s="145"/>
      <c r="G64" s="145"/>
      <c r="H64" s="142"/>
      <c r="I64" s="142"/>
      <c r="J64" s="142"/>
      <c r="K64" s="142"/>
      <c r="L64" s="143"/>
      <c r="M64" s="141"/>
      <c r="N64" s="141"/>
      <c r="O64" s="141"/>
      <c r="P64" s="141"/>
      <c r="Q64" s="116"/>
      <c r="R64" s="120"/>
      <c r="S64" s="120"/>
      <c r="T64" s="120"/>
      <c r="U64" s="120"/>
      <c r="V64" s="120"/>
      <c r="W64" s="120"/>
    </row>
    <row r="65" spans="3:24" x14ac:dyDescent="0.2">
      <c r="C65" s="143"/>
      <c r="D65" s="144"/>
      <c r="E65" s="145"/>
      <c r="F65" s="145"/>
      <c r="G65" s="145"/>
      <c r="H65" s="142"/>
      <c r="I65" s="142"/>
      <c r="J65" s="142"/>
      <c r="K65" s="142"/>
      <c r="L65" s="143"/>
      <c r="M65" s="141"/>
      <c r="N65" s="141"/>
      <c r="O65" s="141"/>
      <c r="P65" s="141"/>
      <c r="Q65" s="116"/>
      <c r="R65" s="120"/>
      <c r="S65" s="120"/>
      <c r="T65" s="120"/>
      <c r="U65" s="120"/>
      <c r="V65" s="120"/>
      <c r="W65" s="120"/>
    </row>
    <row r="66" spans="3:24" x14ac:dyDescent="0.2">
      <c r="C66" s="143"/>
      <c r="D66" s="144"/>
      <c r="E66" s="145"/>
      <c r="F66" s="145"/>
      <c r="G66" s="145"/>
      <c r="H66" s="142"/>
      <c r="I66" s="142"/>
      <c r="J66" s="142"/>
      <c r="K66" s="142"/>
      <c r="L66" s="143"/>
      <c r="M66" s="141"/>
      <c r="N66" s="155"/>
      <c r="O66" s="141"/>
      <c r="P66" s="141"/>
      <c r="Q66" s="116"/>
      <c r="R66" s="120"/>
      <c r="S66" s="120"/>
      <c r="T66" s="120"/>
      <c r="U66" s="120"/>
      <c r="V66" s="120"/>
      <c r="W66" s="120"/>
      <c r="X66" s="146"/>
    </row>
    <row r="67" spans="3:24" ht="20.25" x14ac:dyDescent="0.2">
      <c r="C67" s="145"/>
      <c r="D67" s="154"/>
      <c r="E67" s="145"/>
      <c r="F67" s="145"/>
      <c r="G67" s="145"/>
      <c r="H67" s="142"/>
      <c r="I67" s="142"/>
      <c r="J67" s="156"/>
      <c r="K67" s="142"/>
      <c r="L67" s="145"/>
      <c r="M67" s="141"/>
      <c r="N67" s="141"/>
      <c r="O67" s="155"/>
      <c r="P67" s="155"/>
      <c r="Q67" s="116"/>
      <c r="R67" s="117"/>
      <c r="S67" s="117"/>
      <c r="T67" s="117"/>
      <c r="U67" s="118"/>
      <c r="V67" s="118"/>
      <c r="W67" s="118"/>
      <c r="X67" s="119"/>
    </row>
    <row r="68" spans="3:24" ht="20.25" x14ac:dyDescent="0.2">
      <c r="C68" s="145"/>
      <c r="D68" s="154"/>
      <c r="E68" s="145"/>
      <c r="F68" s="145"/>
      <c r="G68" s="145"/>
      <c r="H68" s="142"/>
      <c r="I68" s="142"/>
      <c r="J68" s="156"/>
      <c r="K68" s="142"/>
      <c r="L68" s="145"/>
      <c r="M68" s="141"/>
      <c r="N68" s="141"/>
      <c r="O68" s="141"/>
      <c r="P68" s="141"/>
      <c r="Q68" s="116"/>
      <c r="R68" s="120"/>
      <c r="S68" s="120"/>
      <c r="T68" s="120"/>
      <c r="U68" s="120"/>
      <c r="V68" s="120"/>
      <c r="W68" s="120"/>
    </row>
    <row r="69" spans="3:24" ht="20.25" x14ac:dyDescent="0.2">
      <c r="C69" s="143"/>
      <c r="D69" s="154"/>
      <c r="E69" s="143"/>
      <c r="F69" s="143"/>
      <c r="G69" s="143"/>
      <c r="H69" s="142"/>
      <c r="I69" s="142"/>
      <c r="J69" s="156"/>
      <c r="K69" s="142"/>
      <c r="L69" s="143"/>
      <c r="M69" s="141"/>
      <c r="N69" s="141"/>
      <c r="O69" s="141"/>
      <c r="P69" s="141"/>
      <c r="Q69" s="116"/>
      <c r="R69" s="120"/>
      <c r="S69" s="120"/>
      <c r="T69" s="120"/>
      <c r="U69" s="120"/>
      <c r="V69" s="120"/>
      <c r="W69" s="120"/>
    </row>
    <row r="70" spans="3:24" ht="20.25" x14ac:dyDescent="0.2">
      <c r="C70" s="143"/>
      <c r="D70" s="154"/>
      <c r="E70" s="143"/>
      <c r="F70" s="143"/>
      <c r="G70" s="143"/>
      <c r="H70" s="142"/>
      <c r="I70" s="142"/>
      <c r="J70" s="156"/>
      <c r="K70" s="142"/>
      <c r="L70" s="143"/>
      <c r="M70" s="141"/>
      <c r="N70" s="141"/>
      <c r="O70" s="141"/>
      <c r="P70" s="141"/>
      <c r="Q70" s="116"/>
      <c r="R70" s="120"/>
      <c r="S70" s="120"/>
      <c r="T70" s="120"/>
      <c r="U70" s="120"/>
      <c r="V70" s="120"/>
      <c r="W70" s="120"/>
    </row>
    <row r="71" spans="3:24" ht="20.25" x14ac:dyDescent="0.2">
      <c r="C71" s="143"/>
      <c r="D71" s="154"/>
      <c r="E71" s="143"/>
      <c r="F71" s="143"/>
      <c r="G71" s="143"/>
      <c r="H71" s="142"/>
      <c r="I71" s="142"/>
      <c r="J71" s="156"/>
      <c r="K71" s="142"/>
      <c r="L71" s="143"/>
      <c r="M71" s="141"/>
      <c r="N71" s="141"/>
      <c r="O71" s="141"/>
      <c r="P71" s="141"/>
      <c r="Q71" s="116"/>
      <c r="R71" s="120"/>
      <c r="S71" s="120"/>
      <c r="T71" s="120"/>
      <c r="U71" s="120"/>
      <c r="V71" s="120"/>
      <c r="W71" s="120"/>
    </row>
    <row r="72" spans="3:24" x14ac:dyDescent="0.2">
      <c r="C72" s="143"/>
      <c r="D72" s="144"/>
      <c r="E72" s="143"/>
      <c r="F72" s="143"/>
      <c r="G72" s="143"/>
      <c r="H72" s="142"/>
      <c r="I72" s="142"/>
      <c r="J72" s="142"/>
      <c r="K72" s="142"/>
      <c r="L72" s="143"/>
      <c r="M72" s="141"/>
      <c r="N72" s="141"/>
      <c r="O72" s="141"/>
      <c r="P72" s="141"/>
      <c r="Q72" s="116"/>
      <c r="R72" s="120"/>
      <c r="S72" s="120"/>
      <c r="T72" s="120"/>
      <c r="U72" s="120"/>
      <c r="V72" s="120"/>
      <c r="W72" s="120"/>
    </row>
    <row r="73" spans="3:24" x14ac:dyDescent="0.2">
      <c r="C73" s="143"/>
      <c r="D73" s="144"/>
      <c r="E73" s="143"/>
      <c r="F73" s="143"/>
      <c r="G73" s="143"/>
      <c r="H73" s="142"/>
      <c r="I73" s="142"/>
      <c r="J73" s="142"/>
      <c r="K73" s="142"/>
      <c r="L73" s="143"/>
      <c r="M73" s="141"/>
      <c r="N73" s="141"/>
      <c r="O73" s="141"/>
      <c r="P73" s="141"/>
      <c r="Q73" s="116"/>
      <c r="R73" s="120"/>
      <c r="S73" s="120"/>
      <c r="T73" s="120"/>
      <c r="U73" s="120"/>
      <c r="V73" s="120"/>
      <c r="W73" s="120"/>
    </row>
    <row r="74" spans="3:24" x14ac:dyDescent="0.2">
      <c r="C74" s="143"/>
      <c r="D74" s="144"/>
      <c r="E74" s="143"/>
      <c r="F74" s="143"/>
      <c r="G74" s="143"/>
      <c r="H74" s="142"/>
      <c r="I74" s="142"/>
      <c r="J74" s="142"/>
      <c r="K74" s="142"/>
      <c r="L74" s="143"/>
      <c r="M74" s="141"/>
      <c r="N74" s="141"/>
      <c r="O74" s="141"/>
      <c r="P74" s="141"/>
      <c r="Q74" s="116"/>
      <c r="R74" s="120"/>
      <c r="S74" s="120"/>
      <c r="T74" s="120"/>
      <c r="U74" s="120"/>
      <c r="V74" s="120"/>
      <c r="W74" s="120"/>
    </row>
    <row r="75" spans="3:24" x14ac:dyDescent="0.2">
      <c r="C75" s="143"/>
      <c r="D75" s="144"/>
      <c r="E75" s="143"/>
      <c r="F75" s="143"/>
      <c r="G75" s="143"/>
      <c r="H75" s="142"/>
      <c r="I75" s="142"/>
      <c r="J75" s="142"/>
      <c r="K75" s="142"/>
      <c r="L75" s="143"/>
      <c r="M75" s="141"/>
      <c r="N75" s="141"/>
      <c r="O75" s="141"/>
      <c r="P75" s="141"/>
      <c r="Q75" s="116"/>
      <c r="R75" s="120"/>
      <c r="S75" s="120"/>
      <c r="T75" s="120"/>
      <c r="U75" s="120"/>
      <c r="V75" s="120"/>
      <c r="W75" s="120"/>
    </row>
    <row r="76" spans="3:24" x14ac:dyDescent="0.2">
      <c r="C76" s="143"/>
      <c r="D76" s="144"/>
      <c r="E76" s="143"/>
      <c r="F76" s="143"/>
      <c r="G76" s="143"/>
      <c r="H76" s="142"/>
      <c r="I76" s="142"/>
      <c r="J76" s="142"/>
      <c r="K76" s="142"/>
      <c r="L76" s="143"/>
      <c r="M76" s="141"/>
      <c r="N76" s="141"/>
      <c r="O76" s="141"/>
      <c r="P76" s="141"/>
      <c r="Q76" s="116"/>
      <c r="R76" s="120"/>
      <c r="S76" s="120"/>
      <c r="T76" s="120"/>
      <c r="U76" s="120"/>
      <c r="V76" s="120"/>
      <c r="W76" s="120"/>
    </row>
    <row r="77" spans="3:24" x14ac:dyDescent="0.2">
      <c r="C77" s="143"/>
      <c r="D77" s="144"/>
      <c r="E77" s="143"/>
      <c r="F77" s="143"/>
      <c r="G77" s="143"/>
      <c r="H77" s="142"/>
      <c r="I77" s="142"/>
      <c r="J77" s="142"/>
      <c r="K77" s="142"/>
      <c r="L77" s="143"/>
      <c r="M77" s="141"/>
      <c r="N77" s="141"/>
      <c r="O77" s="141"/>
      <c r="P77" s="141"/>
      <c r="Q77" s="116"/>
      <c r="R77" s="120"/>
      <c r="S77" s="120"/>
      <c r="T77" s="120"/>
      <c r="U77" s="120"/>
      <c r="V77" s="120"/>
      <c r="W77" s="120"/>
    </row>
    <row r="78" spans="3:24" x14ac:dyDescent="0.2">
      <c r="C78" s="143"/>
      <c r="D78" s="144"/>
      <c r="E78" s="143"/>
      <c r="F78" s="143"/>
      <c r="G78" s="143"/>
      <c r="H78" s="142"/>
      <c r="I78" s="142"/>
      <c r="J78" s="142"/>
      <c r="K78" s="142"/>
      <c r="L78" s="143"/>
      <c r="M78" s="141"/>
      <c r="N78" s="141"/>
      <c r="O78" s="141"/>
      <c r="P78" s="141"/>
      <c r="Q78" s="116"/>
      <c r="R78" s="120"/>
      <c r="S78" s="120"/>
      <c r="T78" s="120"/>
      <c r="U78" s="120"/>
      <c r="V78" s="120"/>
      <c r="W78" s="120"/>
    </row>
    <row r="79" spans="3:24" x14ac:dyDescent="0.2">
      <c r="C79" s="143"/>
      <c r="D79" s="144"/>
      <c r="E79" s="143"/>
      <c r="F79" s="143"/>
      <c r="G79" s="143"/>
      <c r="H79" s="142"/>
      <c r="I79" s="142"/>
      <c r="J79" s="142"/>
      <c r="K79" s="142"/>
      <c r="L79" s="143"/>
      <c r="M79" s="141"/>
      <c r="N79" s="141"/>
      <c r="O79" s="141"/>
      <c r="P79" s="141"/>
      <c r="Q79" s="116"/>
      <c r="R79" s="120"/>
      <c r="S79" s="120"/>
      <c r="T79" s="120"/>
      <c r="U79" s="120"/>
      <c r="V79" s="120"/>
      <c r="W79" s="120"/>
    </row>
    <row r="80" spans="3:24" x14ac:dyDescent="0.2">
      <c r="C80" s="143"/>
      <c r="D80" s="144"/>
      <c r="E80" s="143"/>
      <c r="F80" s="143"/>
      <c r="G80" s="143"/>
      <c r="H80" s="142"/>
      <c r="I80" s="142"/>
      <c r="J80" s="142"/>
      <c r="K80" s="142"/>
      <c r="L80" s="143"/>
      <c r="M80" s="141"/>
      <c r="N80" s="141"/>
      <c r="O80" s="141"/>
      <c r="P80" s="141"/>
      <c r="Q80" s="116"/>
      <c r="R80" s="120"/>
      <c r="S80" s="120"/>
      <c r="T80" s="120"/>
      <c r="U80" s="120"/>
      <c r="V80" s="120"/>
      <c r="W80" s="120"/>
    </row>
    <row r="81" spans="3:23" x14ac:dyDescent="0.2">
      <c r="C81" s="143"/>
      <c r="D81" s="144"/>
      <c r="E81" s="143"/>
      <c r="F81" s="143"/>
      <c r="G81" s="143"/>
      <c r="H81" s="142"/>
      <c r="I81" s="142"/>
      <c r="J81" s="142"/>
      <c r="K81" s="142"/>
      <c r="L81" s="143"/>
      <c r="M81" s="141"/>
      <c r="N81" s="141"/>
      <c r="O81" s="141"/>
      <c r="P81" s="141"/>
      <c r="Q81" s="116"/>
      <c r="R81" s="120"/>
      <c r="S81" s="120"/>
      <c r="T81" s="120"/>
      <c r="U81" s="120"/>
      <c r="V81" s="120"/>
      <c r="W81" s="120"/>
    </row>
    <row r="82" spans="3:23" x14ac:dyDescent="0.2">
      <c r="C82" s="143"/>
      <c r="D82" s="144"/>
      <c r="E82" s="143"/>
      <c r="F82" s="143"/>
      <c r="G82" s="143"/>
      <c r="H82" s="142"/>
      <c r="I82" s="142"/>
      <c r="J82" s="142"/>
      <c r="K82" s="142"/>
      <c r="L82" s="143"/>
      <c r="M82" s="141"/>
      <c r="N82" s="141"/>
      <c r="O82" s="141"/>
      <c r="P82" s="141"/>
      <c r="Q82" s="116"/>
      <c r="R82" s="120"/>
      <c r="S82" s="120"/>
      <c r="T82" s="120"/>
      <c r="U82" s="120"/>
      <c r="V82" s="120"/>
      <c r="W82" s="120"/>
    </row>
    <row r="83" spans="3:23" x14ac:dyDescent="0.2">
      <c r="C83" s="143"/>
      <c r="D83" s="144"/>
      <c r="E83" s="143"/>
      <c r="F83" s="143"/>
      <c r="G83" s="143"/>
      <c r="H83" s="142"/>
      <c r="I83" s="142"/>
      <c r="J83" s="142"/>
      <c r="K83" s="142"/>
      <c r="L83" s="143"/>
      <c r="M83" s="141"/>
      <c r="N83" s="141"/>
      <c r="O83" s="141"/>
      <c r="P83" s="141"/>
      <c r="Q83" s="116"/>
      <c r="R83" s="120"/>
      <c r="S83" s="120"/>
      <c r="T83" s="120"/>
      <c r="U83" s="120"/>
      <c r="V83" s="120"/>
      <c r="W83" s="120"/>
    </row>
    <row r="84" spans="3:23" x14ac:dyDescent="0.2">
      <c r="C84" s="143"/>
      <c r="D84" s="144"/>
      <c r="E84" s="143"/>
      <c r="F84" s="143"/>
      <c r="G84" s="143"/>
      <c r="H84" s="142"/>
      <c r="I84" s="142"/>
      <c r="J84" s="142"/>
      <c r="K84" s="142"/>
      <c r="L84" s="143"/>
      <c r="M84" s="141"/>
      <c r="N84" s="141"/>
      <c r="O84" s="141"/>
      <c r="P84" s="141"/>
      <c r="Q84" s="116"/>
      <c r="R84" s="120"/>
      <c r="S84" s="120"/>
      <c r="T84" s="120"/>
      <c r="U84" s="120"/>
      <c r="V84" s="120"/>
      <c r="W84" s="120"/>
    </row>
    <row r="85" spans="3:23" x14ac:dyDescent="0.2">
      <c r="C85" s="143"/>
      <c r="D85" s="152"/>
      <c r="E85" s="157"/>
      <c r="F85" s="157"/>
      <c r="G85" s="157"/>
      <c r="H85" s="158"/>
      <c r="I85" s="158"/>
      <c r="J85" s="158"/>
      <c r="K85" s="158"/>
      <c r="L85" s="143"/>
      <c r="M85" s="141"/>
      <c r="N85" s="141"/>
      <c r="O85" s="141"/>
      <c r="P85" s="141"/>
      <c r="Q85" s="116"/>
      <c r="R85" s="120"/>
      <c r="S85" s="120"/>
      <c r="T85" s="120"/>
      <c r="U85" s="120"/>
      <c r="V85" s="120"/>
      <c r="W85" s="120"/>
    </row>
    <row r="86" spans="3:23" x14ac:dyDescent="0.2">
      <c r="M86" s="89"/>
      <c r="N86" s="89"/>
      <c r="O86" s="89"/>
      <c r="P86" s="89"/>
      <c r="Q86" s="116"/>
      <c r="R86" s="120"/>
      <c r="S86" s="120"/>
      <c r="T86" s="120"/>
      <c r="U86" s="120"/>
      <c r="V86" s="120"/>
      <c r="W86" s="120"/>
    </row>
    <row r="87" spans="3:23" x14ac:dyDescent="0.2">
      <c r="M87" s="89"/>
      <c r="N87" s="89"/>
      <c r="O87" s="89"/>
      <c r="P87" s="89"/>
      <c r="Q87" s="116"/>
      <c r="R87" s="120"/>
      <c r="S87" s="120"/>
      <c r="T87" s="120"/>
      <c r="U87" s="120"/>
      <c r="V87" s="120"/>
      <c r="W87" s="120"/>
    </row>
    <row r="88" spans="3:23" x14ac:dyDescent="0.2">
      <c r="M88" s="89"/>
      <c r="N88" s="89"/>
      <c r="O88" s="89"/>
      <c r="P88" s="89"/>
      <c r="Q88" s="89"/>
      <c r="R88" s="120"/>
      <c r="S88" s="120"/>
      <c r="T88" s="120"/>
      <c r="U88" s="120"/>
      <c r="V88" s="120"/>
      <c r="W88" s="120"/>
    </row>
    <row r="89" spans="3:23" x14ac:dyDescent="0.2">
      <c r="M89" s="89"/>
      <c r="N89" s="89"/>
      <c r="O89" s="89"/>
      <c r="P89" s="89"/>
      <c r="Q89" s="89"/>
      <c r="R89" s="120"/>
      <c r="S89" s="120"/>
      <c r="T89" s="120"/>
      <c r="U89" s="120"/>
      <c r="V89" s="120"/>
      <c r="W89" s="120"/>
    </row>
    <row r="90" spans="3:23" x14ac:dyDescent="0.2">
      <c r="M90" s="89"/>
      <c r="N90" s="89"/>
      <c r="O90" s="89"/>
      <c r="P90" s="89"/>
      <c r="Q90" s="89"/>
      <c r="R90" s="120"/>
      <c r="S90" s="120"/>
      <c r="T90" s="120"/>
      <c r="U90" s="120"/>
      <c r="V90" s="120"/>
      <c r="W90" s="120"/>
    </row>
    <row r="91" spans="3:23" x14ac:dyDescent="0.2">
      <c r="M91" s="89"/>
      <c r="N91" s="89"/>
      <c r="O91" s="89"/>
      <c r="P91" s="89"/>
      <c r="Q91" s="89"/>
      <c r="R91" s="120"/>
      <c r="S91" s="120"/>
      <c r="T91" s="120"/>
      <c r="U91" s="120"/>
      <c r="V91" s="120"/>
      <c r="W91" s="120"/>
    </row>
    <row r="92" spans="3:23" x14ac:dyDescent="0.2">
      <c r="R92" s="146"/>
      <c r="S92" s="146"/>
      <c r="T92" s="146"/>
      <c r="U92" s="146"/>
      <c r="V92" s="146"/>
      <c r="W92" s="146"/>
    </row>
    <row r="93" spans="3:23" x14ac:dyDescent="0.2">
      <c r="R93" s="146"/>
      <c r="S93" s="146"/>
      <c r="T93" s="146"/>
      <c r="U93" s="146"/>
      <c r="V93" s="146"/>
      <c r="W93" s="146"/>
    </row>
    <row r="94" spans="3:23" x14ac:dyDescent="0.2">
      <c r="R94" s="146"/>
      <c r="S94" s="146"/>
      <c r="T94" s="146"/>
      <c r="U94" s="146"/>
      <c r="V94" s="146"/>
      <c r="W94" s="146"/>
    </row>
    <row r="95" spans="3:23" x14ac:dyDescent="0.2">
      <c r="R95" s="146"/>
      <c r="S95" s="146"/>
      <c r="T95" s="146"/>
      <c r="U95" s="146"/>
      <c r="V95" s="146"/>
      <c r="W95" s="146"/>
    </row>
    <row r="96" spans="3:23" x14ac:dyDescent="0.2">
      <c r="R96" s="146"/>
      <c r="S96" s="146"/>
      <c r="T96" s="146"/>
      <c r="U96" s="146"/>
      <c r="V96" s="146"/>
      <c r="W96" s="146"/>
    </row>
    <row r="97" spans="18:23" x14ac:dyDescent="0.2">
      <c r="R97" s="146"/>
      <c r="S97" s="146"/>
      <c r="T97" s="146"/>
      <c r="U97" s="146"/>
      <c r="V97" s="146"/>
      <c r="W97" s="146"/>
    </row>
    <row r="98" spans="18:23" x14ac:dyDescent="0.2">
      <c r="R98" s="146"/>
      <c r="S98" s="146"/>
      <c r="T98" s="146"/>
      <c r="U98" s="146"/>
      <c r="V98" s="146"/>
      <c r="W98" s="146"/>
    </row>
    <row r="99" spans="18:23" x14ac:dyDescent="0.2">
      <c r="R99" s="146"/>
      <c r="S99" s="146"/>
      <c r="T99" s="146"/>
      <c r="U99" s="146"/>
      <c r="V99" s="146"/>
      <c r="W99" s="146"/>
    </row>
    <row r="100" spans="18:23" x14ac:dyDescent="0.2">
      <c r="R100" s="146"/>
      <c r="S100" s="146"/>
      <c r="T100" s="146"/>
      <c r="U100" s="146"/>
      <c r="V100" s="146"/>
      <c r="W100" s="146"/>
    </row>
    <row r="101" spans="18:23" x14ac:dyDescent="0.2">
      <c r="R101" s="146"/>
      <c r="S101" s="146"/>
      <c r="T101" s="146"/>
      <c r="U101" s="146"/>
      <c r="V101" s="146"/>
      <c r="W101" s="146"/>
    </row>
    <row r="102" spans="18:23" x14ac:dyDescent="0.2">
      <c r="R102" s="146"/>
      <c r="S102" s="146"/>
      <c r="T102" s="146"/>
      <c r="U102" s="146"/>
      <c r="V102" s="146"/>
      <c r="W102" s="146"/>
    </row>
    <row r="103" spans="18:23" x14ac:dyDescent="0.2">
      <c r="R103" s="146"/>
      <c r="S103" s="146"/>
      <c r="T103" s="146"/>
      <c r="U103" s="146"/>
      <c r="V103" s="146"/>
      <c r="W103" s="146"/>
    </row>
    <row r="104" spans="18:23" x14ac:dyDescent="0.2">
      <c r="R104" s="146"/>
      <c r="S104" s="146"/>
      <c r="T104" s="146"/>
      <c r="U104" s="146"/>
      <c r="V104" s="146"/>
      <c r="W104" s="146"/>
    </row>
    <row r="105" spans="18:23" x14ac:dyDescent="0.2">
      <c r="R105" s="146"/>
      <c r="S105" s="146"/>
      <c r="T105" s="146"/>
      <c r="U105" s="146"/>
      <c r="V105" s="146"/>
      <c r="W105" s="146"/>
    </row>
    <row r="106" spans="18:23" x14ac:dyDescent="0.2">
      <c r="R106" s="146"/>
      <c r="S106" s="146"/>
      <c r="T106" s="146"/>
      <c r="U106" s="146"/>
      <c r="V106" s="146"/>
      <c r="W106" s="146"/>
    </row>
    <row r="107" spans="18:23" x14ac:dyDescent="0.2">
      <c r="R107" s="146"/>
      <c r="S107" s="146"/>
      <c r="T107" s="146"/>
      <c r="U107" s="146"/>
      <c r="V107" s="146"/>
      <c r="W107" s="146"/>
    </row>
    <row r="108" spans="18:23" x14ac:dyDescent="0.2">
      <c r="R108" s="146"/>
      <c r="S108" s="146"/>
      <c r="T108" s="146"/>
      <c r="U108" s="146"/>
      <c r="V108" s="146"/>
      <c r="W108" s="146"/>
    </row>
    <row r="109" spans="18:23" x14ac:dyDescent="0.2">
      <c r="R109" s="146"/>
      <c r="S109" s="146"/>
      <c r="T109" s="146"/>
      <c r="U109" s="146"/>
      <c r="V109" s="146"/>
      <c r="W109" s="146"/>
    </row>
    <row r="110" spans="18:23" x14ac:dyDescent="0.2">
      <c r="R110" s="146"/>
      <c r="S110" s="146"/>
      <c r="T110" s="146"/>
      <c r="U110" s="146"/>
      <c r="V110" s="146"/>
      <c r="W110" s="146"/>
    </row>
    <row r="111" spans="18:23" x14ac:dyDescent="0.2">
      <c r="R111" s="146"/>
      <c r="S111" s="146"/>
      <c r="T111" s="146"/>
      <c r="U111" s="146"/>
      <c r="V111" s="146"/>
      <c r="W111" s="146"/>
    </row>
    <row r="112" spans="18:23" x14ac:dyDescent="0.2">
      <c r="R112" s="146"/>
      <c r="S112" s="146"/>
      <c r="T112" s="146"/>
      <c r="U112" s="146"/>
      <c r="V112" s="146"/>
      <c r="W112" s="146"/>
    </row>
    <row r="113" spans="18:23" x14ac:dyDescent="0.2">
      <c r="R113" s="146"/>
      <c r="S113" s="146"/>
      <c r="T113" s="146"/>
      <c r="U113" s="146"/>
      <c r="V113" s="146"/>
      <c r="W113" s="146"/>
    </row>
    <row r="114" spans="18:23" x14ac:dyDescent="0.2">
      <c r="R114" s="146"/>
      <c r="S114" s="146"/>
      <c r="T114" s="146"/>
      <c r="U114" s="146"/>
      <c r="V114" s="146"/>
      <c r="W114" s="146"/>
    </row>
    <row r="115" spans="18:23" x14ac:dyDescent="0.2">
      <c r="R115" s="146"/>
      <c r="S115" s="146"/>
      <c r="T115" s="146"/>
      <c r="U115" s="146"/>
      <c r="V115" s="146"/>
      <c r="W115" s="146"/>
    </row>
    <row r="116" spans="18:23" x14ac:dyDescent="0.2">
      <c r="R116" s="146"/>
      <c r="S116" s="146"/>
      <c r="T116" s="146"/>
      <c r="U116" s="146"/>
      <c r="V116" s="146"/>
      <c r="W116" s="146"/>
    </row>
    <row r="117" spans="18:23" x14ac:dyDescent="0.2">
      <c r="R117" s="146"/>
      <c r="S117" s="146"/>
      <c r="T117" s="146"/>
      <c r="U117" s="146"/>
      <c r="V117" s="146"/>
      <c r="W117" s="146"/>
    </row>
    <row r="118" spans="18:23" x14ac:dyDescent="0.2">
      <c r="R118" s="146"/>
      <c r="S118" s="146"/>
      <c r="T118" s="146"/>
      <c r="U118" s="146"/>
      <c r="V118" s="146"/>
      <c r="W118" s="146"/>
    </row>
    <row r="119" spans="18:23" x14ac:dyDescent="0.2">
      <c r="R119" s="146"/>
      <c r="S119" s="146"/>
      <c r="T119" s="146"/>
      <c r="U119" s="146"/>
      <c r="V119" s="146"/>
      <c r="W119" s="146"/>
    </row>
    <row r="120" spans="18:23" x14ac:dyDescent="0.2">
      <c r="R120" s="146"/>
      <c r="S120" s="146"/>
      <c r="T120" s="146"/>
      <c r="U120" s="146"/>
      <c r="V120" s="146"/>
      <c r="W120" s="146"/>
    </row>
    <row r="121" spans="18:23" x14ac:dyDescent="0.2">
      <c r="R121" s="146"/>
      <c r="S121" s="146"/>
      <c r="T121" s="146"/>
      <c r="U121" s="146"/>
      <c r="V121" s="146"/>
      <c r="W121" s="146"/>
    </row>
    <row r="122" spans="18:23" x14ac:dyDescent="0.2">
      <c r="R122" s="146"/>
      <c r="S122" s="146"/>
      <c r="T122" s="146"/>
      <c r="U122" s="146"/>
      <c r="V122" s="146"/>
      <c r="W122" s="146"/>
    </row>
    <row r="123" spans="18:23" x14ac:dyDescent="0.2">
      <c r="R123" s="146"/>
      <c r="S123" s="146"/>
      <c r="T123" s="146"/>
      <c r="U123" s="146"/>
      <c r="V123" s="146"/>
      <c r="W123" s="146"/>
    </row>
    <row r="124" spans="18:23" x14ac:dyDescent="0.2">
      <c r="R124" s="146"/>
      <c r="S124" s="146"/>
      <c r="T124" s="146"/>
      <c r="U124" s="146"/>
      <c r="V124" s="146"/>
      <c r="W124" s="146"/>
    </row>
    <row r="125" spans="18:23" x14ac:dyDescent="0.2">
      <c r="R125" s="146"/>
      <c r="S125" s="146"/>
      <c r="T125" s="146"/>
      <c r="U125" s="146"/>
      <c r="V125" s="146"/>
      <c r="W125" s="146"/>
    </row>
    <row r="126" spans="18:23" x14ac:dyDescent="0.2">
      <c r="R126" s="146"/>
      <c r="S126" s="146"/>
      <c r="T126" s="146"/>
      <c r="U126" s="146"/>
      <c r="V126" s="146"/>
      <c r="W126" s="146"/>
    </row>
    <row r="127" spans="18:23" x14ac:dyDescent="0.2">
      <c r="R127" s="146"/>
      <c r="S127" s="146"/>
      <c r="T127" s="146"/>
      <c r="U127" s="146"/>
      <c r="V127" s="146"/>
      <c r="W127" s="146"/>
    </row>
    <row r="128" spans="18:23" x14ac:dyDescent="0.2">
      <c r="R128" s="146"/>
      <c r="S128" s="146"/>
      <c r="T128" s="146"/>
      <c r="U128" s="146"/>
      <c r="V128" s="146"/>
      <c r="W128" s="146"/>
    </row>
    <row r="129" spans="18:23" x14ac:dyDescent="0.2">
      <c r="R129" s="146"/>
      <c r="S129" s="146"/>
      <c r="T129" s="146"/>
      <c r="U129" s="146"/>
      <c r="V129" s="146"/>
      <c r="W129" s="146"/>
    </row>
    <row r="130" spans="18:23" x14ac:dyDescent="0.2">
      <c r="R130" s="146"/>
      <c r="S130" s="146"/>
      <c r="T130" s="146"/>
      <c r="U130" s="146"/>
      <c r="V130" s="146"/>
      <c r="W130" s="146"/>
    </row>
    <row r="131" spans="18:23" x14ac:dyDescent="0.2">
      <c r="R131" s="146"/>
      <c r="S131" s="146"/>
      <c r="T131" s="146"/>
      <c r="U131" s="146"/>
      <c r="V131" s="146"/>
      <c r="W131" s="146"/>
    </row>
    <row r="132" spans="18:23" x14ac:dyDescent="0.2">
      <c r="R132" s="146"/>
      <c r="S132" s="146"/>
      <c r="T132" s="146"/>
      <c r="U132" s="146"/>
      <c r="V132" s="146"/>
      <c r="W132" s="146"/>
    </row>
    <row r="133" spans="18:23" x14ac:dyDescent="0.2">
      <c r="R133" s="146"/>
      <c r="S133" s="146"/>
      <c r="T133" s="146"/>
      <c r="U133" s="146"/>
      <c r="V133" s="146"/>
      <c r="W133" s="146"/>
    </row>
    <row r="134" spans="18:23" x14ac:dyDescent="0.2">
      <c r="R134" s="146"/>
      <c r="S134" s="146"/>
      <c r="T134" s="146"/>
      <c r="U134" s="146"/>
      <c r="V134" s="146"/>
      <c r="W134" s="146"/>
    </row>
    <row r="135" spans="18:23" x14ac:dyDescent="0.2">
      <c r="R135" s="146"/>
      <c r="S135" s="146"/>
      <c r="T135" s="146"/>
      <c r="U135" s="146"/>
      <c r="V135" s="146"/>
      <c r="W135" s="146"/>
    </row>
    <row r="136" spans="18:23" x14ac:dyDescent="0.2">
      <c r="R136" s="146"/>
      <c r="S136" s="146"/>
      <c r="T136" s="146"/>
      <c r="U136" s="146"/>
      <c r="V136" s="146"/>
      <c r="W136" s="146"/>
    </row>
    <row r="137" spans="18:23" x14ac:dyDescent="0.2">
      <c r="R137" s="146"/>
      <c r="S137" s="146"/>
      <c r="T137" s="146"/>
      <c r="U137" s="146"/>
      <c r="V137" s="146"/>
      <c r="W137" s="146"/>
    </row>
    <row r="138" spans="18:23" x14ac:dyDescent="0.2">
      <c r="R138" s="146"/>
      <c r="S138" s="146"/>
      <c r="T138" s="146"/>
      <c r="U138" s="146"/>
      <c r="V138" s="146"/>
      <c r="W138" s="146"/>
    </row>
    <row r="139" spans="18:23" x14ac:dyDescent="0.2">
      <c r="R139" s="146"/>
      <c r="S139" s="146"/>
      <c r="T139" s="146"/>
      <c r="U139" s="146"/>
      <c r="V139" s="146"/>
      <c r="W139" s="146"/>
    </row>
    <row r="140" spans="18:23" x14ac:dyDescent="0.2">
      <c r="R140" s="146"/>
      <c r="S140" s="146"/>
      <c r="T140" s="146"/>
      <c r="U140" s="146"/>
      <c r="V140" s="146"/>
      <c r="W140" s="146"/>
    </row>
    <row r="141" spans="18:23" x14ac:dyDescent="0.2">
      <c r="R141" s="146"/>
      <c r="S141" s="146"/>
      <c r="T141" s="146"/>
      <c r="U141" s="146"/>
      <c r="V141" s="146"/>
      <c r="W141" s="146"/>
    </row>
    <row r="142" spans="18:23" x14ac:dyDescent="0.2">
      <c r="R142" s="146"/>
      <c r="S142" s="146"/>
      <c r="T142" s="146"/>
      <c r="U142" s="146"/>
      <c r="V142" s="146"/>
      <c r="W142" s="146"/>
    </row>
    <row r="143" spans="18:23" x14ac:dyDescent="0.2">
      <c r="R143" s="146"/>
      <c r="S143" s="146"/>
      <c r="T143" s="146"/>
      <c r="U143" s="146"/>
      <c r="V143" s="146"/>
      <c r="W143" s="146"/>
    </row>
    <row r="144" spans="18:23" x14ac:dyDescent="0.2">
      <c r="R144" s="146"/>
      <c r="S144" s="146"/>
      <c r="T144" s="146"/>
      <c r="U144" s="146"/>
      <c r="V144" s="146"/>
      <c r="W144" s="146"/>
    </row>
    <row r="145" spans="18:23" x14ac:dyDescent="0.2">
      <c r="R145" s="146"/>
      <c r="S145" s="146"/>
      <c r="T145" s="146"/>
      <c r="U145" s="146"/>
      <c r="V145" s="146"/>
      <c r="W145" s="146"/>
    </row>
    <row r="146" spans="18:23" x14ac:dyDescent="0.2">
      <c r="R146" s="146"/>
      <c r="S146" s="146"/>
      <c r="T146" s="146"/>
      <c r="U146" s="146"/>
      <c r="V146" s="146"/>
      <c r="W146" s="146"/>
    </row>
    <row r="147" spans="18:23" x14ac:dyDescent="0.2">
      <c r="R147" s="146"/>
      <c r="S147" s="146"/>
      <c r="T147" s="146"/>
      <c r="U147" s="146"/>
      <c r="V147" s="146"/>
      <c r="W147" s="146"/>
    </row>
    <row r="148" spans="18:23" x14ac:dyDescent="0.2">
      <c r="R148" s="146"/>
      <c r="S148" s="146"/>
      <c r="T148" s="146"/>
      <c r="U148" s="146"/>
      <c r="V148" s="146"/>
      <c r="W148" s="146"/>
    </row>
    <row r="149" spans="18:23" x14ac:dyDescent="0.2">
      <c r="R149" s="146"/>
      <c r="S149" s="146"/>
      <c r="T149" s="146"/>
      <c r="U149" s="146"/>
      <c r="V149" s="146"/>
      <c r="W149" s="146"/>
    </row>
    <row r="150" spans="18:23" x14ac:dyDescent="0.2">
      <c r="R150" s="146"/>
      <c r="S150" s="146"/>
      <c r="T150" s="146"/>
      <c r="U150" s="146"/>
      <c r="V150" s="146"/>
      <c r="W150" s="146"/>
    </row>
    <row r="151" spans="18:23" x14ac:dyDescent="0.2">
      <c r="R151" s="146"/>
      <c r="S151" s="146"/>
      <c r="T151" s="146"/>
      <c r="U151" s="146"/>
      <c r="V151" s="146"/>
      <c r="W151" s="146"/>
    </row>
    <row r="152" spans="18:23" x14ac:dyDescent="0.2">
      <c r="R152" s="146"/>
      <c r="S152" s="146"/>
      <c r="T152" s="146"/>
      <c r="U152" s="146"/>
      <c r="V152" s="146"/>
      <c r="W152" s="146"/>
    </row>
    <row r="153" spans="18:23" x14ac:dyDescent="0.2">
      <c r="R153" s="146"/>
      <c r="S153" s="146"/>
      <c r="T153" s="146"/>
      <c r="U153" s="146"/>
      <c r="V153" s="146"/>
      <c r="W153" s="146"/>
    </row>
    <row r="154" spans="18:23" x14ac:dyDescent="0.2">
      <c r="R154" s="146"/>
      <c r="S154" s="146"/>
      <c r="T154" s="146"/>
      <c r="U154" s="146"/>
      <c r="V154" s="146"/>
      <c r="W154" s="146"/>
    </row>
    <row r="155" spans="18:23" x14ac:dyDescent="0.2">
      <c r="R155" s="146"/>
      <c r="S155" s="146"/>
      <c r="T155" s="146"/>
      <c r="U155" s="146"/>
      <c r="V155" s="146"/>
      <c r="W155" s="146"/>
    </row>
    <row r="156" spans="18:23" x14ac:dyDescent="0.2">
      <c r="R156" s="146"/>
      <c r="S156" s="146"/>
      <c r="T156" s="146"/>
      <c r="U156" s="146"/>
      <c r="V156" s="146"/>
      <c r="W156" s="146"/>
    </row>
    <row r="157" spans="18:23" x14ac:dyDescent="0.2">
      <c r="R157" s="146"/>
      <c r="S157" s="146"/>
      <c r="T157" s="146"/>
      <c r="U157" s="146"/>
      <c r="V157" s="146"/>
      <c r="W157" s="146"/>
    </row>
    <row r="158" spans="18:23" x14ac:dyDescent="0.2">
      <c r="R158" s="146"/>
      <c r="S158" s="146"/>
      <c r="T158" s="146"/>
      <c r="U158" s="146"/>
      <c r="V158" s="146"/>
      <c r="W158" s="146"/>
    </row>
    <row r="159" spans="18:23" x14ac:dyDescent="0.2">
      <c r="R159" s="146"/>
      <c r="S159" s="146"/>
      <c r="T159" s="146"/>
      <c r="U159" s="146"/>
      <c r="V159" s="146"/>
      <c r="W159" s="146"/>
    </row>
    <row r="160" spans="18:23" x14ac:dyDescent="0.2">
      <c r="R160" s="146"/>
      <c r="S160" s="146"/>
      <c r="T160" s="146"/>
      <c r="U160" s="146"/>
      <c r="V160" s="146"/>
      <c r="W160" s="146"/>
    </row>
    <row r="161" spans="18:23" x14ac:dyDescent="0.2">
      <c r="R161" s="146"/>
      <c r="S161" s="146"/>
      <c r="T161" s="146"/>
      <c r="U161" s="146"/>
      <c r="V161" s="146"/>
      <c r="W161" s="146"/>
    </row>
    <row r="162" spans="18:23" x14ac:dyDescent="0.2">
      <c r="R162" s="146"/>
      <c r="S162" s="146"/>
      <c r="T162" s="146"/>
      <c r="U162" s="146"/>
      <c r="V162" s="146"/>
      <c r="W162" s="146"/>
    </row>
    <row r="163" spans="18:23" x14ac:dyDescent="0.2">
      <c r="R163" s="146"/>
      <c r="S163" s="146"/>
      <c r="T163" s="146"/>
      <c r="U163" s="146"/>
      <c r="V163" s="146"/>
      <c r="W163" s="146"/>
    </row>
    <row r="164" spans="18:23" x14ac:dyDescent="0.2">
      <c r="R164" s="146"/>
      <c r="S164" s="146"/>
      <c r="T164" s="146"/>
      <c r="U164" s="146"/>
      <c r="V164" s="146"/>
      <c r="W164" s="146"/>
    </row>
    <row r="165" spans="18:23" x14ac:dyDescent="0.2">
      <c r="R165" s="146"/>
      <c r="S165" s="146"/>
      <c r="T165" s="146"/>
      <c r="U165" s="146"/>
      <c r="V165" s="146"/>
      <c r="W165" s="146"/>
    </row>
    <row r="166" spans="18:23" x14ac:dyDescent="0.2">
      <c r="R166" s="146"/>
      <c r="S166" s="146"/>
      <c r="T166" s="146"/>
      <c r="U166" s="146"/>
      <c r="V166" s="146"/>
      <c r="W166" s="146"/>
    </row>
    <row r="167" spans="18:23" x14ac:dyDescent="0.2">
      <c r="R167" s="146"/>
      <c r="S167" s="146"/>
      <c r="T167" s="146"/>
      <c r="U167" s="146"/>
      <c r="V167" s="146"/>
      <c r="W167" s="146"/>
    </row>
    <row r="168" spans="18:23" x14ac:dyDescent="0.2">
      <c r="R168" s="146"/>
      <c r="S168" s="146"/>
      <c r="T168" s="146"/>
      <c r="U168" s="146"/>
      <c r="V168" s="146"/>
      <c r="W168" s="146"/>
    </row>
    <row r="169" spans="18:23" x14ac:dyDescent="0.2">
      <c r="R169" s="146"/>
      <c r="S169" s="146"/>
      <c r="T169" s="146"/>
      <c r="U169" s="146"/>
      <c r="V169" s="146"/>
      <c r="W169" s="146"/>
    </row>
    <row r="170" spans="18:23" x14ac:dyDescent="0.2">
      <c r="R170" s="146"/>
      <c r="S170" s="146"/>
      <c r="T170" s="146"/>
      <c r="U170" s="146"/>
      <c r="V170" s="146"/>
      <c r="W170" s="146"/>
    </row>
    <row r="171" spans="18:23" x14ac:dyDescent="0.2">
      <c r="R171" s="146"/>
      <c r="S171" s="146"/>
      <c r="T171" s="146"/>
      <c r="U171" s="146"/>
      <c r="V171" s="146"/>
      <c r="W171" s="146"/>
    </row>
    <row r="172" spans="18:23" x14ac:dyDescent="0.2">
      <c r="R172" s="146"/>
      <c r="S172" s="146"/>
      <c r="T172" s="146"/>
      <c r="U172" s="146"/>
      <c r="V172" s="146"/>
      <c r="W172" s="146"/>
    </row>
    <row r="173" spans="18:23" x14ac:dyDescent="0.2">
      <c r="R173" s="146"/>
      <c r="S173" s="146"/>
      <c r="T173" s="146"/>
      <c r="U173" s="146"/>
      <c r="V173" s="146"/>
      <c r="W173" s="146"/>
    </row>
    <row r="174" spans="18:23" x14ac:dyDescent="0.2">
      <c r="R174" s="146"/>
      <c r="S174" s="146"/>
      <c r="T174" s="146"/>
      <c r="U174" s="146"/>
      <c r="V174" s="146"/>
      <c r="W174" s="146"/>
    </row>
    <row r="175" spans="18:23" x14ac:dyDescent="0.2">
      <c r="R175" s="146"/>
      <c r="S175" s="146"/>
      <c r="T175" s="146"/>
      <c r="U175" s="146"/>
      <c r="V175" s="146"/>
      <c r="W175" s="146"/>
    </row>
    <row r="176" spans="18:23" x14ac:dyDescent="0.2">
      <c r="R176" s="146"/>
      <c r="S176" s="146"/>
      <c r="T176" s="146"/>
      <c r="U176" s="146"/>
      <c r="V176" s="146"/>
      <c r="W176" s="146"/>
    </row>
    <row r="177" spans="18:23" x14ac:dyDescent="0.2">
      <c r="R177" s="146"/>
      <c r="S177" s="146"/>
      <c r="T177" s="146"/>
      <c r="U177" s="146"/>
      <c r="V177" s="146"/>
      <c r="W177" s="146"/>
    </row>
    <row r="178" spans="18:23" x14ac:dyDescent="0.2">
      <c r="R178" s="146"/>
      <c r="S178" s="146"/>
      <c r="T178" s="146"/>
      <c r="U178" s="146"/>
      <c r="V178" s="146"/>
      <c r="W178" s="146"/>
    </row>
    <row r="179" spans="18:23" x14ac:dyDescent="0.2">
      <c r="R179" s="146"/>
      <c r="S179" s="146"/>
      <c r="T179" s="146"/>
      <c r="U179" s="146"/>
      <c r="V179" s="146"/>
      <c r="W179" s="146"/>
    </row>
    <row r="180" spans="18:23" x14ac:dyDescent="0.2">
      <c r="R180" s="146"/>
      <c r="S180" s="146"/>
      <c r="T180" s="146"/>
      <c r="U180" s="146"/>
      <c r="V180" s="146"/>
      <c r="W180" s="146"/>
    </row>
    <row r="181" spans="18:23" x14ac:dyDescent="0.2">
      <c r="R181" s="146"/>
      <c r="S181" s="146"/>
      <c r="T181" s="146"/>
      <c r="U181" s="146"/>
      <c r="V181" s="146"/>
      <c r="W181" s="146"/>
    </row>
    <row r="182" spans="18:23" x14ac:dyDescent="0.2">
      <c r="R182" s="146"/>
      <c r="S182" s="146"/>
      <c r="T182" s="146"/>
      <c r="U182" s="146"/>
      <c r="V182" s="146"/>
      <c r="W182" s="146"/>
    </row>
    <row r="183" spans="18:23" x14ac:dyDescent="0.2">
      <c r="R183" s="146"/>
      <c r="S183" s="146"/>
      <c r="T183" s="146"/>
      <c r="U183" s="146"/>
      <c r="V183" s="146"/>
      <c r="W183" s="146"/>
    </row>
    <row r="184" spans="18:23" x14ac:dyDescent="0.2">
      <c r="R184" s="146"/>
      <c r="S184" s="146"/>
      <c r="T184" s="146"/>
      <c r="U184" s="146"/>
      <c r="V184" s="146"/>
      <c r="W184" s="146"/>
    </row>
    <row r="185" spans="18:23" x14ac:dyDescent="0.2">
      <c r="R185" s="146"/>
      <c r="S185" s="146"/>
      <c r="T185" s="146"/>
      <c r="U185" s="146"/>
      <c r="V185" s="146"/>
      <c r="W185" s="146"/>
    </row>
    <row r="186" spans="18:23" x14ac:dyDescent="0.2">
      <c r="R186" s="146"/>
      <c r="S186" s="146"/>
      <c r="T186" s="146"/>
      <c r="U186" s="146"/>
      <c r="V186" s="146"/>
      <c r="W186" s="146"/>
    </row>
    <row r="187" spans="18:23" x14ac:dyDescent="0.2">
      <c r="R187" s="146"/>
      <c r="S187" s="146"/>
      <c r="T187" s="146"/>
      <c r="U187" s="146"/>
      <c r="V187" s="146"/>
      <c r="W187" s="146"/>
    </row>
    <row r="188" spans="18:23" x14ac:dyDescent="0.2">
      <c r="R188" s="146"/>
      <c r="S188" s="146"/>
      <c r="T188" s="146"/>
      <c r="U188" s="146"/>
      <c r="V188" s="146"/>
      <c r="W188" s="146"/>
    </row>
    <row r="189" spans="18:23" x14ac:dyDescent="0.2">
      <c r="R189" s="146"/>
      <c r="S189" s="146"/>
      <c r="T189" s="146"/>
      <c r="U189" s="146"/>
      <c r="V189" s="146"/>
      <c r="W189" s="146"/>
    </row>
  </sheetData>
  <sheetProtection sheet="1" objects="1" scenarios="1"/>
  <dataConsolidate link="1"/>
  <mergeCells count="37">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 ref="O37:O38"/>
    <mergeCell ref="P37:P38"/>
    <mergeCell ref="O39:O46"/>
    <mergeCell ref="P39:P46"/>
    <mergeCell ref="C41:F41"/>
    <mergeCell ref="G41:M41"/>
    <mergeCell ref="D42:F42"/>
    <mergeCell ref="G42:H42"/>
    <mergeCell ref="I42:M42"/>
    <mergeCell ref="D43:F43"/>
    <mergeCell ref="G43:H43"/>
    <mergeCell ref="I43:M43"/>
    <mergeCell ref="D44:F44"/>
    <mergeCell ref="K47:M47"/>
    <mergeCell ref="N56:N57"/>
    <mergeCell ref="G44:H44"/>
    <mergeCell ref="I44:M44"/>
    <mergeCell ref="D46:F46"/>
    <mergeCell ref="G46:H46"/>
    <mergeCell ref="I46:M46"/>
    <mergeCell ref="D45:F45"/>
    <mergeCell ref="G45:H45"/>
    <mergeCell ref="I45:M45"/>
  </mergeCells>
  <conditionalFormatting sqref="C17:C18">
    <cfRule type="expression" dxfId="966" priority="87" stopIfTrue="1">
      <formula>B17=3</formula>
    </cfRule>
    <cfRule type="expression" dxfId="965" priority="88" stopIfTrue="1">
      <formula>B17=4</formula>
    </cfRule>
    <cfRule type="expression" dxfId="964" priority="89" stopIfTrue="1">
      <formula>B17=5</formula>
    </cfRule>
  </conditionalFormatting>
  <conditionalFormatting sqref="F5:F40">
    <cfRule type="expression" dxfId="963" priority="83">
      <formula>$H5=0</formula>
    </cfRule>
    <cfRule type="expression" dxfId="962" priority="86">
      <formula>$H5=0</formula>
    </cfRule>
  </conditionalFormatting>
  <conditionalFormatting sqref="H5:H40">
    <cfRule type="cellIs" dxfId="961" priority="90" stopIfTrue="1" operator="between">
      <formula>0.1</formula>
      <formula>1.9</formula>
    </cfRule>
    <cfRule type="cellIs" dxfId="960" priority="91" stopIfTrue="1" operator="between">
      <formula>3</formula>
      <formula>3.9</formula>
    </cfRule>
    <cfRule type="cellIs" dxfId="959" priority="92" stopIfTrue="1" operator="between">
      <formula>4</formula>
      <formula>5</formula>
    </cfRule>
  </conditionalFormatting>
  <conditionalFormatting sqref="F5:F40">
    <cfRule type="expression" dxfId="958" priority="84">
      <formula>$H5&lt;#REF!</formula>
    </cfRule>
    <cfRule type="expression" dxfId="957" priority="85">
      <formula>$H5&gt;=#REF!</formula>
    </cfRule>
  </conditionalFormatting>
  <conditionalFormatting sqref="E5:E40">
    <cfRule type="expression" dxfId="956" priority="77">
      <formula>$D5=3</formula>
    </cfRule>
    <cfRule type="expression" dxfId="955" priority="78">
      <formula>$D5=4</formula>
    </cfRule>
    <cfRule type="expression" dxfId="954" priority="79">
      <formula>$D5=5</formula>
    </cfRule>
    <cfRule type="expression" dxfId="953" priority="80">
      <formula>$D5=8</formula>
    </cfRule>
    <cfRule type="expression" dxfId="952" priority="81">
      <formula>$D5=7</formula>
    </cfRule>
    <cfRule type="expression" dxfId="951" priority="82">
      <formula>$D5=6</formula>
    </cfRule>
  </conditionalFormatting>
  <conditionalFormatting sqref="C17:C18">
    <cfRule type="cellIs" dxfId="950" priority="73" operator="equal">
      <formula>""</formula>
    </cfRule>
    <cfRule type="expression" dxfId="949" priority="74" stopIfTrue="1">
      <formula>B17=8</formula>
    </cfRule>
    <cfRule type="expression" dxfId="948" priority="75" stopIfTrue="1">
      <formula>B17=7</formula>
    </cfRule>
    <cfRule type="expression" dxfId="947" priority="76" stopIfTrue="1">
      <formula>B17=6</formula>
    </cfRule>
  </conditionalFormatting>
  <conditionalFormatting sqref="C29:C40">
    <cfRule type="expression" dxfId="946" priority="70" stopIfTrue="1">
      <formula>B29=3</formula>
    </cfRule>
    <cfRule type="expression" dxfId="945" priority="71" stopIfTrue="1">
      <formula>B29=4</formula>
    </cfRule>
    <cfRule type="expression" dxfId="944" priority="72" stopIfTrue="1">
      <formula>B29=5</formula>
    </cfRule>
  </conditionalFormatting>
  <conditionalFormatting sqref="C29:C40">
    <cfRule type="cellIs" dxfId="943" priority="66" operator="equal">
      <formula>""</formula>
    </cfRule>
    <cfRule type="expression" dxfId="942" priority="67" stopIfTrue="1">
      <formula>B29=8</formula>
    </cfRule>
    <cfRule type="expression" dxfId="941" priority="68" stopIfTrue="1">
      <formula>B29=7</formula>
    </cfRule>
    <cfRule type="expression" dxfId="940" priority="69" stopIfTrue="1">
      <formula>B29=6</formula>
    </cfRule>
  </conditionalFormatting>
  <conditionalFormatting sqref="G42:G46">
    <cfRule type="cellIs" dxfId="939" priority="65" operator="notEqual">
      <formula>""</formula>
    </cfRule>
  </conditionalFormatting>
  <conditionalFormatting sqref="S7:U7 S9:U9 S11:U11">
    <cfRule type="cellIs" dxfId="938" priority="64" operator="equal">
      <formula>0</formula>
    </cfRule>
  </conditionalFormatting>
  <conditionalFormatting sqref="V13 V15">
    <cfRule type="cellIs" dxfId="937" priority="63" operator="equal">
      <formula>0</formula>
    </cfRule>
  </conditionalFormatting>
  <conditionalFormatting sqref="R13 R15">
    <cfRule type="cellIs" dxfId="936" priority="62" operator="equal">
      <formula>0</formula>
    </cfRule>
  </conditionalFormatting>
  <conditionalFormatting sqref="R7 R9 R11">
    <cfRule type="cellIs" dxfId="935" priority="61" operator="equal">
      <formula>0</formula>
    </cfRule>
  </conditionalFormatting>
  <conditionalFormatting sqref="V7 V9 V11">
    <cfRule type="cellIs" dxfId="934" priority="60" operator="equal">
      <formula>0</formula>
    </cfRule>
  </conditionalFormatting>
  <conditionalFormatting sqref="S13:U13 S15:U15">
    <cfRule type="cellIs" dxfId="933" priority="59" operator="equal">
      <formula>0</formula>
    </cfRule>
  </conditionalFormatting>
  <conditionalFormatting sqref="R6">
    <cfRule type="cellIs" dxfId="932" priority="58" operator="equal">
      <formula>0</formula>
    </cfRule>
  </conditionalFormatting>
  <conditionalFormatting sqref="V6">
    <cfRule type="cellIs" dxfId="931" priority="57" operator="equal">
      <formula>0</formula>
    </cfRule>
  </conditionalFormatting>
  <conditionalFormatting sqref="I5:I40">
    <cfRule type="cellIs" dxfId="930" priority="54" stopIfTrue="1" operator="between">
      <formula>"D-3"</formula>
      <formula>"E-5"</formula>
    </cfRule>
    <cfRule type="cellIs" dxfId="929" priority="55" stopIfTrue="1" operator="between">
      <formula>"B-2"</formula>
      <formula>"B-3"</formula>
    </cfRule>
    <cfRule type="cellIs" dxfId="928" priority="56" stopIfTrue="1" operator="between">
      <formula>"A-1"</formula>
      <formula>"A-2"</formula>
    </cfRule>
  </conditionalFormatting>
  <conditionalFormatting sqref="I5:I40">
    <cfRule type="cellIs" dxfId="927" priority="52" operator="equal">
      <formula>"E-5-"</formula>
    </cfRule>
    <cfRule type="cellIs" dxfId="926" priority="53" operator="equal">
      <formula>"A-1+"</formula>
    </cfRule>
  </conditionalFormatting>
  <conditionalFormatting sqref="C42:C46">
    <cfRule type="cellIs" dxfId="925" priority="44" operator="notEqual">
      <formula>""</formula>
    </cfRule>
  </conditionalFormatting>
  <conditionalFormatting sqref="L34:L40">
    <cfRule type="cellIs" dxfId="924" priority="41" stopIfTrue="1" operator="between">
      <formula>0.1</formula>
      <formula>1.9</formula>
    </cfRule>
    <cfRule type="cellIs" dxfId="923" priority="42" stopIfTrue="1" operator="between">
      <formula>3</formula>
      <formula>3.9</formula>
    </cfRule>
    <cfRule type="cellIs" dxfId="922" priority="43" stopIfTrue="1" operator="between">
      <formula>4</formula>
      <formula>5</formula>
    </cfRule>
  </conditionalFormatting>
  <conditionalFormatting sqref="L31:L33">
    <cfRule type="cellIs" dxfId="921" priority="38" stopIfTrue="1" operator="between">
      <formula>0.1</formula>
      <formula>1.9</formula>
    </cfRule>
    <cfRule type="cellIs" dxfId="920" priority="39" stopIfTrue="1" operator="between">
      <formula>3</formula>
      <formula>3.9</formula>
    </cfRule>
    <cfRule type="cellIs" dxfId="919" priority="40" stopIfTrue="1" operator="between">
      <formula>4</formula>
      <formula>5</formula>
    </cfRule>
  </conditionalFormatting>
  <conditionalFormatting sqref="L29:L30">
    <cfRule type="cellIs" dxfId="918" priority="35" stopIfTrue="1" operator="between">
      <formula>0.1</formula>
      <formula>1.9</formula>
    </cfRule>
    <cfRule type="cellIs" dxfId="917" priority="36" stopIfTrue="1" operator="between">
      <formula>3</formula>
      <formula>3.9</formula>
    </cfRule>
    <cfRule type="cellIs" dxfId="916" priority="37" stopIfTrue="1" operator="between">
      <formula>4</formula>
      <formula>5</formula>
    </cfRule>
  </conditionalFormatting>
  <conditionalFormatting sqref="L25:L28">
    <cfRule type="cellIs" dxfId="915" priority="32" stopIfTrue="1" operator="between">
      <formula>0.1</formula>
      <formula>1.9</formula>
    </cfRule>
    <cfRule type="cellIs" dxfId="914" priority="33" stopIfTrue="1" operator="between">
      <formula>3</formula>
      <formula>3.9</formula>
    </cfRule>
    <cfRule type="cellIs" dxfId="913" priority="34" stopIfTrue="1" operator="between">
      <formula>4</formula>
      <formula>5</formula>
    </cfRule>
  </conditionalFormatting>
  <conditionalFormatting sqref="L19:L23">
    <cfRule type="cellIs" dxfId="912" priority="29" stopIfTrue="1" operator="between">
      <formula>0.1</formula>
      <formula>1.9</formula>
    </cfRule>
    <cfRule type="cellIs" dxfId="911" priority="30" stopIfTrue="1" operator="between">
      <formula>3</formula>
      <formula>3.9</formula>
    </cfRule>
    <cfRule type="cellIs" dxfId="910" priority="31" stopIfTrue="1" operator="between">
      <formula>4</formula>
      <formula>5</formula>
    </cfRule>
  </conditionalFormatting>
  <conditionalFormatting sqref="L21:L24">
    <cfRule type="cellIs" dxfId="909" priority="26" stopIfTrue="1" operator="between">
      <formula>0.1</formula>
      <formula>1.9</formula>
    </cfRule>
    <cfRule type="cellIs" dxfId="908" priority="27" stopIfTrue="1" operator="between">
      <formula>3</formula>
      <formula>3.9</formula>
    </cfRule>
    <cfRule type="cellIs" dxfId="907" priority="28" stopIfTrue="1" operator="between">
      <formula>4</formula>
      <formula>5</formula>
    </cfRule>
  </conditionalFormatting>
  <conditionalFormatting sqref="K19:K23">
    <cfRule type="cellIs" dxfId="906" priority="23" stopIfTrue="1" operator="between">
      <formula>0.1</formula>
      <formula>1.9</formula>
    </cfRule>
    <cfRule type="cellIs" dxfId="905" priority="24" stopIfTrue="1" operator="between">
      <formula>3</formula>
      <formula>3.9</formula>
    </cfRule>
    <cfRule type="cellIs" dxfId="904" priority="25" stopIfTrue="1" operator="between">
      <formula>4</formula>
      <formula>5</formula>
    </cfRule>
  </conditionalFormatting>
  <conditionalFormatting sqref="K19:K40">
    <cfRule type="cellIs" dxfId="903" priority="22" operator="equal">
      <formula>""</formula>
    </cfRule>
  </conditionalFormatting>
  <conditionalFormatting sqref="L19:L40">
    <cfRule type="cellIs" dxfId="902" priority="21" operator="equal">
      <formula>""</formula>
    </cfRule>
  </conditionalFormatting>
  <conditionalFormatting sqref="K5:K8">
    <cfRule type="cellIs" dxfId="901" priority="20" operator="greaterThanOrEqual">
      <formula>""</formula>
    </cfRule>
  </conditionalFormatting>
  <conditionalFormatting sqref="L5:L8">
    <cfRule type="cellIs" dxfId="900" priority="17" stopIfTrue="1" operator="between">
      <formula>0.1</formula>
      <formula>1.9</formula>
    </cfRule>
    <cfRule type="cellIs" dxfId="899" priority="18" stopIfTrue="1" operator="between">
      <formula>3</formula>
      <formula>3.9</formula>
    </cfRule>
    <cfRule type="cellIs" dxfId="898" priority="19" stopIfTrue="1" operator="between">
      <formula>4</formula>
      <formula>5</formula>
    </cfRule>
  </conditionalFormatting>
  <conditionalFormatting sqref="J5:J40">
    <cfRule type="cellIs" dxfId="897" priority="15" operator="equal">
      <formula>"*"</formula>
    </cfRule>
    <cfRule type="cellIs" dxfId="896" priority="16" operator="equal">
      <formula>"!"</formula>
    </cfRule>
  </conditionalFormatting>
  <conditionalFormatting sqref="N5:N40">
    <cfRule type="cellIs" dxfId="895" priority="13" operator="equal">
      <formula>"*"</formula>
    </cfRule>
    <cfRule type="cellIs" dxfId="894" priority="14" operator="equal">
      <formula>"!"</formula>
    </cfRule>
  </conditionalFormatting>
  <conditionalFormatting sqref="M5:M40">
    <cfRule type="cellIs" dxfId="893" priority="10" stopIfTrue="1" operator="between">
      <formula>"D-3"</formula>
      <formula>"E-5"</formula>
    </cfRule>
    <cfRule type="cellIs" dxfId="892" priority="11" stopIfTrue="1" operator="between">
      <formula>"B-2"</formula>
      <formula>"B-3"</formula>
    </cfRule>
    <cfRule type="cellIs" dxfId="891" priority="12" stopIfTrue="1" operator="between">
      <formula>"A-1"</formula>
      <formula>"A-2"</formula>
    </cfRule>
  </conditionalFormatting>
  <conditionalFormatting sqref="M5:M40">
    <cfRule type="cellIs" dxfId="890" priority="8" operator="equal">
      <formula>"E-5-"</formula>
    </cfRule>
    <cfRule type="cellIs" dxfId="889" priority="9" operator="equal">
      <formula>"A-1+"</formula>
    </cfRule>
  </conditionalFormatting>
  <conditionalFormatting sqref="C7:C16">
    <cfRule type="expression" dxfId="888" priority="5" stopIfTrue="1">
      <formula>B7=3</formula>
    </cfRule>
    <cfRule type="expression" dxfId="887" priority="6" stopIfTrue="1">
      <formula>B7=4</formula>
    </cfRule>
    <cfRule type="expression" dxfId="886" priority="7" stopIfTrue="1">
      <formula>B7=5</formula>
    </cfRule>
  </conditionalFormatting>
  <conditionalFormatting sqref="C7:C16">
    <cfRule type="cellIs" dxfId="885" priority="1" operator="equal">
      <formula>""</formula>
    </cfRule>
    <cfRule type="expression" dxfId="884" priority="2" stopIfTrue="1">
      <formula>B7=8</formula>
    </cfRule>
    <cfRule type="expression" dxfId="883" priority="3" stopIfTrue="1">
      <formula>B7=7</formula>
    </cfRule>
    <cfRule type="expression" dxfId="882" priority="4" stopIfTrue="1">
      <formula>B7=6</formula>
    </cfRule>
  </conditionalFormatting>
  <dataValidations count="10">
    <dataValidation type="list" allowBlank="1" showInputMessage="1" showErrorMessage="1" sqref="C46 G46" xr:uid="{00000000-0002-0000-2600-000000000000}">
      <formula1>"vrijdag,"</formula1>
    </dataValidation>
    <dataValidation type="list" allowBlank="1" showInputMessage="1" showErrorMessage="1" sqref="C45 G45" xr:uid="{00000000-0002-0000-2600-000001000000}">
      <formula1>"donderdag,"</formula1>
    </dataValidation>
    <dataValidation type="list" allowBlank="1" showInputMessage="1" showErrorMessage="1" sqref="C44 G44" xr:uid="{00000000-0002-0000-2600-000002000000}">
      <formula1>"woensdag,"</formula1>
    </dataValidation>
    <dataValidation type="list" allowBlank="1" showInputMessage="1" showErrorMessage="1" sqref="C43 G43" xr:uid="{00000000-0002-0000-2600-000003000000}">
      <formula1>"dinsdag,"</formula1>
    </dataValidation>
    <dataValidation type="list" allowBlank="1" showInputMessage="1" showErrorMessage="1" sqref="C42 G42" xr:uid="{00000000-0002-0000-2600-000004000000}">
      <formula1>"maandag,"</formula1>
    </dataValidation>
    <dataValidation type="list" allowBlank="1" showInputMessage="1" showErrorMessage="1" sqref="B7:B18 B29:B40" xr:uid="{00000000-0002-0000-26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600-000006000000}">
      <formula1>2</formula1>
    </dataValidation>
    <dataValidation allowBlank="1" showInputMessage="1" showErrorMessage="1" promptTitle="Pulldown venster" prompt="groeps  HP: -_x000a_indiv.    HP:#_x000a_hele groep: $" sqref="C7:C17 C29:C39" xr:uid="{00000000-0002-0000-2600-000007000000}"/>
    <dataValidation allowBlank="1" showInputMessage="1" showErrorMessage="1" promptTitle="Pulldown menu" prompt="groeps  HP: -_x000a_indiv.    HP:#_x000a_hele groep: $" sqref="C18 C40" xr:uid="{00000000-0002-0000-2600-000008000000}"/>
    <dataValidation allowBlank="1" showInputMessage="1" showErrorMessage="1" promptTitle="Nieuwe regel:" prompt="druk op Alt-Enter" sqref="P15 P28 P17 P26 P37 P39" xr:uid="{00000000-0002-0000-2600-000009000000}"/>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CCFFFF"/>
    <pageSetUpPr fitToPage="1"/>
  </sheetPr>
  <dimension ref="A1:AA189"/>
  <sheetViews>
    <sheetView showGridLines="0" showRowColHeaders="0" zoomScale="90" zoomScaleNormal="90" workbookViewId="0"/>
  </sheetViews>
  <sheetFormatPr defaultColWidth="9.140625" defaultRowHeight="12.75" x14ac:dyDescent="0.2"/>
  <cols>
    <col min="1" max="1" width="3.140625" style="69" customWidth="1"/>
    <col min="2" max="2" width="3.140625" style="70" bestFit="1" customWidth="1"/>
    <col min="3" max="3" width="11.85546875" style="74" bestFit="1" customWidth="1"/>
    <col min="4" max="4" width="3.140625" style="75" customWidth="1"/>
    <col min="5" max="5" width="5.85546875" style="74" customWidth="1"/>
    <col min="6" max="6" width="20.85546875" style="74" customWidth="1"/>
    <col min="7" max="7" width="5.85546875" style="74" customWidth="1"/>
    <col min="8" max="9" width="5.85546875" style="76" customWidth="1"/>
    <col min="10" max="10" width="3.140625" style="76" customWidth="1"/>
    <col min="11" max="11" width="5.85546875" style="76" customWidth="1"/>
    <col min="12" max="12" width="5.85546875" style="74" customWidth="1"/>
    <col min="13" max="13" width="5.85546875" style="69" customWidth="1"/>
    <col min="14" max="14" width="3.140625" style="69" customWidth="1"/>
    <col min="15" max="15" width="4.85546875" style="69" bestFit="1" customWidth="1"/>
    <col min="16" max="16" width="60.85546875" style="69" customWidth="1"/>
    <col min="17" max="17" width="6.85546875" style="69" customWidth="1"/>
    <col min="18" max="22" width="7.140625" style="73" customWidth="1"/>
    <col min="23" max="25" width="6.85546875" style="73" customWidth="1"/>
    <col min="26" max="26" width="6.140625" style="73" customWidth="1"/>
    <col min="27" max="27" width="9.140625" style="73"/>
    <col min="28" max="16384" width="9.140625" style="69"/>
  </cols>
  <sheetData>
    <row r="1" spans="1:24" s="66" customFormat="1" ht="30" customHeight="1" thickBot="1" x14ac:dyDescent="0.45">
      <c r="B1" s="615"/>
      <c r="C1" s="1128" t="s">
        <v>306</v>
      </c>
      <c r="D1" s="1129"/>
      <c r="E1" s="1129"/>
      <c r="F1" s="1129"/>
      <c r="G1" s="1129"/>
      <c r="H1" s="1129"/>
      <c r="I1" s="1129"/>
      <c r="J1" s="1129"/>
      <c r="K1" s="1230">
        <f>BEGINBLAD!$I$2</f>
        <v>0</v>
      </c>
      <c r="L1" s="1230"/>
      <c r="M1" s="1230"/>
      <c r="N1" s="1230"/>
      <c r="O1" s="1230"/>
      <c r="P1" s="239"/>
      <c r="X1" s="68"/>
    </row>
    <row r="2" spans="1:24" ht="24" customHeight="1" x14ac:dyDescent="0.2">
      <c r="C2" s="1130" t="str">
        <f>BEGINBLAD!$N$2</f>
        <v>nov.</v>
      </c>
      <c r="D2" s="1130"/>
      <c r="E2" s="241"/>
      <c r="F2" s="691" t="str">
        <f>BEGINBLAD!$O$2</f>
        <v>apr.</v>
      </c>
      <c r="G2" s="1131">
        <f>BEGINBLAD!$P$2</f>
        <v>2021</v>
      </c>
      <c r="H2" s="1131"/>
      <c r="I2" s="1131"/>
      <c r="M2" s="71"/>
      <c r="N2" s="72"/>
      <c r="O2" s="72"/>
    </row>
    <row r="3" spans="1:24" ht="13.5" thickBot="1" x14ac:dyDescent="0.25">
      <c r="M3" s="77"/>
      <c r="N3" s="77"/>
      <c r="O3" s="77"/>
      <c r="P3" s="77"/>
    </row>
    <row r="4" spans="1:24" ht="140.1" customHeight="1" x14ac:dyDescent="0.2">
      <c r="C4" s="78"/>
      <c r="D4" s="79"/>
      <c r="E4" s="80"/>
      <c r="F4" s="81" t="s">
        <v>44</v>
      </c>
      <c r="G4" s="82" t="s">
        <v>266</v>
      </c>
      <c r="H4" s="83" t="s">
        <v>307</v>
      </c>
      <c r="I4" s="84" t="s">
        <v>268</v>
      </c>
      <c r="J4" s="235"/>
      <c r="K4" s="82" t="s">
        <v>266</v>
      </c>
      <c r="L4" s="86" t="s">
        <v>308</v>
      </c>
      <c r="M4" s="84" t="s">
        <v>268</v>
      </c>
      <c r="N4" s="235"/>
      <c r="O4" s="88"/>
    </row>
    <row r="5" spans="1:24" ht="19.5" customHeight="1" x14ac:dyDescent="0.2">
      <c r="A5" s="89"/>
      <c r="B5" s="1132" t="s">
        <v>43</v>
      </c>
      <c r="C5" s="90" t="s">
        <v>198</v>
      </c>
      <c r="D5" s="91">
        <v>0</v>
      </c>
      <c r="E5" s="92">
        <v>1</v>
      </c>
      <c r="F5" s="165" t="str">
        <f>BEGINBLAD!C4</f>
        <v>leelring 1</v>
      </c>
      <c r="G5" s="94">
        <f>'NIVEAU WAARDE - vorig jaar'!E9</f>
        <v>2.2999999999999998</v>
      </c>
      <c r="H5" s="95">
        <f>'NIVEAU WAARDE - 1e toetsperiode'!E9</f>
        <v>2.6</v>
      </c>
      <c r="I5" s="96" t="str">
        <f>IF(H5=0,"",IF(H5&gt;4.5,"A-1+",IF(H5&gt;4,"A-1",IF(H5&gt;=4,"A-2",IF(H5&gt;3.4,"B-2",IF(H5&gt;=3,"B-3",IF(H5&gt;2.5,"C-3",IF(H5&gt;=2,"C-4",IF(H5&gt;1.6,"D-4",IF(H5&gt;=1,"D-5",IF(H5&gt;0.5,"E-5",IF(H5&gt;=0,"E-5-"))))))))))))</f>
        <v>C-3</v>
      </c>
      <c r="J5" s="236" t="str">
        <f>IF(H5=0,"",IF(G5-H5&gt;0.5,"!",IF(H5-G5&gt;0.5,"*",IF(H5-G5&lt;=0.5,""))))</f>
        <v/>
      </c>
      <c r="K5" s="435"/>
      <c r="L5" s="22">
        <v>2.5</v>
      </c>
      <c r="M5" s="96" t="str">
        <f>IF(L5=0,"",IF(L5&gt;4.5,"A-1+",IF(L5&gt;4,"A-1",IF(L5&gt;=4,"A-2",IF(L5&gt;3.4,"B-2",IF(L5&gt;=3,"B-3",IF(L5&gt;2.5,"C-3",IF(L5&gt;=2,"C-4",IF(L5&gt;1.6,"D-4",IF(L5&gt;=1,"D-5",IF(L5&gt;0.5,"E-5",IF(L5&gt;=0,"E-5-"))))))))))))</f>
        <v>C-4</v>
      </c>
      <c r="N5" s="236" t="str">
        <f>IF(L5=0,"",IF(K5-L5&gt;0.5,"!",IF(L5-K5&gt;0.5,"*",IF(L5-K5&lt;=0.5,""))))</f>
        <v>*</v>
      </c>
      <c r="O5" s="100"/>
    </row>
    <row r="6" spans="1:24" ht="19.5" customHeight="1" x14ac:dyDescent="0.2">
      <c r="A6" s="89"/>
      <c r="B6" s="1132"/>
      <c r="C6" s="101" t="s">
        <v>200</v>
      </c>
      <c r="D6" s="91">
        <v>0</v>
      </c>
      <c r="E6" s="92">
        <v>2</v>
      </c>
      <c r="F6" s="93" t="str">
        <f>BEGINBLAD!C5</f>
        <v>leerling 2</v>
      </c>
      <c r="G6" s="94">
        <f>'NIVEAU WAARDE - vorig jaar'!E10</f>
        <v>2.5</v>
      </c>
      <c r="H6" s="95">
        <f>'NIVEAU WAARDE - 1e toetsperiode'!E10</f>
        <v>1.2</v>
      </c>
      <c r="I6" s="96" t="str">
        <f t="shared" ref="I6:I40" si="0">IF(H6=0,"",IF(H6&gt;4.5,"A-1+",IF(H6&gt;4,"A-1",IF(H6&gt;=4,"A-2",IF(H6&gt;3.4,"B-2",IF(H6&gt;=3,"B-3",IF(H6&gt;2.5,"C-3",IF(H6&gt;=2,"C-4",IF(H6&gt;1.6,"D-4",IF(H6&gt;=1,"D-5",IF(H6&gt;0.5,"E-5",IF(H6&gt;=0,"E-5-"))))))))))))</f>
        <v>D-5</v>
      </c>
      <c r="J6" s="236" t="str">
        <f t="shared" ref="J6:J40" si="1">IF(H6=0,"",IF(G6-H6&gt;0.5,"!",IF(H6-G6&gt;0.5,"*",IF(H6-G6&lt;=0.5,""))))</f>
        <v>!</v>
      </c>
      <c r="K6" s="435"/>
      <c r="L6" s="22">
        <v>3.5</v>
      </c>
      <c r="M6" s="96" t="str">
        <f>IF(L6=0,"",IF(L6&gt;4.5,"A-1+",IF(L6&gt;4,"A-1",IF(L6&gt;=4,"A-2",IF(L6&gt;3.4,"B-2",IF(L6&gt;=3,"B-3",IF(L6&gt;2.5,"C-3",IF(L6&gt;=2,"C-4",IF(L6&gt;1.6,"D-4",IF(L6&gt;=1,"D-5",IF(L6&gt;0.5,"E-5",IF(L6&gt;=0,"E-5-"))))))))))))</f>
        <v>B-2</v>
      </c>
      <c r="N6" s="236" t="str">
        <f>IF(L6=0,"",IF(K6-L6&gt;0.5,"!",IF(L6-K6&gt;0.5,"*",IF(L6-K6&lt;=0.5,""))))</f>
        <v>*</v>
      </c>
      <c r="O6" s="100"/>
      <c r="R6" s="147"/>
      <c r="S6" s="147"/>
      <c r="T6" s="147"/>
      <c r="U6" s="147"/>
      <c r="V6" s="147"/>
    </row>
    <row r="7" spans="1:24" ht="19.5" customHeight="1" x14ac:dyDescent="0.2">
      <c r="A7" s="102"/>
      <c r="B7" s="326"/>
      <c r="C7" s="328"/>
      <c r="D7" s="91">
        <v>0</v>
      </c>
      <c r="E7" s="92">
        <v>3</v>
      </c>
      <c r="F7" s="93" t="str">
        <f>BEGINBLAD!C6</f>
        <v>leerling 3</v>
      </c>
      <c r="G7" s="94">
        <f>'NIVEAU WAARDE - vorig jaar'!E11</f>
        <v>3.2</v>
      </c>
      <c r="H7" s="95">
        <f>'NIVEAU WAARDE - 1e toetsperiode'!E11</f>
        <v>1.7</v>
      </c>
      <c r="I7" s="96" t="str">
        <f t="shared" si="0"/>
        <v>D-4</v>
      </c>
      <c r="J7" s="236" t="str">
        <f t="shared" si="1"/>
        <v>!</v>
      </c>
      <c r="K7" s="435"/>
      <c r="L7" s="22">
        <v>2.5</v>
      </c>
      <c r="M7" s="96" t="str">
        <f t="shared" ref="M7:M40" si="2">IF(L7=0,"",IF(L7&gt;4.5,"A-1+",IF(L7&gt;4,"A-1",IF(L7&gt;=4,"A-2",IF(L7&gt;3.4,"B-2",IF(L7&gt;=3,"B-3",IF(L7&gt;2.5,"C-3",IF(L7&gt;=2,"C-4",IF(L7&gt;1.6,"D-4",IF(L7&gt;=1,"D-5",IF(L7&gt;0.5,"E-5",IF(L7&gt;=0,"E-5-"))))))))))))</f>
        <v>C-4</v>
      </c>
      <c r="N7" s="236" t="str">
        <f t="shared" ref="N7:N40" si="3">IF(L7=0,"",IF(K7-L7&gt;0.5,"!",IF(L7-K7&gt;0.5,"*",IF(L7-K7&lt;=0.5,""))))</f>
        <v>*</v>
      </c>
      <c r="O7" s="100"/>
      <c r="R7" s="148"/>
      <c r="S7" s="148"/>
      <c r="T7" s="148"/>
      <c r="U7" s="148"/>
      <c r="V7" s="148"/>
    </row>
    <row r="8" spans="1:24" ht="19.5" customHeight="1" x14ac:dyDescent="0.2">
      <c r="A8" s="102"/>
      <c r="B8" s="326"/>
      <c r="C8" s="328"/>
      <c r="D8" s="105">
        <v>0</v>
      </c>
      <c r="E8" s="92">
        <v>4</v>
      </c>
      <c r="F8" s="93" t="str">
        <f>BEGINBLAD!C7</f>
        <v>leerling 4</v>
      </c>
      <c r="G8" s="94">
        <f>'NIVEAU WAARDE - vorig jaar'!E12</f>
        <v>3.5</v>
      </c>
      <c r="H8" s="95">
        <f>'NIVEAU WAARDE - 1e toetsperiode'!E12</f>
        <v>3.2</v>
      </c>
      <c r="I8" s="96" t="str">
        <f t="shared" si="0"/>
        <v>B-3</v>
      </c>
      <c r="J8" s="236" t="str">
        <f t="shared" si="1"/>
        <v/>
      </c>
      <c r="K8" s="435"/>
      <c r="L8" s="22"/>
      <c r="M8" s="96" t="str">
        <f t="shared" si="2"/>
        <v/>
      </c>
      <c r="N8" s="236" t="str">
        <f t="shared" si="3"/>
        <v/>
      </c>
      <c r="O8" s="107"/>
      <c r="R8" s="148"/>
      <c r="S8" s="148"/>
      <c r="T8" s="148"/>
      <c r="U8" s="148"/>
      <c r="V8" s="148"/>
    </row>
    <row r="9" spans="1:24" ht="19.5" customHeight="1" x14ac:dyDescent="0.2">
      <c r="A9" s="102"/>
      <c r="B9" s="326"/>
      <c r="C9" s="328"/>
      <c r="D9" s="108">
        <v>0</v>
      </c>
      <c r="E9" s="92">
        <v>5</v>
      </c>
      <c r="F9" s="93" t="str">
        <f>BEGINBLAD!C8</f>
        <v>leerling 5</v>
      </c>
      <c r="G9" s="94">
        <f>'NIVEAU WAARDE - vorig jaar'!E13</f>
        <v>3.9</v>
      </c>
      <c r="H9" s="95">
        <f>'NIVEAU WAARDE - 1e toetsperiode'!E13</f>
        <v>4.7</v>
      </c>
      <c r="I9" s="96" t="str">
        <f t="shared" si="0"/>
        <v>A-1+</v>
      </c>
      <c r="J9" s="236" t="str">
        <f t="shared" si="1"/>
        <v>*</v>
      </c>
      <c r="K9" s="435">
        <v>2.2000000000000002</v>
      </c>
      <c r="L9" s="22">
        <v>2.4</v>
      </c>
      <c r="M9" s="96" t="str">
        <f t="shared" si="2"/>
        <v>C-4</v>
      </c>
      <c r="N9" s="236" t="str">
        <f t="shared" si="3"/>
        <v/>
      </c>
      <c r="O9" s="110"/>
      <c r="R9" s="148"/>
      <c r="S9" s="148"/>
      <c r="T9" s="148"/>
      <c r="U9" s="148"/>
      <c r="V9" s="148"/>
    </row>
    <row r="10" spans="1:24" ht="19.5" customHeight="1" x14ac:dyDescent="0.2">
      <c r="A10" s="102"/>
      <c r="B10" s="326"/>
      <c r="C10" s="328"/>
      <c r="D10" s="111">
        <v>0</v>
      </c>
      <c r="E10" s="92">
        <v>6</v>
      </c>
      <c r="F10" s="93" t="str">
        <f>BEGINBLAD!C9</f>
        <v>leerling 6</v>
      </c>
      <c r="G10" s="94">
        <f>'NIVEAU WAARDE - vorig jaar'!E14</f>
        <v>2.9</v>
      </c>
      <c r="H10" s="95">
        <f>'NIVEAU WAARDE - 1e toetsperiode'!E14</f>
        <v>2.2000000000000002</v>
      </c>
      <c r="I10" s="96" t="str">
        <f t="shared" si="0"/>
        <v>C-4</v>
      </c>
      <c r="J10" s="236" t="str">
        <f t="shared" si="1"/>
        <v>!</v>
      </c>
      <c r="K10" s="435">
        <v>2.2000000000000002</v>
      </c>
      <c r="L10" s="22">
        <v>1.4</v>
      </c>
      <c r="M10" s="96" t="str">
        <f t="shared" si="2"/>
        <v>D-5</v>
      </c>
      <c r="N10" s="236" t="str">
        <f t="shared" si="3"/>
        <v>!</v>
      </c>
      <c r="O10" s="112"/>
      <c r="R10" s="148"/>
      <c r="S10" s="148"/>
      <c r="T10" s="148"/>
      <c r="U10" s="148"/>
      <c r="V10" s="148"/>
    </row>
    <row r="11" spans="1:24" ht="19.5" customHeight="1" x14ac:dyDescent="0.2">
      <c r="A11" s="102"/>
      <c r="B11" s="326"/>
      <c r="C11" s="328"/>
      <c r="D11" s="111">
        <v>0</v>
      </c>
      <c r="E11" s="92">
        <v>7</v>
      </c>
      <c r="F11" s="93" t="str">
        <f>BEGINBLAD!C10</f>
        <v>leerling 7</v>
      </c>
      <c r="G11" s="94">
        <f>'NIVEAU WAARDE - vorig jaar'!E15</f>
        <v>3.7</v>
      </c>
      <c r="H11" s="95">
        <f>'NIVEAU WAARDE - 1e toetsperiode'!E15</f>
        <v>3.7</v>
      </c>
      <c r="I11" s="96" t="str">
        <f t="shared" si="0"/>
        <v>B-2</v>
      </c>
      <c r="J11" s="236" t="str">
        <f t="shared" si="1"/>
        <v/>
      </c>
      <c r="K11" s="435">
        <v>2.2000000000000002</v>
      </c>
      <c r="L11" s="22">
        <v>3.8</v>
      </c>
      <c r="M11" s="96" t="str">
        <f t="shared" si="2"/>
        <v>B-2</v>
      </c>
      <c r="N11" s="236" t="str">
        <f t="shared" si="3"/>
        <v>*</v>
      </c>
      <c r="O11" s="77"/>
      <c r="R11" s="148"/>
      <c r="S11" s="148"/>
      <c r="T11" s="148"/>
      <c r="U11" s="148"/>
      <c r="V11" s="148"/>
    </row>
    <row r="12" spans="1:24" ht="19.5" customHeight="1" x14ac:dyDescent="0.2">
      <c r="A12" s="102"/>
      <c r="B12" s="326"/>
      <c r="C12" s="328"/>
      <c r="D12" s="91">
        <v>0</v>
      </c>
      <c r="E12" s="92">
        <v>8</v>
      </c>
      <c r="F12" s="93" t="str">
        <f>BEGINBLAD!C11</f>
        <v>leerling 8</v>
      </c>
      <c r="G12" s="94">
        <f>'NIVEAU WAARDE - vorig jaar'!E16</f>
        <v>4.4000000000000004</v>
      </c>
      <c r="H12" s="95">
        <f>'NIVEAU WAARDE - 1e toetsperiode'!E16</f>
        <v>4.2</v>
      </c>
      <c r="I12" s="96" t="str">
        <f t="shared" si="0"/>
        <v>A-1</v>
      </c>
      <c r="J12" s="236" t="str">
        <f t="shared" si="1"/>
        <v/>
      </c>
      <c r="K12" s="435">
        <v>2.5</v>
      </c>
      <c r="L12" s="22">
        <v>2.7</v>
      </c>
      <c r="M12" s="96" t="str">
        <f t="shared" si="2"/>
        <v>C-3</v>
      </c>
      <c r="N12" s="236" t="str">
        <f t="shared" si="3"/>
        <v/>
      </c>
      <c r="O12" s="88"/>
      <c r="R12" s="148"/>
      <c r="S12" s="148"/>
      <c r="T12" s="148"/>
      <c r="U12" s="148"/>
      <c r="V12" s="148"/>
    </row>
    <row r="13" spans="1:24" ht="19.5" customHeight="1" x14ac:dyDescent="0.2">
      <c r="A13" s="102"/>
      <c r="B13" s="103"/>
      <c r="C13" s="689"/>
      <c r="D13" s="91">
        <v>0</v>
      </c>
      <c r="E13" s="92">
        <v>9</v>
      </c>
      <c r="F13" s="93" t="str">
        <f>BEGINBLAD!C12</f>
        <v>leerling 9</v>
      </c>
      <c r="G13" s="94">
        <f>'NIVEAU WAARDE - vorig jaar'!E17</f>
        <v>1.8</v>
      </c>
      <c r="H13" s="95">
        <f>'NIVEAU WAARDE - 1e toetsperiode'!E17</f>
        <v>1.9</v>
      </c>
      <c r="I13" s="96" t="str">
        <f t="shared" si="0"/>
        <v>D-4</v>
      </c>
      <c r="J13" s="236" t="str">
        <f t="shared" si="1"/>
        <v/>
      </c>
      <c r="K13" s="435">
        <v>4.5</v>
      </c>
      <c r="L13" s="22">
        <v>2.7</v>
      </c>
      <c r="M13" s="96" t="str">
        <f t="shared" si="2"/>
        <v>C-3</v>
      </c>
      <c r="N13" s="236" t="str">
        <f t="shared" si="3"/>
        <v>!</v>
      </c>
      <c r="O13" s="100"/>
      <c r="R13" s="149"/>
      <c r="S13" s="149"/>
      <c r="T13" s="149"/>
      <c r="U13" s="149"/>
      <c r="V13" s="149"/>
    </row>
    <row r="14" spans="1:24" ht="19.5" customHeight="1" thickBot="1" x14ac:dyDescent="0.25">
      <c r="A14" s="102"/>
      <c r="B14" s="103"/>
      <c r="C14" s="689"/>
      <c r="D14" s="91">
        <v>0</v>
      </c>
      <c r="E14" s="92">
        <v>10</v>
      </c>
      <c r="F14" s="93" t="str">
        <f>BEGINBLAD!C13</f>
        <v>leerling 10</v>
      </c>
      <c r="G14" s="94">
        <f>'NIVEAU WAARDE - vorig jaar'!E18</f>
        <v>1.1000000000000001</v>
      </c>
      <c r="H14" s="95">
        <f>'NIVEAU WAARDE - 1e toetsperiode'!E18</f>
        <v>1.7</v>
      </c>
      <c r="I14" s="96" t="str">
        <f t="shared" si="0"/>
        <v>D-4</v>
      </c>
      <c r="J14" s="236" t="str">
        <f t="shared" si="1"/>
        <v>*</v>
      </c>
      <c r="K14" s="435">
        <v>4.2</v>
      </c>
      <c r="L14" s="22">
        <v>4.5</v>
      </c>
      <c r="M14" s="96" t="str">
        <f t="shared" si="2"/>
        <v>A-1</v>
      </c>
      <c r="N14" s="236" t="str">
        <f t="shared" si="3"/>
        <v/>
      </c>
      <c r="O14" s="107"/>
      <c r="P14" s="113" t="s">
        <v>109</v>
      </c>
      <c r="R14" s="149"/>
      <c r="S14" s="149"/>
      <c r="T14" s="149"/>
      <c r="U14" s="149"/>
      <c r="V14" s="149"/>
    </row>
    <row r="15" spans="1:24" ht="19.5" customHeight="1" x14ac:dyDescent="0.2">
      <c r="A15" s="102"/>
      <c r="B15" s="103"/>
      <c r="C15" s="689"/>
      <c r="D15" s="91">
        <v>0</v>
      </c>
      <c r="E15" s="92">
        <v>11</v>
      </c>
      <c r="F15" s="93" t="str">
        <f>BEGINBLAD!C14</f>
        <v>leerling 11</v>
      </c>
      <c r="G15" s="94">
        <f>'NIVEAU WAARDE - vorig jaar'!E19</f>
        <v>5</v>
      </c>
      <c r="H15" s="95">
        <f>'NIVEAU WAARDE - 1e toetsperiode'!E19</f>
        <v>4.2</v>
      </c>
      <c r="I15" s="96" t="str">
        <f t="shared" si="0"/>
        <v>A-1</v>
      </c>
      <c r="J15" s="236" t="str">
        <f t="shared" si="1"/>
        <v>!</v>
      </c>
      <c r="K15" s="435"/>
      <c r="L15" s="22"/>
      <c r="M15" s="96" t="str">
        <f t="shared" si="2"/>
        <v/>
      </c>
      <c r="N15" s="236" t="str">
        <f t="shared" si="3"/>
        <v/>
      </c>
      <c r="O15" s="1191" t="s">
        <v>135</v>
      </c>
      <c r="P15" s="1194">
        <f>'INTENSIEF - 1e periode'!C17</f>
        <v>0</v>
      </c>
      <c r="R15" s="149"/>
      <c r="S15" s="149"/>
      <c r="T15" s="149"/>
      <c r="U15" s="149"/>
      <c r="V15" s="149"/>
    </row>
    <row r="16" spans="1:24" ht="19.5" customHeight="1" x14ac:dyDescent="0.2">
      <c r="A16" s="102"/>
      <c r="B16" s="103"/>
      <c r="C16" s="689"/>
      <c r="D16" s="91">
        <v>0</v>
      </c>
      <c r="E16" s="92">
        <v>12</v>
      </c>
      <c r="F16" s="93" t="str">
        <f>BEGINBLAD!C15</f>
        <v>leerling 12</v>
      </c>
      <c r="G16" s="94">
        <f>'NIVEAU WAARDE - vorig jaar'!E20</f>
        <v>1.3</v>
      </c>
      <c r="H16" s="95">
        <f>'NIVEAU WAARDE - 1e toetsperiode'!E20</f>
        <v>2.6</v>
      </c>
      <c r="I16" s="96" t="str">
        <f t="shared" si="0"/>
        <v>C-3</v>
      </c>
      <c r="J16" s="236" t="str">
        <f t="shared" si="1"/>
        <v>*</v>
      </c>
      <c r="K16" s="435">
        <v>3</v>
      </c>
      <c r="L16" s="22">
        <v>3.2</v>
      </c>
      <c r="M16" s="96" t="str">
        <f t="shared" si="2"/>
        <v>B-3</v>
      </c>
      <c r="N16" s="236" t="str">
        <f t="shared" si="3"/>
        <v/>
      </c>
      <c r="O16" s="1192"/>
      <c r="P16" s="1195"/>
      <c r="R16" s="149"/>
      <c r="S16" s="149"/>
      <c r="T16" s="149"/>
      <c r="U16" s="149"/>
      <c r="V16" s="149"/>
    </row>
    <row r="17" spans="1:24" ht="19.5" customHeight="1" x14ac:dyDescent="0.2">
      <c r="A17" s="102"/>
      <c r="B17" s="103"/>
      <c r="C17" s="689"/>
      <c r="D17" s="105">
        <v>0</v>
      </c>
      <c r="E17" s="92">
        <v>13</v>
      </c>
      <c r="F17" s="93" t="str">
        <f>BEGINBLAD!C16</f>
        <v>leerling 13</v>
      </c>
      <c r="G17" s="94">
        <f>'NIVEAU WAARDE - vorig jaar'!E21</f>
        <v>4.8</v>
      </c>
      <c r="H17" s="95">
        <f>'NIVEAU WAARDE - 1e toetsperiode'!E21</f>
        <v>4.8</v>
      </c>
      <c r="I17" s="96" t="str">
        <f t="shared" si="0"/>
        <v>A-1+</v>
      </c>
      <c r="J17" s="236" t="str">
        <f t="shared" si="1"/>
        <v/>
      </c>
      <c r="K17" s="435">
        <v>3.7</v>
      </c>
      <c r="L17" s="22">
        <v>4.5999999999999996</v>
      </c>
      <c r="M17" s="96" t="str">
        <f t="shared" si="2"/>
        <v>A-1+</v>
      </c>
      <c r="N17" s="236" t="str">
        <f t="shared" si="3"/>
        <v>*</v>
      </c>
      <c r="O17" s="1198" t="s">
        <v>137</v>
      </c>
      <c r="P17" s="1196">
        <f>'INTENSIEF - 1e periode'!C19</f>
        <v>0</v>
      </c>
      <c r="R17" s="120"/>
      <c r="S17" s="120"/>
      <c r="T17" s="120"/>
      <c r="U17" s="120"/>
      <c r="V17" s="120"/>
    </row>
    <row r="18" spans="1:24" ht="19.5" customHeight="1" x14ac:dyDescent="0.2">
      <c r="A18" s="102"/>
      <c r="B18" s="103"/>
      <c r="C18" s="689"/>
      <c r="D18" s="111">
        <v>0</v>
      </c>
      <c r="E18" s="92">
        <v>14</v>
      </c>
      <c r="F18" s="93" t="str">
        <f>BEGINBLAD!C17</f>
        <v>leerling 14</v>
      </c>
      <c r="G18" s="94">
        <f>'NIVEAU WAARDE - vorig jaar'!E22</f>
        <v>3.7</v>
      </c>
      <c r="H18" s="95">
        <f>'NIVEAU WAARDE - 1e toetsperiode'!E22</f>
        <v>3.2</v>
      </c>
      <c r="I18" s="96" t="str">
        <f t="shared" si="0"/>
        <v>B-3</v>
      </c>
      <c r="J18" s="236" t="str">
        <f t="shared" si="1"/>
        <v/>
      </c>
      <c r="K18" s="435">
        <v>3.7</v>
      </c>
      <c r="L18" s="22">
        <v>3.5</v>
      </c>
      <c r="M18" s="96" t="str">
        <f t="shared" si="2"/>
        <v>B-2</v>
      </c>
      <c r="N18" s="236" t="str">
        <f t="shared" si="3"/>
        <v/>
      </c>
      <c r="O18" s="1198"/>
      <c r="P18" s="1196"/>
      <c r="Q18" s="89"/>
      <c r="R18" s="114"/>
      <c r="S18" s="114"/>
      <c r="T18" s="114"/>
      <c r="U18" s="114"/>
      <c r="V18" s="114"/>
      <c r="W18" s="114"/>
    </row>
    <row r="19" spans="1:24" ht="19.5" customHeight="1" x14ac:dyDescent="0.2">
      <c r="D19" s="111">
        <v>0</v>
      </c>
      <c r="E19" s="92">
        <v>15</v>
      </c>
      <c r="F19" s="93" t="str">
        <f>BEGINBLAD!C18</f>
        <v>leerling 15</v>
      </c>
      <c r="G19" s="94">
        <f>'NIVEAU WAARDE - vorig jaar'!E23</f>
        <v>2.1</v>
      </c>
      <c r="H19" s="95">
        <f>'NIVEAU WAARDE - 1e toetsperiode'!E23</f>
        <v>1.9</v>
      </c>
      <c r="I19" s="96" t="str">
        <f t="shared" si="0"/>
        <v>D-4</v>
      </c>
      <c r="J19" s="236" t="str">
        <f t="shared" si="1"/>
        <v/>
      </c>
      <c r="K19" s="435">
        <v>3.3</v>
      </c>
      <c r="L19" s="22">
        <v>3.7</v>
      </c>
      <c r="M19" s="96" t="str">
        <f t="shared" si="2"/>
        <v>B-2</v>
      </c>
      <c r="N19" s="236" t="str">
        <f t="shared" si="3"/>
        <v/>
      </c>
      <c r="O19" s="1198"/>
      <c r="P19" s="1196"/>
      <c r="Q19" s="116"/>
      <c r="R19" s="117"/>
      <c r="S19" s="117"/>
      <c r="T19" s="117"/>
      <c r="U19" s="118"/>
      <c r="V19" s="118"/>
      <c r="W19" s="118"/>
      <c r="X19" s="119"/>
    </row>
    <row r="20" spans="1:24" ht="19.5" customHeight="1" x14ac:dyDescent="0.2">
      <c r="D20" s="111">
        <v>0</v>
      </c>
      <c r="E20" s="92">
        <v>16</v>
      </c>
      <c r="F20" s="93" t="str">
        <f>BEGINBLAD!C19</f>
        <v>leerling 16</v>
      </c>
      <c r="G20" s="94">
        <f>'NIVEAU WAARDE - vorig jaar'!E24</f>
        <v>3.2</v>
      </c>
      <c r="H20" s="95">
        <f>'NIVEAU WAARDE - 1e toetsperiode'!E24</f>
        <v>3.4</v>
      </c>
      <c r="I20" s="96" t="str">
        <f t="shared" si="0"/>
        <v>B-3</v>
      </c>
      <c r="J20" s="236" t="str">
        <f t="shared" si="1"/>
        <v/>
      </c>
      <c r="K20" s="435">
        <v>4.0999999999999996</v>
      </c>
      <c r="L20" s="22">
        <v>4.3</v>
      </c>
      <c r="M20" s="96" t="str">
        <f t="shared" si="2"/>
        <v>A-1</v>
      </c>
      <c r="N20" s="236" t="str">
        <f t="shared" si="3"/>
        <v/>
      </c>
      <c r="O20" s="1198"/>
      <c r="P20" s="1196"/>
      <c r="Q20" s="116"/>
      <c r="R20" s="120"/>
      <c r="S20" s="120"/>
      <c r="T20" s="120"/>
      <c r="U20" s="120"/>
      <c r="V20" s="120"/>
      <c r="W20" s="120"/>
    </row>
    <row r="21" spans="1:24" ht="19.5" customHeight="1" x14ac:dyDescent="0.2">
      <c r="D21" s="111">
        <v>0</v>
      </c>
      <c r="E21" s="92">
        <v>17</v>
      </c>
      <c r="F21" s="93" t="str">
        <f>BEGINBLAD!C20</f>
        <v>leerling 17</v>
      </c>
      <c r="G21" s="94">
        <f>'NIVEAU WAARDE - vorig jaar'!E25</f>
        <v>4.2</v>
      </c>
      <c r="H21" s="95">
        <f>'NIVEAU WAARDE - 1e toetsperiode'!E25</f>
        <v>4</v>
      </c>
      <c r="I21" s="96" t="str">
        <f t="shared" si="0"/>
        <v>A-2</v>
      </c>
      <c r="J21" s="236" t="str">
        <f t="shared" si="1"/>
        <v/>
      </c>
      <c r="K21" s="435">
        <v>1.3</v>
      </c>
      <c r="L21" s="22">
        <v>2.6</v>
      </c>
      <c r="M21" s="96" t="str">
        <f t="shared" si="2"/>
        <v>C-3</v>
      </c>
      <c r="N21" s="236" t="str">
        <f t="shared" si="3"/>
        <v>*</v>
      </c>
      <c r="O21" s="1198"/>
      <c r="P21" s="1196"/>
      <c r="Q21" s="116"/>
      <c r="R21" s="120"/>
      <c r="S21" s="120"/>
      <c r="T21" s="120"/>
      <c r="U21" s="120"/>
      <c r="V21" s="120"/>
      <c r="W21" s="120"/>
    </row>
    <row r="22" spans="1:24" ht="19.5" customHeight="1" x14ac:dyDescent="0.2">
      <c r="D22" s="111">
        <v>0</v>
      </c>
      <c r="E22" s="92">
        <v>18</v>
      </c>
      <c r="F22" s="93" t="str">
        <f>BEGINBLAD!C21</f>
        <v>leerling 18</v>
      </c>
      <c r="G22" s="94">
        <f>'NIVEAU WAARDE - vorig jaar'!E26</f>
        <v>2.7</v>
      </c>
      <c r="H22" s="95">
        <f>'NIVEAU WAARDE - 1e toetsperiode'!E26</f>
        <v>0.6</v>
      </c>
      <c r="I22" s="96" t="str">
        <f t="shared" si="0"/>
        <v>E-5</v>
      </c>
      <c r="J22" s="236" t="str">
        <f t="shared" si="1"/>
        <v>!</v>
      </c>
      <c r="K22" s="435"/>
      <c r="L22" s="22"/>
      <c r="M22" s="96" t="str">
        <f t="shared" si="2"/>
        <v/>
      </c>
      <c r="N22" s="236" t="str">
        <f t="shared" si="3"/>
        <v/>
      </c>
      <c r="O22" s="1198"/>
      <c r="P22" s="1196"/>
      <c r="Q22" s="116"/>
      <c r="R22" s="120"/>
      <c r="S22" s="120"/>
      <c r="T22" s="120"/>
      <c r="U22" s="120"/>
      <c r="V22" s="120"/>
      <c r="W22" s="120"/>
    </row>
    <row r="23" spans="1:24" ht="19.5" customHeight="1" x14ac:dyDescent="0.2">
      <c r="B23" s="122"/>
      <c r="C23" s="122"/>
      <c r="D23" s="111">
        <v>0</v>
      </c>
      <c r="E23" s="92">
        <v>19</v>
      </c>
      <c r="F23" s="93" t="str">
        <f>BEGINBLAD!C22</f>
        <v>leerling 19</v>
      </c>
      <c r="G23" s="94">
        <f>'NIVEAU WAARDE - vorig jaar'!E27</f>
        <v>0.5</v>
      </c>
      <c r="H23" s="95">
        <f>'NIVEAU WAARDE - 1e toetsperiode'!E27</f>
        <v>0.8</v>
      </c>
      <c r="I23" s="96" t="str">
        <f t="shared" si="0"/>
        <v>E-5</v>
      </c>
      <c r="J23" s="236" t="str">
        <f t="shared" si="1"/>
        <v/>
      </c>
      <c r="K23" s="435"/>
      <c r="L23" s="22"/>
      <c r="M23" s="96" t="str">
        <f t="shared" si="2"/>
        <v/>
      </c>
      <c r="N23" s="236" t="str">
        <f t="shared" si="3"/>
        <v/>
      </c>
      <c r="O23" s="1198"/>
      <c r="P23" s="1196"/>
    </row>
    <row r="24" spans="1:24" ht="19.5" customHeight="1" thickBot="1" x14ac:dyDescent="0.25">
      <c r="B24" s="123"/>
      <c r="C24" s="122"/>
      <c r="D24" s="111">
        <v>0</v>
      </c>
      <c r="E24" s="92">
        <v>20</v>
      </c>
      <c r="F24" s="93" t="str">
        <f>BEGINBLAD!C23</f>
        <v>leerling 20</v>
      </c>
      <c r="G24" s="94">
        <f>'NIVEAU WAARDE - vorig jaar'!E28</f>
        <v>3.5</v>
      </c>
      <c r="H24" s="95">
        <f>'NIVEAU WAARDE - 1e toetsperiode'!E28</f>
        <v>3.7</v>
      </c>
      <c r="I24" s="96" t="str">
        <f t="shared" si="0"/>
        <v>B-2</v>
      </c>
      <c r="J24" s="236" t="str">
        <f t="shared" si="1"/>
        <v/>
      </c>
      <c r="K24" s="435"/>
      <c r="L24" s="22"/>
      <c r="M24" s="96" t="str">
        <f t="shared" si="2"/>
        <v/>
      </c>
      <c r="N24" s="236" t="str">
        <f t="shared" si="3"/>
        <v/>
      </c>
      <c r="O24" s="1199"/>
      <c r="P24" s="1197"/>
      <c r="Q24" s="116"/>
      <c r="R24" s="120"/>
      <c r="S24" s="120"/>
      <c r="T24" s="120"/>
      <c r="U24" s="120"/>
      <c r="V24" s="120"/>
      <c r="W24" s="120"/>
    </row>
    <row r="25" spans="1:24" ht="19.5" customHeight="1" thickBot="1" x14ac:dyDescent="0.25">
      <c r="B25" s="123"/>
      <c r="C25" s="122"/>
      <c r="D25" s="111">
        <v>0</v>
      </c>
      <c r="E25" s="92">
        <v>21</v>
      </c>
      <c r="F25" s="93" t="str">
        <f>BEGINBLAD!C24</f>
        <v>leerling 21</v>
      </c>
      <c r="G25" s="94">
        <f>'NIVEAU WAARDE - vorig jaar'!E29</f>
        <v>3.7</v>
      </c>
      <c r="H25" s="95">
        <f>'NIVEAU WAARDE - 1e toetsperiode'!E29</f>
        <v>3.4</v>
      </c>
      <c r="I25" s="96" t="str">
        <f t="shared" si="0"/>
        <v>B-3</v>
      </c>
      <c r="J25" s="236" t="str">
        <f t="shared" si="1"/>
        <v/>
      </c>
      <c r="K25" s="435"/>
      <c r="L25" s="22"/>
      <c r="M25" s="96" t="str">
        <f t="shared" si="2"/>
        <v/>
      </c>
      <c r="N25" s="236" t="str">
        <f t="shared" si="3"/>
        <v/>
      </c>
      <c r="O25" s="107"/>
      <c r="P25" s="113" t="s">
        <v>282</v>
      </c>
      <c r="Q25" s="116"/>
      <c r="R25" s="120"/>
      <c r="S25" s="120"/>
      <c r="T25" s="120"/>
      <c r="U25" s="120"/>
      <c r="V25" s="120"/>
      <c r="W25" s="120"/>
    </row>
    <row r="26" spans="1:24" ht="19.5" customHeight="1" x14ac:dyDescent="0.2">
      <c r="D26" s="111">
        <v>0</v>
      </c>
      <c r="E26" s="92">
        <v>22</v>
      </c>
      <c r="F26" s="93" t="str">
        <f>BEGINBLAD!C25</f>
        <v>leerling 22</v>
      </c>
      <c r="G26" s="94">
        <f>'NIVEAU WAARDE - vorig jaar'!E30</f>
        <v>0.7</v>
      </c>
      <c r="H26" s="95">
        <f>'NIVEAU WAARDE - 1e toetsperiode'!E30</f>
        <v>1.7</v>
      </c>
      <c r="I26" s="96" t="str">
        <f t="shared" si="0"/>
        <v>D-4</v>
      </c>
      <c r="J26" s="236" t="str">
        <f t="shared" si="1"/>
        <v>*</v>
      </c>
      <c r="K26" s="435"/>
      <c r="L26" s="22"/>
      <c r="M26" s="96" t="str">
        <f t="shared" si="2"/>
        <v/>
      </c>
      <c r="N26" s="236" t="str">
        <f t="shared" si="3"/>
        <v/>
      </c>
      <c r="O26" s="1191" t="s">
        <v>135</v>
      </c>
      <c r="P26" s="1194" t="str">
        <f>'BASISAANPAK - 1e periode'!C17</f>
        <v>Niet methodetoetsen minimaal B niveau
WRTS foutloos typen
Methodetoetsen voldoende scoren</v>
      </c>
      <c r="Q26" s="89"/>
      <c r="R26" s="114"/>
      <c r="S26" s="114"/>
      <c r="T26" s="114"/>
      <c r="U26" s="114"/>
      <c r="V26" s="114"/>
      <c r="W26" s="114"/>
    </row>
    <row r="27" spans="1:24" s="126" customFormat="1" ht="19.5" customHeight="1" x14ac:dyDescent="0.4">
      <c r="A27" s="89"/>
      <c r="B27" s="1132" t="s">
        <v>43</v>
      </c>
      <c r="C27" s="90" t="s">
        <v>210</v>
      </c>
      <c r="D27" s="105">
        <v>0</v>
      </c>
      <c r="E27" s="92">
        <v>23</v>
      </c>
      <c r="F27" s="93" t="str">
        <f>BEGINBLAD!C26</f>
        <v>leerling 23</v>
      </c>
      <c r="G27" s="94">
        <f>'NIVEAU WAARDE - vorig jaar'!E31</f>
        <v>4.5999999999999996</v>
      </c>
      <c r="H27" s="95">
        <f>'NIVEAU WAARDE - 1e toetsperiode'!E31</f>
        <v>4.9000000000000004</v>
      </c>
      <c r="I27" s="96" t="str">
        <f t="shared" si="0"/>
        <v>A-1+</v>
      </c>
      <c r="J27" s="236" t="str">
        <f t="shared" si="1"/>
        <v/>
      </c>
      <c r="K27" s="435"/>
      <c r="L27" s="22"/>
      <c r="M27" s="96" t="str">
        <f t="shared" si="2"/>
        <v/>
      </c>
      <c r="N27" s="236" t="str">
        <f t="shared" si="3"/>
        <v/>
      </c>
      <c r="O27" s="1192"/>
      <c r="P27" s="1195"/>
      <c r="Q27" s="125"/>
      <c r="R27" s="125"/>
      <c r="S27" s="125"/>
      <c r="T27" s="125"/>
      <c r="U27" s="125"/>
      <c r="V27" s="125"/>
      <c r="W27" s="125"/>
    </row>
    <row r="28" spans="1:24" ht="19.5" customHeight="1" x14ac:dyDescent="0.4">
      <c r="A28" s="89"/>
      <c r="B28" s="1132"/>
      <c r="C28" s="101" t="s">
        <v>200</v>
      </c>
      <c r="D28" s="105">
        <v>0</v>
      </c>
      <c r="E28" s="92">
        <v>24</v>
      </c>
      <c r="F28" s="93" t="str">
        <f>BEGINBLAD!C27</f>
        <v>leerling 24</v>
      </c>
      <c r="G28" s="94">
        <f>'NIVEAU WAARDE - vorig jaar'!E32</f>
        <v>4.5999999999999996</v>
      </c>
      <c r="H28" s="95">
        <f>'NIVEAU WAARDE - 1e toetsperiode'!E32</f>
        <v>4.5</v>
      </c>
      <c r="I28" s="96" t="str">
        <f t="shared" si="0"/>
        <v>A-1</v>
      </c>
      <c r="J28" s="236" t="str">
        <f t="shared" si="1"/>
        <v/>
      </c>
      <c r="K28" s="435"/>
      <c r="L28" s="22"/>
      <c r="M28" s="96" t="str">
        <f t="shared" si="2"/>
        <v/>
      </c>
      <c r="N28" s="236" t="str">
        <f t="shared" si="3"/>
        <v/>
      </c>
      <c r="O28" s="1192" t="s">
        <v>137</v>
      </c>
      <c r="P28" s="1200" t="str">
        <f>'BASISAANPAK - 1e periode'!C19</f>
        <v xml:space="preserve">Les 1 en 3 van de methode  = klein dictee (8 woorden) - de woorden worden ook besproken (ma + di) + les uit het boek / werkboek
Op wo-do klein dictee José Schraven - in gr. 6-7-8 hetzelfde dictee (uit de map van gr. 7-8) Daarnaast elke dag WRTS
Op do + vr: kopieerblad uit de methode
gr. 7+8: op di: werkwoordbespreking n.a.v. dictee les 3, 5, 7 en les 11
</v>
      </c>
      <c r="Q28" s="77"/>
      <c r="R28" s="127"/>
      <c r="S28" s="88"/>
      <c r="T28" s="88"/>
      <c r="U28" s="88"/>
      <c r="V28" s="88"/>
      <c r="W28" s="88"/>
    </row>
    <row r="29" spans="1:24" ht="19.5" customHeight="1" x14ac:dyDescent="0.2">
      <c r="A29" s="102"/>
      <c r="B29" s="326"/>
      <c r="C29" s="328"/>
      <c r="D29" s="91">
        <v>0</v>
      </c>
      <c r="E29" s="92">
        <v>25</v>
      </c>
      <c r="F29" s="93" t="str">
        <f>BEGINBLAD!C28</f>
        <v>leerling 25</v>
      </c>
      <c r="G29" s="94">
        <f>'NIVEAU WAARDE - vorig jaar'!E33</f>
        <v>2.7</v>
      </c>
      <c r="H29" s="95">
        <f>'NIVEAU WAARDE - 1e toetsperiode'!E33</f>
        <v>3.2</v>
      </c>
      <c r="I29" s="96" t="str">
        <f t="shared" si="0"/>
        <v>B-3</v>
      </c>
      <c r="J29" s="236" t="str">
        <f t="shared" si="1"/>
        <v/>
      </c>
      <c r="K29" s="435"/>
      <c r="L29" s="22"/>
      <c r="M29" s="96" t="str">
        <f t="shared" si="2"/>
        <v/>
      </c>
      <c r="N29" s="236" t="str">
        <f t="shared" si="3"/>
        <v/>
      </c>
      <c r="O29" s="1192"/>
      <c r="P29" s="1200"/>
      <c r="Q29" s="128"/>
      <c r="R29" s="117"/>
      <c r="S29" s="117"/>
      <c r="T29" s="117"/>
      <c r="U29" s="117"/>
      <c r="V29" s="117"/>
      <c r="W29" s="117"/>
    </row>
    <row r="30" spans="1:24" ht="19.5" customHeight="1" x14ac:dyDescent="0.2">
      <c r="A30" s="102"/>
      <c r="B30" s="326"/>
      <c r="C30" s="328"/>
      <c r="D30" s="91">
        <v>0</v>
      </c>
      <c r="E30" s="92">
        <v>26</v>
      </c>
      <c r="F30" s="93" t="str">
        <f>BEGINBLAD!C29</f>
        <v>leerling 26</v>
      </c>
      <c r="G30" s="94">
        <f>'NIVEAU WAARDE - vorig jaar'!E34</f>
        <v>3.7</v>
      </c>
      <c r="H30" s="95">
        <f>'NIVEAU WAARDE - 1e toetsperiode'!E34</f>
        <v>3.7</v>
      </c>
      <c r="I30" s="96" t="str">
        <f t="shared" si="0"/>
        <v>B-2</v>
      </c>
      <c r="J30" s="236" t="str">
        <f t="shared" si="1"/>
        <v/>
      </c>
      <c r="K30" s="612"/>
      <c r="L30" s="22"/>
      <c r="M30" s="96" t="str">
        <f t="shared" si="2"/>
        <v/>
      </c>
      <c r="N30" s="236" t="str">
        <f t="shared" si="3"/>
        <v/>
      </c>
      <c r="O30" s="1192"/>
      <c r="P30" s="1200"/>
      <c r="Q30" s="116"/>
      <c r="R30" s="120"/>
      <c r="S30" s="120"/>
      <c r="T30" s="120"/>
      <c r="U30" s="120"/>
      <c r="V30" s="120"/>
      <c r="W30" s="120"/>
    </row>
    <row r="31" spans="1:24" ht="19.5" customHeight="1" x14ac:dyDescent="0.2">
      <c r="A31" s="102"/>
      <c r="B31" s="326"/>
      <c r="C31" s="328"/>
      <c r="D31" s="91">
        <v>0</v>
      </c>
      <c r="E31" s="92">
        <v>27</v>
      </c>
      <c r="F31" s="93">
        <f>BEGINBLAD!C30</f>
        <v>0</v>
      </c>
      <c r="G31" s="94">
        <f>'NIVEAU WAARDE - vorig jaar'!E35</f>
        <v>0</v>
      </c>
      <c r="H31" s="95">
        <f>'NIVEAU WAARDE - 1e toetsperiode'!E35</f>
        <v>0</v>
      </c>
      <c r="I31" s="96" t="str">
        <f t="shared" si="0"/>
        <v/>
      </c>
      <c r="J31" s="236" t="str">
        <f t="shared" si="1"/>
        <v/>
      </c>
      <c r="K31" s="602"/>
      <c r="L31" s="22"/>
      <c r="M31" s="96" t="str">
        <f t="shared" si="2"/>
        <v/>
      </c>
      <c r="N31" s="236" t="str">
        <f t="shared" si="3"/>
        <v/>
      </c>
      <c r="O31" s="1192"/>
      <c r="P31" s="1200"/>
      <c r="Q31" s="116"/>
      <c r="R31" s="120"/>
      <c r="S31" s="120"/>
      <c r="T31" s="120"/>
      <c r="U31" s="120"/>
      <c r="V31" s="120"/>
      <c r="W31" s="120"/>
    </row>
    <row r="32" spans="1:24" ht="19.5" customHeight="1" x14ac:dyDescent="0.2">
      <c r="A32" s="102"/>
      <c r="B32" s="326"/>
      <c r="C32" s="328"/>
      <c r="D32" s="91">
        <v>0</v>
      </c>
      <c r="E32" s="92">
        <v>28</v>
      </c>
      <c r="F32" s="93">
        <f>BEGINBLAD!C31</f>
        <v>0</v>
      </c>
      <c r="G32" s="94">
        <f>'NIVEAU WAARDE - vorig jaar'!E36</f>
        <v>0</v>
      </c>
      <c r="H32" s="95">
        <f>'NIVEAU WAARDE - 1e toetsperiode'!E36</f>
        <v>0</v>
      </c>
      <c r="I32" s="96" t="str">
        <f t="shared" si="0"/>
        <v/>
      </c>
      <c r="J32" s="236" t="str">
        <f t="shared" si="1"/>
        <v/>
      </c>
      <c r="K32" s="602"/>
      <c r="L32" s="20"/>
      <c r="M32" s="96" t="str">
        <f t="shared" si="2"/>
        <v/>
      </c>
      <c r="N32" s="236" t="str">
        <f t="shared" si="3"/>
        <v/>
      </c>
      <c r="O32" s="1192"/>
      <c r="P32" s="1200"/>
      <c r="Q32" s="116"/>
      <c r="R32" s="120"/>
      <c r="S32" s="120"/>
      <c r="T32" s="120"/>
      <c r="U32" s="120"/>
      <c r="V32" s="120"/>
      <c r="W32" s="120"/>
    </row>
    <row r="33" spans="1:27" ht="19.5" customHeight="1" x14ac:dyDescent="0.2">
      <c r="A33" s="102"/>
      <c r="B33" s="326"/>
      <c r="C33" s="328"/>
      <c r="D33" s="91">
        <v>0</v>
      </c>
      <c r="E33" s="92">
        <v>29</v>
      </c>
      <c r="F33" s="93">
        <f>BEGINBLAD!C32</f>
        <v>0</v>
      </c>
      <c r="G33" s="94">
        <f>'NIVEAU WAARDE - vorig jaar'!E37</f>
        <v>0</v>
      </c>
      <c r="H33" s="95">
        <f>'NIVEAU WAARDE - 1e toetsperiode'!E37</f>
        <v>0</v>
      </c>
      <c r="I33" s="96" t="str">
        <f t="shared" si="0"/>
        <v/>
      </c>
      <c r="J33" s="236" t="str">
        <f t="shared" si="1"/>
        <v/>
      </c>
      <c r="K33" s="124"/>
      <c r="L33" s="121"/>
      <c r="M33" s="96" t="str">
        <f t="shared" si="2"/>
        <v/>
      </c>
      <c r="N33" s="236" t="str">
        <f t="shared" si="3"/>
        <v/>
      </c>
      <c r="O33" s="1192"/>
      <c r="P33" s="1200"/>
      <c r="Q33" s="116"/>
      <c r="R33" s="120"/>
      <c r="S33" s="120"/>
      <c r="T33" s="120"/>
      <c r="U33" s="120"/>
      <c r="V33" s="120"/>
      <c r="W33" s="120"/>
    </row>
    <row r="34" spans="1:27" ht="19.5" customHeight="1" x14ac:dyDescent="0.2">
      <c r="A34" s="102"/>
      <c r="B34" s="326"/>
      <c r="C34" s="328"/>
      <c r="D34" s="91">
        <v>0</v>
      </c>
      <c r="E34" s="92">
        <v>30</v>
      </c>
      <c r="F34" s="93">
        <f>BEGINBLAD!C33</f>
        <v>0</v>
      </c>
      <c r="G34" s="94">
        <f>'NIVEAU WAARDE - vorig jaar'!E38</f>
        <v>0</v>
      </c>
      <c r="H34" s="95">
        <f>'NIVEAU WAARDE - 1e toetsperiode'!E38</f>
        <v>0</v>
      </c>
      <c r="I34" s="96" t="str">
        <f t="shared" si="0"/>
        <v/>
      </c>
      <c r="J34" s="236" t="str">
        <f t="shared" si="1"/>
        <v/>
      </c>
      <c r="K34" s="124"/>
      <c r="L34" s="121"/>
      <c r="M34" s="96" t="str">
        <f t="shared" si="2"/>
        <v/>
      </c>
      <c r="N34" s="236" t="str">
        <f t="shared" si="3"/>
        <v/>
      </c>
      <c r="O34" s="1192"/>
      <c r="P34" s="1200"/>
      <c r="Q34" s="116"/>
      <c r="R34" s="120"/>
      <c r="S34" s="120"/>
      <c r="T34" s="120"/>
      <c r="U34" s="120"/>
      <c r="V34" s="120"/>
      <c r="W34" s="120"/>
    </row>
    <row r="35" spans="1:27" ht="19.5" customHeight="1" thickBot="1" x14ac:dyDescent="0.25">
      <c r="A35" s="102"/>
      <c r="B35" s="103"/>
      <c r="C35" s="689"/>
      <c r="D35" s="91">
        <v>0</v>
      </c>
      <c r="E35" s="92">
        <v>31</v>
      </c>
      <c r="F35" s="93">
        <f>BEGINBLAD!C34</f>
        <v>0</v>
      </c>
      <c r="G35" s="94">
        <f>'NIVEAU WAARDE - vorig jaar'!E39</f>
        <v>0</v>
      </c>
      <c r="H35" s="95">
        <f>'NIVEAU WAARDE - 1e toetsperiode'!E39</f>
        <v>0</v>
      </c>
      <c r="I35" s="96" t="str">
        <f t="shared" si="0"/>
        <v/>
      </c>
      <c r="J35" s="236" t="str">
        <f t="shared" si="1"/>
        <v/>
      </c>
      <c r="K35" s="124"/>
      <c r="L35" s="121"/>
      <c r="M35" s="96" t="str">
        <f t="shared" si="2"/>
        <v/>
      </c>
      <c r="N35" s="236" t="str">
        <f t="shared" si="3"/>
        <v/>
      </c>
      <c r="O35" s="1193"/>
      <c r="P35" s="1201"/>
      <c r="Q35" s="116"/>
      <c r="R35" s="120"/>
      <c r="S35" s="120"/>
      <c r="T35" s="120"/>
      <c r="U35" s="120"/>
      <c r="V35" s="120"/>
      <c r="W35" s="120"/>
    </row>
    <row r="36" spans="1:27" ht="19.5" customHeight="1" thickBot="1" x14ac:dyDescent="0.25">
      <c r="A36" s="102"/>
      <c r="B36" s="103"/>
      <c r="C36" s="689"/>
      <c r="D36" s="91">
        <v>0</v>
      </c>
      <c r="E36" s="92">
        <v>32</v>
      </c>
      <c r="F36" s="93">
        <f>BEGINBLAD!C35</f>
        <v>0</v>
      </c>
      <c r="G36" s="94">
        <f>'NIVEAU WAARDE - vorig jaar'!E40</f>
        <v>0</v>
      </c>
      <c r="H36" s="95">
        <f>'NIVEAU WAARDE - 1e toetsperiode'!E40</f>
        <v>0</v>
      </c>
      <c r="I36" s="96" t="str">
        <f t="shared" si="0"/>
        <v/>
      </c>
      <c r="J36" s="236" t="str">
        <f t="shared" si="1"/>
        <v/>
      </c>
      <c r="K36" s="124"/>
      <c r="L36" s="121"/>
      <c r="M36" s="96" t="str">
        <f t="shared" si="2"/>
        <v/>
      </c>
      <c r="N36" s="236" t="str">
        <f t="shared" si="3"/>
        <v/>
      </c>
      <c r="O36" s="107"/>
      <c r="P36" s="113" t="s">
        <v>108</v>
      </c>
      <c r="Q36" s="116"/>
      <c r="R36" s="120"/>
      <c r="S36" s="120"/>
      <c r="T36" s="120"/>
      <c r="U36" s="120"/>
      <c r="V36" s="120"/>
      <c r="W36" s="120"/>
    </row>
    <row r="37" spans="1:27" ht="19.5" customHeight="1" x14ac:dyDescent="0.2">
      <c r="A37" s="102"/>
      <c r="B37" s="103"/>
      <c r="C37" s="689"/>
      <c r="D37" s="91">
        <v>0</v>
      </c>
      <c r="E37" s="92">
        <v>33</v>
      </c>
      <c r="F37" s="93">
        <f>BEGINBLAD!C36</f>
        <v>0</v>
      </c>
      <c r="G37" s="94">
        <f>'NIVEAU WAARDE - vorig jaar'!E41</f>
        <v>0</v>
      </c>
      <c r="H37" s="95">
        <f>'NIVEAU WAARDE - 1e toetsperiode'!E41</f>
        <v>0</v>
      </c>
      <c r="I37" s="96" t="str">
        <f t="shared" si="0"/>
        <v/>
      </c>
      <c r="J37" s="236" t="str">
        <f t="shared" si="1"/>
        <v/>
      </c>
      <c r="K37" s="124"/>
      <c r="L37" s="121"/>
      <c r="M37" s="96" t="str">
        <f t="shared" si="2"/>
        <v/>
      </c>
      <c r="N37" s="236" t="str">
        <f t="shared" si="3"/>
        <v/>
      </c>
      <c r="O37" s="1191" t="s">
        <v>135</v>
      </c>
      <c r="P37" s="1194" t="str">
        <f>'VERRIJKT - 1e periode'!C17</f>
        <v xml:space="preserve"> - gemotiveerd blijven
 - eigen initiatief ontwikkelen = zelf verantwoordelijk zijn
 - leren plannen</v>
      </c>
      <c r="Q37" s="116"/>
      <c r="R37" s="120"/>
      <c r="S37" s="120"/>
      <c r="T37" s="120"/>
      <c r="U37" s="120"/>
      <c r="V37" s="120"/>
      <c r="W37" s="120"/>
    </row>
    <row r="38" spans="1:27" ht="19.5" customHeight="1" x14ac:dyDescent="0.2">
      <c r="A38" s="102"/>
      <c r="B38" s="103"/>
      <c r="C38" s="689"/>
      <c r="D38" s="91">
        <v>0</v>
      </c>
      <c r="E38" s="92">
        <v>34</v>
      </c>
      <c r="F38" s="93">
        <f>BEGINBLAD!C37</f>
        <v>0</v>
      </c>
      <c r="G38" s="94">
        <f>'NIVEAU WAARDE - vorig jaar'!E42</f>
        <v>0</v>
      </c>
      <c r="H38" s="95">
        <f>'NIVEAU WAARDE - 1e toetsperiode'!E42</f>
        <v>0</v>
      </c>
      <c r="I38" s="96" t="str">
        <f t="shared" si="0"/>
        <v/>
      </c>
      <c r="J38" s="236" t="str">
        <f t="shared" si="1"/>
        <v/>
      </c>
      <c r="K38" s="124"/>
      <c r="L38" s="121"/>
      <c r="M38" s="96" t="str">
        <f t="shared" si="2"/>
        <v/>
      </c>
      <c r="N38" s="236" t="str">
        <f t="shared" si="3"/>
        <v/>
      </c>
      <c r="O38" s="1192"/>
      <c r="P38" s="1195"/>
      <c r="Q38" s="116"/>
      <c r="R38" s="120"/>
      <c r="S38" s="120"/>
      <c r="T38" s="120"/>
      <c r="U38" s="120"/>
      <c r="V38" s="120"/>
      <c r="W38" s="120"/>
    </row>
    <row r="39" spans="1:27" ht="19.5" customHeight="1" x14ac:dyDescent="0.2">
      <c r="A39" s="102"/>
      <c r="B39" s="103"/>
      <c r="C39" s="689"/>
      <c r="D39" s="91">
        <v>0</v>
      </c>
      <c r="E39" s="92">
        <v>35</v>
      </c>
      <c r="F39" s="93">
        <f>BEGINBLAD!C38</f>
        <v>0</v>
      </c>
      <c r="G39" s="94">
        <f>'NIVEAU WAARDE - vorig jaar'!E43</f>
        <v>0</v>
      </c>
      <c r="H39" s="95">
        <f>'NIVEAU WAARDE - 1e toetsperiode'!E43</f>
        <v>0</v>
      </c>
      <c r="I39" s="96" t="str">
        <f t="shared" si="0"/>
        <v/>
      </c>
      <c r="J39" s="236" t="str">
        <f t="shared" si="1"/>
        <v/>
      </c>
      <c r="K39" s="124"/>
      <c r="L39" s="121"/>
      <c r="M39" s="96" t="str">
        <f t="shared" si="2"/>
        <v/>
      </c>
      <c r="N39" s="236" t="str">
        <f t="shared" si="3"/>
        <v/>
      </c>
      <c r="O39" s="1192" t="s">
        <v>137</v>
      </c>
      <c r="P39" s="1189" t="str">
        <f>'VERRIJKT - 1e periode'!C19</f>
        <v xml:space="preserve"> - --- (gr.7), --- (gr.8) werken  met Levelwerk
 - ze krijgen instructie door de IB-er op maandag of woensdag.</v>
      </c>
      <c r="Q39" s="116"/>
      <c r="R39" s="120"/>
      <c r="S39" s="120"/>
      <c r="T39" s="120"/>
      <c r="U39" s="120"/>
      <c r="V39" s="120"/>
      <c r="W39" s="120"/>
    </row>
    <row r="40" spans="1:27" s="89" customFormat="1" ht="19.5" customHeight="1" thickBot="1" x14ac:dyDescent="0.25">
      <c r="A40" s="102"/>
      <c r="B40" s="103"/>
      <c r="C40" s="689"/>
      <c r="D40" s="91">
        <v>0</v>
      </c>
      <c r="E40" s="130">
        <v>36</v>
      </c>
      <c r="F40" s="131">
        <f>BEGINBLAD!C39</f>
        <v>0</v>
      </c>
      <c r="G40" s="132">
        <f>'NIVEAU WAARDE - vorig jaar'!E44</f>
        <v>0</v>
      </c>
      <c r="H40" s="133">
        <f>'NIVEAU WAARDE - 1e toetsperiode'!E44</f>
        <v>0</v>
      </c>
      <c r="I40" s="134" t="str">
        <f t="shared" si="0"/>
        <v/>
      </c>
      <c r="J40" s="236" t="str">
        <f t="shared" si="1"/>
        <v/>
      </c>
      <c r="K40" s="244"/>
      <c r="L40" s="135"/>
      <c r="M40" s="134" t="str">
        <f t="shared" si="2"/>
        <v/>
      </c>
      <c r="N40" s="236" t="str">
        <f t="shared" si="3"/>
        <v/>
      </c>
      <c r="O40" s="1192"/>
      <c r="P40" s="1189"/>
      <c r="Q40" s="116"/>
      <c r="R40" s="120"/>
      <c r="S40" s="120"/>
      <c r="T40" s="120"/>
      <c r="U40" s="120"/>
      <c r="V40" s="120"/>
      <c r="W40" s="120"/>
      <c r="X40" s="114"/>
      <c r="Y40" s="114"/>
      <c r="Z40" s="114"/>
      <c r="AA40" s="114"/>
    </row>
    <row r="41" spans="1:27" ht="19.5" customHeight="1" thickBot="1" x14ac:dyDescent="0.25">
      <c r="A41" s="137"/>
      <c r="B41" s="138"/>
      <c r="C41" s="1202" t="s">
        <v>109</v>
      </c>
      <c r="D41" s="1202"/>
      <c r="E41" s="1202"/>
      <c r="F41" s="1202"/>
      <c r="G41" s="1203" t="s">
        <v>108</v>
      </c>
      <c r="H41" s="1203"/>
      <c r="I41" s="1203"/>
      <c r="J41" s="1203"/>
      <c r="K41" s="1203"/>
      <c r="L41" s="1203"/>
      <c r="M41" s="1203"/>
      <c r="O41" s="1192"/>
      <c r="P41" s="1189"/>
      <c r="Q41" s="116"/>
      <c r="R41" s="139"/>
      <c r="S41" s="139"/>
      <c r="T41" s="139"/>
      <c r="U41" s="139"/>
      <c r="V41" s="139"/>
      <c r="W41" s="139"/>
    </row>
    <row r="42" spans="1:27" ht="19.5" customHeight="1" x14ac:dyDescent="0.2">
      <c r="A42" s="116"/>
      <c r="B42" s="159"/>
      <c r="C42" s="166" t="s">
        <v>214</v>
      </c>
      <c r="D42" s="1204"/>
      <c r="E42" s="1205"/>
      <c r="F42" s="1240"/>
      <c r="G42" s="1207" t="s">
        <v>214</v>
      </c>
      <c r="H42" s="1208"/>
      <c r="I42" s="1241"/>
      <c r="J42" s="1242"/>
      <c r="K42" s="1242"/>
      <c r="L42" s="1242"/>
      <c r="M42" s="1243"/>
      <c r="O42" s="1192"/>
      <c r="P42" s="1189"/>
      <c r="Q42" s="116"/>
      <c r="R42" s="139"/>
      <c r="S42" s="139"/>
      <c r="T42" s="139"/>
      <c r="U42" s="139"/>
      <c r="V42" s="139"/>
      <c r="W42" s="139"/>
    </row>
    <row r="43" spans="1:27" ht="19.5" customHeight="1" x14ac:dyDescent="0.2">
      <c r="A43" s="116"/>
      <c r="B43" s="160"/>
      <c r="C43" s="167" t="s">
        <v>215</v>
      </c>
      <c r="D43" s="1210"/>
      <c r="E43" s="1211"/>
      <c r="F43" s="1245"/>
      <c r="G43" s="1213" t="s">
        <v>215</v>
      </c>
      <c r="H43" s="1214"/>
      <c r="I43" s="1246"/>
      <c r="J43" s="1247"/>
      <c r="K43" s="1247"/>
      <c r="L43" s="1247"/>
      <c r="M43" s="1248"/>
      <c r="O43" s="1192"/>
      <c r="P43" s="1189"/>
      <c r="Q43" s="116"/>
      <c r="R43" s="139"/>
      <c r="S43" s="139"/>
      <c r="T43" s="139"/>
      <c r="U43" s="139"/>
      <c r="V43" s="139"/>
      <c r="W43" s="139"/>
    </row>
    <row r="44" spans="1:27" ht="19.5" customHeight="1" x14ac:dyDescent="0.2">
      <c r="A44" s="116"/>
      <c r="B44" s="160"/>
      <c r="C44" s="167" t="s">
        <v>216</v>
      </c>
      <c r="D44" s="1210"/>
      <c r="E44" s="1211"/>
      <c r="F44" s="1245"/>
      <c r="G44" s="1213" t="s">
        <v>216</v>
      </c>
      <c r="H44" s="1214"/>
      <c r="I44" s="1246"/>
      <c r="J44" s="1247"/>
      <c r="K44" s="1247"/>
      <c r="L44" s="1247"/>
      <c r="M44" s="1248"/>
      <c r="O44" s="1192"/>
      <c r="P44" s="1189"/>
      <c r="Q44" s="116"/>
      <c r="R44" s="139"/>
      <c r="S44" s="139"/>
      <c r="T44" s="139"/>
      <c r="U44" s="139"/>
      <c r="V44" s="139"/>
      <c r="W44" s="139"/>
    </row>
    <row r="45" spans="1:27" ht="19.5" customHeight="1" x14ac:dyDescent="0.2">
      <c r="A45" s="116"/>
      <c r="B45" s="160"/>
      <c r="C45" s="167" t="s">
        <v>217</v>
      </c>
      <c r="D45" s="1210"/>
      <c r="E45" s="1211"/>
      <c r="F45" s="1245"/>
      <c r="G45" s="1213" t="s">
        <v>217</v>
      </c>
      <c r="H45" s="1214"/>
      <c r="I45" s="1246"/>
      <c r="J45" s="1247"/>
      <c r="K45" s="1247"/>
      <c r="L45" s="1247"/>
      <c r="M45" s="1248"/>
      <c r="O45" s="1192"/>
      <c r="P45" s="1189"/>
      <c r="Q45" s="116"/>
      <c r="R45" s="139"/>
      <c r="S45" s="139"/>
      <c r="T45" s="139"/>
      <c r="U45" s="139"/>
      <c r="V45" s="139"/>
      <c r="W45" s="139"/>
    </row>
    <row r="46" spans="1:27" ht="19.5" customHeight="1" thickBot="1" x14ac:dyDescent="0.25">
      <c r="A46" s="116"/>
      <c r="B46" s="160"/>
      <c r="C46" s="168" t="s">
        <v>218</v>
      </c>
      <c r="D46" s="1222"/>
      <c r="E46" s="1223"/>
      <c r="F46" s="1249"/>
      <c r="G46" s="1225" t="s">
        <v>218</v>
      </c>
      <c r="H46" s="1226"/>
      <c r="I46" s="1250"/>
      <c r="J46" s="1251"/>
      <c r="K46" s="1251"/>
      <c r="L46" s="1251"/>
      <c r="M46" s="1252"/>
      <c r="O46" s="1193"/>
      <c r="P46" s="1190"/>
      <c r="Q46" s="116"/>
      <c r="R46" s="120"/>
      <c r="S46" s="120"/>
      <c r="T46" s="120"/>
      <c r="U46" s="120"/>
      <c r="V46" s="120"/>
      <c r="W46" s="120"/>
    </row>
    <row r="47" spans="1:27" x14ac:dyDescent="0.2">
      <c r="B47" s="140"/>
      <c r="C47" s="145"/>
      <c r="D47" s="499"/>
      <c r="E47" s="500"/>
      <c r="F47" s="500"/>
      <c r="G47" s="500"/>
      <c r="H47" s="197"/>
      <c r="I47" s="142"/>
      <c r="J47" s="142"/>
      <c r="K47" s="1235" t="s">
        <v>213</v>
      </c>
      <c r="L47" s="1235"/>
      <c r="M47" s="1235"/>
      <c r="N47" s="141"/>
      <c r="O47" s="151"/>
      <c r="P47" s="151"/>
      <c r="Q47" s="116"/>
      <c r="R47" s="120"/>
      <c r="S47" s="120"/>
      <c r="T47" s="120"/>
      <c r="U47" s="120"/>
      <c r="V47" s="120"/>
      <c r="W47" s="120"/>
    </row>
    <row r="48" spans="1:27" x14ac:dyDescent="0.2">
      <c r="B48" s="161"/>
      <c r="C48" s="154"/>
      <c r="D48" s="208">
        <f>BEGINBLAD!$D$40</f>
        <v>26</v>
      </c>
      <c r="E48" s="199"/>
      <c r="F48" s="200" t="s">
        <v>288</v>
      </c>
      <c r="G48" s="207">
        <f>H48/$D$49</f>
        <v>0.11538461538461539</v>
      </c>
      <c r="H48" s="111">
        <f>COUNTIF($I$5:$I$40,"A-1+")</f>
        <v>3</v>
      </c>
      <c r="I48" s="111"/>
      <c r="J48" s="198" t="s">
        <v>289</v>
      </c>
      <c r="K48" s="198"/>
      <c r="L48" s="198"/>
      <c r="M48" s="222">
        <f>G48+G49+G50+G51+G52</f>
        <v>0.65384615384615397</v>
      </c>
      <c r="N48" s="222">
        <v>1</v>
      </c>
      <c r="O48" s="223"/>
      <c r="P48" s="141"/>
      <c r="Q48" s="116"/>
      <c r="R48" s="120"/>
      <c r="S48" s="120"/>
      <c r="T48" s="120"/>
      <c r="U48" s="120"/>
      <c r="V48" s="120"/>
      <c r="W48" s="120"/>
    </row>
    <row r="49" spans="2:23" x14ac:dyDescent="0.2">
      <c r="B49" s="161"/>
      <c r="C49" s="154"/>
      <c r="D49" s="205">
        <f>COUNTIF(H5:H40,"&gt;0")</f>
        <v>26</v>
      </c>
      <c r="E49" s="199"/>
      <c r="F49" s="200" t="s">
        <v>290</v>
      </c>
      <c r="G49" s="207">
        <f>H49/$D$49</f>
        <v>0.11538461538461539</v>
      </c>
      <c r="H49" s="111">
        <f>COUNTIF($I$5:$I$40,"A-1")</f>
        <v>3</v>
      </c>
      <c r="I49" s="111"/>
      <c r="J49" s="198"/>
      <c r="K49" s="198"/>
      <c r="L49" s="198"/>
      <c r="M49" s="222"/>
      <c r="N49" s="222">
        <v>0.7</v>
      </c>
      <c r="O49" s="224"/>
      <c r="P49" s="153"/>
      <c r="Q49" s="116"/>
      <c r="R49" s="120"/>
      <c r="S49" s="120"/>
      <c r="T49" s="120"/>
      <c r="U49" s="120"/>
      <c r="V49" s="120"/>
      <c r="W49" s="120"/>
    </row>
    <row r="50" spans="2:23" x14ac:dyDescent="0.2">
      <c r="B50" s="161"/>
      <c r="C50" s="154"/>
      <c r="D50" s="201"/>
      <c r="E50" s="199"/>
      <c r="F50" s="202" t="s">
        <v>291</v>
      </c>
      <c r="G50" s="207">
        <f>(H50+I50)/$D$49</f>
        <v>0.15384615384615385</v>
      </c>
      <c r="H50" s="111">
        <f>COUNTIF($I$5:$I$40,"A-2")</f>
        <v>1</v>
      </c>
      <c r="I50" s="111">
        <f>COUNTIF($I$5:$I$40,"B-2")</f>
        <v>3</v>
      </c>
      <c r="J50" s="198"/>
      <c r="K50" s="198"/>
      <c r="L50" s="198"/>
      <c r="M50" s="222"/>
      <c r="N50" s="222">
        <v>0.6</v>
      </c>
      <c r="O50" s="224"/>
      <c r="P50" s="153"/>
      <c r="Q50" s="116"/>
      <c r="R50" s="120"/>
      <c r="S50" s="120"/>
      <c r="T50" s="120"/>
      <c r="U50" s="120"/>
      <c r="V50" s="120"/>
      <c r="W50" s="120"/>
    </row>
    <row r="51" spans="2:23" x14ac:dyDescent="0.2">
      <c r="B51" s="161"/>
      <c r="C51" s="154"/>
      <c r="D51" s="201"/>
      <c r="E51" s="199"/>
      <c r="F51" s="200" t="s">
        <v>292</v>
      </c>
      <c r="G51" s="207">
        <f>H51/$D$49</f>
        <v>0.19230769230769232</v>
      </c>
      <c r="H51" s="111">
        <f>COUNTIF($I$5:$I$40,"B-3")</f>
        <v>5</v>
      </c>
      <c r="I51" s="111"/>
      <c r="J51" s="198"/>
      <c r="K51" s="198"/>
      <c r="L51" s="198"/>
      <c r="M51" s="222"/>
      <c r="N51" s="222">
        <f>$M$48</f>
        <v>0.65384615384615397</v>
      </c>
      <c r="O51" s="224"/>
      <c r="P51" s="153"/>
      <c r="Q51" s="116"/>
      <c r="R51" s="120"/>
      <c r="S51" s="120"/>
      <c r="T51" s="120"/>
      <c r="U51" s="120"/>
      <c r="V51" s="120"/>
      <c r="W51" s="120"/>
    </row>
    <row r="52" spans="2:23" x14ac:dyDescent="0.2">
      <c r="B52" s="161"/>
      <c r="C52" s="154"/>
      <c r="D52" s="201"/>
      <c r="E52" s="199"/>
      <c r="F52" s="200" t="s">
        <v>293</v>
      </c>
      <c r="G52" s="207">
        <f>H52/$D$49</f>
        <v>7.6923076923076927E-2</v>
      </c>
      <c r="H52" s="111">
        <f>COUNTIF($I$5:$I$40,"c-3")</f>
        <v>2</v>
      </c>
      <c r="I52" s="111"/>
      <c r="J52" s="198" t="s">
        <v>294</v>
      </c>
      <c r="K52" s="198"/>
      <c r="L52" s="198"/>
      <c r="M52" s="222">
        <f>G53+G54+G55+G57</f>
        <v>0.34615384615384615</v>
      </c>
      <c r="N52" s="225"/>
      <c r="O52" s="224"/>
      <c r="P52" s="153"/>
      <c r="Q52" s="116"/>
      <c r="R52" s="120"/>
      <c r="S52" s="120"/>
      <c r="T52" s="120"/>
      <c r="U52" s="120"/>
      <c r="V52" s="120"/>
      <c r="W52" s="120"/>
    </row>
    <row r="53" spans="2:23" x14ac:dyDescent="0.2">
      <c r="B53" s="161"/>
      <c r="C53" s="154"/>
      <c r="D53" s="201"/>
      <c r="E53" s="199"/>
      <c r="F53" s="202" t="s">
        <v>295</v>
      </c>
      <c r="G53" s="207">
        <f>H53/$D$49</f>
        <v>3.8461538461538464E-2</v>
      </c>
      <c r="H53" s="111">
        <f>COUNTIF($I$5:$I$40,"c-4")</f>
        <v>1</v>
      </c>
      <c r="I53" s="208"/>
      <c r="J53" s="198"/>
      <c r="K53" s="198"/>
      <c r="L53" s="198"/>
      <c r="M53" s="222"/>
      <c r="N53" s="225"/>
      <c r="O53" s="224"/>
      <c r="P53" s="153"/>
      <c r="Q53" s="116"/>
      <c r="R53" s="120"/>
      <c r="S53" s="120"/>
      <c r="T53" s="120"/>
      <c r="U53" s="120"/>
      <c r="V53" s="120"/>
      <c r="W53" s="120"/>
    </row>
    <row r="54" spans="2:23" x14ac:dyDescent="0.2">
      <c r="B54" s="161"/>
      <c r="C54" s="154"/>
      <c r="D54" s="201"/>
      <c r="E54" s="199"/>
      <c r="F54" s="199" t="s">
        <v>296</v>
      </c>
      <c r="G54" s="207">
        <f>H54/$D$49</f>
        <v>0.19230769230769232</v>
      </c>
      <c r="H54" s="111">
        <f>COUNTIF($I$5:$I$40,"d-4")</f>
        <v>5</v>
      </c>
      <c r="I54" s="208"/>
      <c r="J54" s="198"/>
      <c r="K54" s="198"/>
      <c r="L54" s="198"/>
      <c r="M54" s="222"/>
      <c r="N54" s="225"/>
      <c r="O54" s="224"/>
      <c r="P54" s="153"/>
      <c r="Q54" s="116"/>
      <c r="R54" s="120"/>
      <c r="S54" s="120"/>
      <c r="T54" s="120"/>
      <c r="U54" s="120"/>
      <c r="V54" s="120"/>
      <c r="W54" s="120"/>
    </row>
    <row r="55" spans="2:23" x14ac:dyDescent="0.2">
      <c r="B55" s="161"/>
      <c r="C55" s="154"/>
      <c r="D55" s="201"/>
      <c r="E55" s="199"/>
      <c r="F55" s="200" t="s">
        <v>297</v>
      </c>
      <c r="G55" s="207">
        <f>(H55+I55)/$D$49</f>
        <v>0.11538461538461539</v>
      </c>
      <c r="H55" s="111">
        <f>COUNTIF($I$5:$I$40,"d-5")</f>
        <v>1</v>
      </c>
      <c r="I55" s="111">
        <f>COUNTIF($I$5:$I$40,"e-5")</f>
        <v>2</v>
      </c>
      <c r="J55" s="198"/>
      <c r="K55" s="198"/>
      <c r="L55" s="198"/>
      <c r="M55" s="222"/>
      <c r="N55" s="225"/>
      <c r="O55" s="224"/>
      <c r="P55" s="153"/>
      <c r="Q55" s="116"/>
      <c r="R55" s="120"/>
      <c r="S55" s="120"/>
      <c r="T55" s="120"/>
      <c r="U55" s="120"/>
      <c r="V55" s="120"/>
      <c r="W55" s="120"/>
    </row>
    <row r="56" spans="2:23" x14ac:dyDescent="0.2">
      <c r="B56" s="161"/>
      <c r="C56" s="154"/>
      <c r="D56" s="201"/>
      <c r="E56" s="199"/>
      <c r="F56" s="200"/>
      <c r="G56" s="207"/>
      <c r="H56" s="111"/>
      <c r="I56" s="111"/>
      <c r="J56" s="198" t="s">
        <v>50</v>
      </c>
      <c r="K56" s="198"/>
      <c r="L56" s="198"/>
      <c r="M56" s="222">
        <f>M48+M52</f>
        <v>1</v>
      </c>
      <c r="N56" s="1209"/>
      <c r="O56" s="224"/>
      <c r="P56" s="153"/>
      <c r="Q56" s="116"/>
      <c r="R56" s="120"/>
      <c r="S56" s="120"/>
      <c r="T56" s="120"/>
      <c r="U56" s="120"/>
      <c r="V56" s="120"/>
      <c r="W56" s="120"/>
    </row>
    <row r="57" spans="2:23" x14ac:dyDescent="0.2">
      <c r="B57" s="161"/>
      <c r="C57" s="154"/>
      <c r="D57" s="201"/>
      <c r="E57" s="199"/>
      <c r="F57" s="203" t="s">
        <v>298</v>
      </c>
      <c r="G57" s="207">
        <f>H57/$D$49</f>
        <v>0</v>
      </c>
      <c r="H57" s="111">
        <f>COUNTIF($I$5:$I$40,"e-5-")</f>
        <v>0</v>
      </c>
      <c r="I57" s="111"/>
      <c r="J57" s="198"/>
      <c r="K57" s="198"/>
      <c r="L57" s="198"/>
      <c r="M57" s="222"/>
      <c r="N57" s="1209"/>
      <c r="O57" s="224"/>
      <c r="P57" s="153"/>
      <c r="Q57" s="116"/>
      <c r="R57" s="120"/>
      <c r="S57" s="120"/>
      <c r="T57" s="120"/>
      <c r="U57" s="120"/>
      <c r="V57" s="120"/>
      <c r="W57" s="120"/>
    </row>
    <row r="58" spans="2:23" x14ac:dyDescent="0.2">
      <c r="B58" s="161"/>
      <c r="C58" s="145"/>
      <c r="D58" s="201"/>
      <c r="E58" s="199"/>
      <c r="F58" s="200" t="s">
        <v>50</v>
      </c>
      <c r="G58" s="204">
        <f>SUM(G48:G57)</f>
        <v>1</v>
      </c>
      <c r="H58" s="693">
        <f>SUM(H48:H57)</f>
        <v>21</v>
      </c>
      <c r="I58" s="693">
        <f>SUM(I48:I57)</f>
        <v>5</v>
      </c>
      <c r="J58" s="208"/>
      <c r="K58" s="208"/>
      <c r="L58" s="223"/>
      <c r="M58" s="223"/>
      <c r="N58" s="223"/>
      <c r="O58" s="223"/>
      <c r="P58" s="151"/>
      <c r="Q58" s="116"/>
      <c r="R58" s="120"/>
      <c r="S58" s="120"/>
      <c r="T58" s="120"/>
      <c r="U58" s="120"/>
      <c r="V58" s="120"/>
      <c r="W58" s="120"/>
    </row>
    <row r="59" spans="2:23" x14ac:dyDescent="0.2">
      <c r="B59" s="161"/>
      <c r="C59" s="145"/>
      <c r="D59" s="201"/>
      <c r="E59" s="199"/>
      <c r="F59" s="196"/>
      <c r="G59" s="196"/>
      <c r="H59" s="208">
        <f>SUM(H58+I58)</f>
        <v>26</v>
      </c>
      <c r="I59" s="208"/>
      <c r="J59" s="208"/>
      <c r="K59" s="208"/>
      <c r="L59" s="223"/>
      <c r="M59" s="223"/>
      <c r="N59" s="223"/>
      <c r="O59" s="223"/>
      <c r="P59" s="151"/>
      <c r="Q59" s="116"/>
      <c r="R59" s="120"/>
      <c r="S59" s="120"/>
      <c r="T59" s="120"/>
      <c r="U59" s="120"/>
      <c r="V59" s="120"/>
      <c r="W59" s="120"/>
    </row>
    <row r="60" spans="2:23" x14ac:dyDescent="0.2">
      <c r="B60" s="161"/>
      <c r="C60" s="145"/>
      <c r="D60" s="205"/>
      <c r="E60" s="196"/>
      <c r="F60" s="199"/>
      <c r="G60" s="207"/>
      <c r="H60" s="197"/>
      <c r="I60" s="197"/>
      <c r="J60" s="197"/>
      <c r="K60" s="197"/>
      <c r="L60" s="223"/>
      <c r="M60" s="223"/>
      <c r="N60" s="223"/>
      <c r="O60" s="223"/>
      <c r="P60" s="151"/>
      <c r="Q60" s="116"/>
      <c r="R60" s="120"/>
      <c r="S60" s="120"/>
      <c r="T60" s="120"/>
      <c r="U60" s="120"/>
      <c r="V60" s="120"/>
      <c r="W60" s="120"/>
    </row>
    <row r="61" spans="2:23" x14ac:dyDescent="0.2">
      <c r="B61" s="161"/>
      <c r="C61" s="145"/>
      <c r="D61" s="205"/>
      <c r="E61" s="196"/>
      <c r="F61" s="206"/>
      <c r="G61" s="207"/>
      <c r="H61" s="197"/>
      <c r="I61" s="197"/>
      <c r="J61" s="197"/>
      <c r="K61" s="197"/>
      <c r="L61" s="223"/>
      <c r="M61" s="223"/>
      <c r="N61" s="223"/>
      <c r="O61" s="223"/>
      <c r="P61" s="151"/>
      <c r="Q61" s="116"/>
      <c r="R61" s="120"/>
      <c r="S61" s="120"/>
      <c r="T61" s="120"/>
      <c r="U61" s="120"/>
      <c r="V61" s="120"/>
      <c r="W61" s="120"/>
    </row>
    <row r="62" spans="2:23" x14ac:dyDescent="0.2">
      <c r="B62" s="162"/>
      <c r="C62" s="169"/>
      <c r="D62" s="144"/>
      <c r="E62" s="145"/>
      <c r="F62" s="170"/>
      <c r="G62" s="171"/>
      <c r="H62" s="142"/>
      <c r="I62" s="142"/>
      <c r="J62" s="142"/>
      <c r="K62" s="142"/>
      <c r="L62" s="141"/>
      <c r="M62" s="141"/>
      <c r="N62" s="141"/>
      <c r="O62" s="141"/>
      <c r="P62" s="151"/>
      <c r="Q62" s="116"/>
      <c r="R62" s="120"/>
      <c r="S62" s="120"/>
      <c r="T62" s="120"/>
      <c r="U62" s="120"/>
      <c r="V62" s="120"/>
      <c r="W62" s="120"/>
    </row>
    <row r="63" spans="2:23" x14ac:dyDescent="0.2">
      <c r="B63" s="161"/>
      <c r="C63" s="145"/>
      <c r="D63" s="144"/>
      <c r="E63" s="145"/>
      <c r="F63" s="145"/>
      <c r="G63" s="145"/>
      <c r="H63" s="142"/>
      <c r="I63" s="142"/>
      <c r="J63" s="142"/>
      <c r="K63" s="142"/>
      <c r="L63" s="141"/>
      <c r="M63" s="141"/>
      <c r="N63" s="141"/>
      <c r="O63" s="141"/>
      <c r="P63" s="151"/>
      <c r="Q63" s="116"/>
      <c r="R63" s="120"/>
      <c r="S63" s="120"/>
      <c r="T63" s="120"/>
      <c r="U63" s="120"/>
      <c r="V63" s="120"/>
      <c r="W63" s="120"/>
    </row>
    <row r="64" spans="2:23" x14ac:dyDescent="0.2">
      <c r="B64" s="161"/>
      <c r="C64" s="143"/>
      <c r="D64" s="144"/>
      <c r="E64" s="145"/>
      <c r="F64" s="145"/>
      <c r="G64" s="145"/>
      <c r="H64" s="142"/>
      <c r="I64" s="142"/>
      <c r="J64" s="142"/>
      <c r="K64" s="142"/>
      <c r="L64" s="143"/>
      <c r="M64" s="141"/>
      <c r="N64" s="141"/>
      <c r="O64" s="141"/>
      <c r="P64" s="141"/>
      <c r="Q64" s="116"/>
      <c r="R64" s="120"/>
      <c r="S64" s="120"/>
      <c r="T64" s="120"/>
      <c r="U64" s="120"/>
      <c r="V64" s="120"/>
      <c r="W64" s="120"/>
    </row>
    <row r="65" spans="3:24" x14ac:dyDescent="0.2">
      <c r="C65" s="143"/>
      <c r="D65" s="144"/>
      <c r="E65" s="145"/>
      <c r="F65" s="145"/>
      <c r="G65" s="145"/>
      <c r="H65" s="142"/>
      <c r="I65" s="142"/>
      <c r="J65" s="142"/>
      <c r="K65" s="142"/>
      <c r="L65" s="143"/>
      <c r="M65" s="141"/>
      <c r="N65" s="141"/>
      <c r="O65" s="141"/>
      <c r="P65" s="141"/>
      <c r="Q65" s="116"/>
      <c r="R65" s="120"/>
      <c r="S65" s="120"/>
      <c r="T65" s="120"/>
      <c r="U65" s="120"/>
      <c r="V65" s="120"/>
      <c r="W65" s="120"/>
    </row>
    <row r="66" spans="3:24" x14ac:dyDescent="0.2">
      <c r="C66" s="143"/>
      <c r="D66" s="144"/>
      <c r="E66" s="145"/>
      <c r="F66" s="145"/>
      <c r="G66" s="145"/>
      <c r="H66" s="142"/>
      <c r="I66" s="142"/>
      <c r="J66" s="142"/>
      <c r="K66" s="142"/>
      <c r="L66" s="143"/>
      <c r="M66" s="141"/>
      <c r="N66" s="155"/>
      <c r="O66" s="141"/>
      <c r="P66" s="141"/>
      <c r="Q66" s="116"/>
      <c r="R66" s="120"/>
      <c r="S66" s="120"/>
      <c r="T66" s="120"/>
      <c r="U66" s="120"/>
      <c r="V66" s="120"/>
      <c r="W66" s="120"/>
      <c r="X66" s="146"/>
    </row>
    <row r="67" spans="3:24" ht="20.25" x14ac:dyDescent="0.2">
      <c r="C67" s="145"/>
      <c r="D67" s="154"/>
      <c r="E67" s="145"/>
      <c r="F67" s="145"/>
      <c r="G67" s="145"/>
      <c r="H67" s="142"/>
      <c r="I67" s="142"/>
      <c r="J67" s="156"/>
      <c r="K67" s="142"/>
      <c r="L67" s="145"/>
      <c r="M67" s="141"/>
      <c r="N67" s="141"/>
      <c r="O67" s="155"/>
      <c r="P67" s="155"/>
      <c r="Q67" s="116"/>
      <c r="R67" s="117"/>
      <c r="S67" s="117"/>
      <c r="T67" s="117"/>
      <c r="U67" s="118"/>
      <c r="V67" s="118"/>
      <c r="W67" s="118"/>
      <c r="X67" s="119"/>
    </row>
    <row r="68" spans="3:24" ht="20.25" x14ac:dyDescent="0.2">
      <c r="C68" s="145"/>
      <c r="D68" s="154"/>
      <c r="E68" s="145"/>
      <c r="F68" s="145"/>
      <c r="G68" s="145"/>
      <c r="H68" s="142"/>
      <c r="I68" s="142"/>
      <c r="J68" s="156"/>
      <c r="K68" s="142"/>
      <c r="L68" s="145"/>
      <c r="M68" s="141"/>
      <c r="N68" s="141"/>
      <c r="O68" s="141"/>
      <c r="P68" s="141"/>
      <c r="Q68" s="116"/>
      <c r="R68" s="120"/>
      <c r="S68" s="120"/>
      <c r="T68" s="120"/>
      <c r="U68" s="120"/>
      <c r="V68" s="120"/>
      <c r="W68" s="120"/>
    </row>
    <row r="69" spans="3:24" ht="20.25" x14ac:dyDescent="0.2">
      <c r="C69" s="143"/>
      <c r="D69" s="154"/>
      <c r="E69" s="143"/>
      <c r="F69" s="143"/>
      <c r="G69" s="143"/>
      <c r="H69" s="142"/>
      <c r="I69" s="142"/>
      <c r="J69" s="156"/>
      <c r="K69" s="142"/>
      <c r="L69" s="143"/>
      <c r="M69" s="141"/>
      <c r="N69" s="141"/>
      <c r="O69" s="141"/>
      <c r="P69" s="141"/>
      <c r="Q69" s="116"/>
      <c r="R69" s="120"/>
      <c r="S69" s="120"/>
      <c r="T69" s="120"/>
      <c r="U69" s="120"/>
      <c r="V69" s="120"/>
      <c r="W69" s="120"/>
    </row>
    <row r="70" spans="3:24" ht="20.25" x14ac:dyDescent="0.2">
      <c r="C70" s="143"/>
      <c r="D70" s="154"/>
      <c r="E70" s="143"/>
      <c r="F70" s="143"/>
      <c r="G70" s="143"/>
      <c r="H70" s="142"/>
      <c r="I70" s="142"/>
      <c r="J70" s="156"/>
      <c r="K70" s="142"/>
      <c r="L70" s="143"/>
      <c r="M70" s="141"/>
      <c r="N70" s="141"/>
      <c r="O70" s="141"/>
      <c r="P70" s="141"/>
      <c r="Q70" s="116"/>
      <c r="R70" s="120"/>
      <c r="S70" s="120"/>
      <c r="T70" s="120"/>
      <c r="U70" s="120"/>
      <c r="V70" s="120"/>
      <c r="W70" s="120"/>
    </row>
    <row r="71" spans="3:24" ht="20.25" x14ac:dyDescent="0.2">
      <c r="C71" s="143"/>
      <c r="D71" s="154"/>
      <c r="E71" s="143"/>
      <c r="F71" s="143"/>
      <c r="G71" s="143"/>
      <c r="H71" s="142"/>
      <c r="I71" s="142"/>
      <c r="J71" s="156"/>
      <c r="K71" s="142"/>
      <c r="L71" s="143"/>
      <c r="M71" s="141"/>
      <c r="N71" s="141"/>
      <c r="O71" s="141"/>
      <c r="P71" s="141"/>
      <c r="Q71" s="116"/>
      <c r="R71" s="120"/>
      <c r="S71" s="120"/>
      <c r="T71" s="120"/>
      <c r="U71" s="120"/>
      <c r="V71" s="120"/>
      <c r="W71" s="120"/>
    </row>
    <row r="72" spans="3:24" x14ac:dyDescent="0.2">
      <c r="C72" s="143"/>
      <c r="D72" s="144"/>
      <c r="E72" s="143"/>
      <c r="F72" s="143"/>
      <c r="G72" s="143"/>
      <c r="H72" s="142"/>
      <c r="I72" s="142"/>
      <c r="J72" s="142"/>
      <c r="K72" s="142"/>
      <c r="L72" s="143"/>
      <c r="M72" s="141"/>
      <c r="N72" s="141"/>
      <c r="O72" s="141"/>
      <c r="P72" s="141"/>
      <c r="Q72" s="116"/>
      <c r="R72" s="120"/>
      <c r="S72" s="120"/>
      <c r="T72" s="120"/>
      <c r="U72" s="120"/>
      <c r="V72" s="120"/>
      <c r="W72" s="120"/>
    </row>
    <row r="73" spans="3:24" x14ac:dyDescent="0.2">
      <c r="C73" s="143"/>
      <c r="D73" s="144"/>
      <c r="E73" s="143"/>
      <c r="F73" s="143"/>
      <c r="G73" s="143"/>
      <c r="H73" s="142"/>
      <c r="I73" s="142"/>
      <c r="J73" s="142"/>
      <c r="K73" s="142"/>
      <c r="L73" s="143"/>
      <c r="M73" s="141"/>
      <c r="N73" s="141"/>
      <c r="O73" s="141"/>
      <c r="P73" s="141"/>
      <c r="Q73" s="116"/>
      <c r="R73" s="120"/>
      <c r="S73" s="120"/>
      <c r="T73" s="120"/>
      <c r="U73" s="120"/>
      <c r="V73" s="120"/>
      <c r="W73" s="120"/>
    </row>
    <row r="74" spans="3:24" x14ac:dyDescent="0.2">
      <c r="C74" s="143"/>
      <c r="D74" s="144"/>
      <c r="E74" s="143"/>
      <c r="F74" s="143"/>
      <c r="G74" s="143"/>
      <c r="H74" s="142"/>
      <c r="I74" s="142"/>
      <c r="J74" s="142"/>
      <c r="K74" s="142"/>
      <c r="L74" s="143"/>
      <c r="M74" s="141"/>
      <c r="N74" s="141"/>
      <c r="O74" s="141"/>
      <c r="P74" s="141"/>
      <c r="Q74" s="116"/>
      <c r="R74" s="120"/>
      <c r="S74" s="120"/>
      <c r="T74" s="120"/>
      <c r="U74" s="120"/>
      <c r="V74" s="120"/>
      <c r="W74" s="120"/>
    </row>
    <row r="75" spans="3:24" x14ac:dyDescent="0.2">
      <c r="C75" s="143"/>
      <c r="D75" s="144"/>
      <c r="E75" s="143"/>
      <c r="F75" s="143"/>
      <c r="G75" s="143"/>
      <c r="H75" s="142"/>
      <c r="I75" s="142"/>
      <c r="J75" s="142"/>
      <c r="K75" s="142"/>
      <c r="L75" s="143"/>
      <c r="M75" s="141"/>
      <c r="N75" s="141"/>
      <c r="O75" s="141"/>
      <c r="P75" s="141"/>
      <c r="Q75" s="116"/>
      <c r="R75" s="120"/>
      <c r="S75" s="120"/>
      <c r="T75" s="120"/>
      <c r="U75" s="120"/>
      <c r="V75" s="120"/>
      <c r="W75" s="120"/>
    </row>
    <row r="76" spans="3:24" x14ac:dyDescent="0.2">
      <c r="C76" s="143"/>
      <c r="D76" s="144"/>
      <c r="E76" s="143"/>
      <c r="F76" s="143"/>
      <c r="G76" s="143"/>
      <c r="H76" s="142"/>
      <c r="I76" s="142"/>
      <c r="J76" s="142"/>
      <c r="K76" s="142"/>
      <c r="L76" s="143"/>
      <c r="M76" s="141"/>
      <c r="N76" s="141"/>
      <c r="O76" s="141"/>
      <c r="P76" s="141"/>
      <c r="Q76" s="116"/>
      <c r="R76" s="120"/>
      <c r="S76" s="120"/>
      <c r="T76" s="120"/>
      <c r="U76" s="120"/>
      <c r="V76" s="120"/>
      <c r="W76" s="120"/>
    </row>
    <row r="77" spans="3:24" x14ac:dyDescent="0.2">
      <c r="C77" s="143"/>
      <c r="D77" s="144"/>
      <c r="E77" s="143"/>
      <c r="F77" s="143"/>
      <c r="G77" s="143"/>
      <c r="H77" s="142"/>
      <c r="I77" s="142"/>
      <c r="J77" s="142"/>
      <c r="K77" s="142"/>
      <c r="L77" s="143"/>
      <c r="M77" s="141"/>
      <c r="N77" s="141"/>
      <c r="O77" s="141"/>
      <c r="P77" s="141"/>
      <c r="Q77" s="116"/>
      <c r="R77" s="120"/>
      <c r="S77" s="120"/>
      <c r="T77" s="120"/>
      <c r="U77" s="120"/>
      <c r="V77" s="120"/>
      <c r="W77" s="120"/>
    </row>
    <row r="78" spans="3:24" x14ac:dyDescent="0.2">
      <c r="C78" s="143"/>
      <c r="D78" s="144"/>
      <c r="E78" s="143"/>
      <c r="F78" s="143"/>
      <c r="G78" s="143"/>
      <c r="H78" s="142"/>
      <c r="I78" s="142"/>
      <c r="J78" s="142"/>
      <c r="K78" s="142"/>
      <c r="L78" s="143"/>
      <c r="M78" s="141"/>
      <c r="N78" s="141"/>
      <c r="O78" s="141"/>
      <c r="P78" s="141"/>
      <c r="Q78" s="116"/>
      <c r="R78" s="120"/>
      <c r="S78" s="120"/>
      <c r="T78" s="120"/>
      <c r="U78" s="120"/>
      <c r="V78" s="120"/>
      <c r="W78" s="120"/>
    </row>
    <row r="79" spans="3:24" x14ac:dyDescent="0.2">
      <c r="C79" s="143"/>
      <c r="D79" s="144"/>
      <c r="E79" s="143"/>
      <c r="F79" s="143"/>
      <c r="G79" s="143"/>
      <c r="H79" s="142"/>
      <c r="I79" s="142"/>
      <c r="J79" s="142"/>
      <c r="K79" s="142"/>
      <c r="L79" s="143"/>
      <c r="M79" s="141"/>
      <c r="N79" s="141"/>
      <c r="O79" s="141"/>
      <c r="P79" s="141"/>
      <c r="Q79" s="116"/>
      <c r="R79" s="120"/>
      <c r="S79" s="120"/>
      <c r="T79" s="120"/>
      <c r="U79" s="120"/>
      <c r="V79" s="120"/>
      <c r="W79" s="120"/>
    </row>
    <row r="80" spans="3:24" x14ac:dyDescent="0.2">
      <c r="C80" s="143"/>
      <c r="D80" s="144"/>
      <c r="E80" s="143"/>
      <c r="F80" s="143"/>
      <c r="G80" s="143"/>
      <c r="H80" s="142"/>
      <c r="I80" s="142"/>
      <c r="J80" s="142"/>
      <c r="K80" s="142"/>
      <c r="L80" s="143"/>
      <c r="M80" s="141"/>
      <c r="N80" s="141"/>
      <c r="O80" s="141"/>
      <c r="P80" s="141"/>
      <c r="Q80" s="116"/>
      <c r="R80" s="120"/>
      <c r="S80" s="120"/>
      <c r="T80" s="120"/>
      <c r="U80" s="120"/>
      <c r="V80" s="120"/>
      <c r="W80" s="120"/>
    </row>
    <row r="81" spans="3:23" x14ac:dyDescent="0.2">
      <c r="C81" s="143"/>
      <c r="D81" s="144"/>
      <c r="E81" s="143"/>
      <c r="F81" s="143"/>
      <c r="G81" s="143"/>
      <c r="H81" s="142"/>
      <c r="I81" s="142"/>
      <c r="J81" s="142"/>
      <c r="K81" s="142"/>
      <c r="L81" s="143"/>
      <c r="M81" s="141"/>
      <c r="N81" s="141"/>
      <c r="O81" s="141"/>
      <c r="P81" s="141"/>
      <c r="Q81" s="116"/>
      <c r="R81" s="120"/>
      <c r="S81" s="120"/>
      <c r="T81" s="120"/>
      <c r="U81" s="120"/>
      <c r="V81" s="120"/>
      <c r="W81" s="120"/>
    </row>
    <row r="82" spans="3:23" x14ac:dyDescent="0.2">
      <c r="C82" s="143"/>
      <c r="D82" s="144"/>
      <c r="E82" s="143"/>
      <c r="F82" s="143"/>
      <c r="G82" s="143"/>
      <c r="H82" s="142"/>
      <c r="I82" s="142"/>
      <c r="J82" s="142"/>
      <c r="K82" s="142"/>
      <c r="L82" s="143"/>
      <c r="M82" s="141"/>
      <c r="N82" s="141"/>
      <c r="O82" s="141"/>
      <c r="P82" s="141"/>
      <c r="Q82" s="116"/>
      <c r="R82" s="120"/>
      <c r="S82" s="120"/>
      <c r="T82" s="120"/>
      <c r="U82" s="120"/>
      <c r="V82" s="120"/>
      <c r="W82" s="120"/>
    </row>
    <row r="83" spans="3:23" x14ac:dyDescent="0.2">
      <c r="C83" s="143"/>
      <c r="D83" s="144"/>
      <c r="E83" s="143"/>
      <c r="F83" s="143"/>
      <c r="G83" s="143"/>
      <c r="H83" s="142"/>
      <c r="I83" s="142"/>
      <c r="J83" s="142"/>
      <c r="K83" s="142"/>
      <c r="L83" s="143"/>
      <c r="M83" s="141"/>
      <c r="N83" s="141"/>
      <c r="O83" s="141"/>
      <c r="P83" s="141"/>
      <c r="Q83" s="116"/>
      <c r="R83" s="120"/>
      <c r="S83" s="120"/>
      <c r="T83" s="120"/>
      <c r="U83" s="120"/>
      <c r="V83" s="120"/>
      <c r="W83" s="120"/>
    </row>
    <row r="84" spans="3:23" x14ac:dyDescent="0.2">
      <c r="C84" s="143"/>
      <c r="D84" s="144"/>
      <c r="E84" s="143"/>
      <c r="F84" s="143"/>
      <c r="G84" s="143"/>
      <c r="H84" s="142"/>
      <c r="I84" s="142"/>
      <c r="J84" s="142"/>
      <c r="K84" s="142"/>
      <c r="L84" s="143"/>
      <c r="M84" s="141"/>
      <c r="N84" s="141"/>
      <c r="O84" s="141"/>
      <c r="P84" s="141"/>
      <c r="Q84" s="116"/>
      <c r="R84" s="120"/>
      <c r="S84" s="120"/>
      <c r="T84" s="120"/>
      <c r="U84" s="120"/>
      <c r="V84" s="120"/>
      <c r="W84" s="120"/>
    </row>
    <row r="85" spans="3:23" x14ac:dyDescent="0.2">
      <c r="C85" s="143"/>
      <c r="D85" s="152"/>
      <c r="E85" s="157"/>
      <c r="F85" s="157"/>
      <c r="G85" s="157"/>
      <c r="H85" s="158"/>
      <c r="I85" s="158"/>
      <c r="J85" s="158"/>
      <c r="K85" s="158"/>
      <c r="L85" s="143"/>
      <c r="M85" s="141"/>
      <c r="N85" s="141"/>
      <c r="O85" s="141"/>
      <c r="P85" s="141"/>
      <c r="Q85" s="116"/>
      <c r="R85" s="120"/>
      <c r="S85" s="120"/>
      <c r="T85" s="120"/>
      <c r="U85" s="120"/>
      <c r="V85" s="120"/>
      <c r="W85" s="120"/>
    </row>
    <row r="86" spans="3:23" x14ac:dyDescent="0.2">
      <c r="M86" s="89"/>
      <c r="N86" s="89"/>
      <c r="O86" s="89"/>
      <c r="P86" s="89"/>
      <c r="Q86" s="116"/>
      <c r="R86" s="120"/>
      <c r="S86" s="120"/>
      <c r="T86" s="120"/>
      <c r="U86" s="120"/>
      <c r="V86" s="120"/>
      <c r="W86" s="120"/>
    </row>
    <row r="87" spans="3:23" x14ac:dyDescent="0.2">
      <c r="M87" s="89"/>
      <c r="N87" s="89"/>
      <c r="O87" s="89"/>
      <c r="P87" s="89"/>
      <c r="Q87" s="116"/>
      <c r="R87" s="120"/>
      <c r="S87" s="120"/>
      <c r="T87" s="120"/>
      <c r="U87" s="120"/>
      <c r="V87" s="120"/>
      <c r="W87" s="120"/>
    </row>
    <row r="88" spans="3:23" x14ac:dyDescent="0.2">
      <c r="M88" s="89"/>
      <c r="N88" s="89"/>
      <c r="O88" s="89"/>
      <c r="P88" s="89"/>
      <c r="Q88" s="89"/>
      <c r="R88" s="120"/>
      <c r="S88" s="120"/>
      <c r="T88" s="120"/>
      <c r="U88" s="120"/>
      <c r="V88" s="120"/>
      <c r="W88" s="120"/>
    </row>
    <row r="89" spans="3:23" x14ac:dyDescent="0.2">
      <c r="M89" s="89"/>
      <c r="N89" s="89"/>
      <c r="O89" s="89"/>
      <c r="P89" s="89"/>
      <c r="Q89" s="89"/>
      <c r="R89" s="120"/>
      <c r="S89" s="120"/>
      <c r="T89" s="120"/>
      <c r="U89" s="120"/>
      <c r="V89" s="120"/>
      <c r="W89" s="120"/>
    </row>
    <row r="90" spans="3:23" x14ac:dyDescent="0.2">
      <c r="M90" s="89"/>
      <c r="N90" s="89"/>
      <c r="O90" s="89"/>
      <c r="P90" s="89"/>
      <c r="Q90" s="89"/>
      <c r="R90" s="120"/>
      <c r="S90" s="120"/>
      <c r="T90" s="120"/>
      <c r="U90" s="120"/>
      <c r="V90" s="120"/>
      <c r="W90" s="120"/>
    </row>
    <row r="91" spans="3:23" x14ac:dyDescent="0.2">
      <c r="M91" s="89"/>
      <c r="N91" s="89"/>
      <c r="O91" s="89"/>
      <c r="P91" s="89"/>
      <c r="Q91" s="89"/>
      <c r="R91" s="120"/>
      <c r="S91" s="120"/>
      <c r="T91" s="120"/>
      <c r="U91" s="120"/>
      <c r="V91" s="120"/>
      <c r="W91" s="120"/>
    </row>
    <row r="92" spans="3:23" x14ac:dyDescent="0.2">
      <c r="R92" s="146"/>
      <c r="S92" s="146"/>
      <c r="T92" s="146"/>
      <c r="U92" s="146"/>
      <c r="V92" s="146"/>
      <c r="W92" s="146"/>
    </row>
    <row r="93" spans="3:23" x14ac:dyDescent="0.2">
      <c r="R93" s="146"/>
      <c r="S93" s="146"/>
      <c r="T93" s="146"/>
      <c r="U93" s="146"/>
      <c r="V93" s="146"/>
      <c r="W93" s="146"/>
    </row>
    <row r="94" spans="3:23" x14ac:dyDescent="0.2">
      <c r="R94" s="146"/>
      <c r="S94" s="146"/>
      <c r="T94" s="146"/>
      <c r="U94" s="146"/>
      <c r="V94" s="146"/>
      <c r="W94" s="146"/>
    </row>
    <row r="95" spans="3:23" x14ac:dyDescent="0.2">
      <c r="R95" s="146"/>
      <c r="S95" s="146"/>
      <c r="T95" s="146"/>
      <c r="U95" s="146"/>
      <c r="V95" s="146"/>
      <c r="W95" s="146"/>
    </row>
    <row r="96" spans="3:23" x14ac:dyDescent="0.2">
      <c r="R96" s="146"/>
      <c r="S96" s="146"/>
      <c r="T96" s="146"/>
      <c r="U96" s="146"/>
      <c r="V96" s="146"/>
      <c r="W96" s="146"/>
    </row>
    <row r="97" spans="18:23" x14ac:dyDescent="0.2">
      <c r="R97" s="146"/>
      <c r="S97" s="146"/>
      <c r="T97" s="146"/>
      <c r="U97" s="146"/>
      <c r="V97" s="146"/>
      <c r="W97" s="146"/>
    </row>
    <row r="98" spans="18:23" x14ac:dyDescent="0.2">
      <c r="R98" s="146"/>
      <c r="S98" s="146"/>
      <c r="T98" s="146"/>
      <c r="U98" s="146"/>
      <c r="V98" s="146"/>
      <c r="W98" s="146"/>
    </row>
    <row r="99" spans="18:23" x14ac:dyDescent="0.2">
      <c r="R99" s="146"/>
      <c r="S99" s="146"/>
      <c r="T99" s="146"/>
      <c r="U99" s="146"/>
      <c r="V99" s="146"/>
      <c r="W99" s="146"/>
    </row>
    <row r="100" spans="18:23" x14ac:dyDescent="0.2">
      <c r="R100" s="146"/>
      <c r="S100" s="146"/>
      <c r="T100" s="146"/>
      <c r="U100" s="146"/>
      <c r="V100" s="146"/>
      <c r="W100" s="146"/>
    </row>
    <row r="101" spans="18:23" x14ac:dyDescent="0.2">
      <c r="R101" s="146"/>
      <c r="S101" s="146"/>
      <c r="T101" s="146"/>
      <c r="U101" s="146"/>
      <c r="V101" s="146"/>
      <c r="W101" s="146"/>
    </row>
    <row r="102" spans="18:23" x14ac:dyDescent="0.2">
      <c r="R102" s="146"/>
      <c r="S102" s="146"/>
      <c r="T102" s="146"/>
      <c r="U102" s="146"/>
      <c r="V102" s="146"/>
      <c r="W102" s="146"/>
    </row>
    <row r="103" spans="18:23" x14ac:dyDescent="0.2">
      <c r="R103" s="146"/>
      <c r="S103" s="146"/>
      <c r="T103" s="146"/>
      <c r="U103" s="146"/>
      <c r="V103" s="146"/>
      <c r="W103" s="146"/>
    </row>
    <row r="104" spans="18:23" x14ac:dyDescent="0.2">
      <c r="R104" s="146"/>
      <c r="S104" s="146"/>
      <c r="T104" s="146"/>
      <c r="U104" s="146"/>
      <c r="V104" s="146"/>
      <c r="W104" s="146"/>
    </row>
    <row r="105" spans="18:23" x14ac:dyDescent="0.2">
      <c r="R105" s="146"/>
      <c r="S105" s="146"/>
      <c r="T105" s="146"/>
      <c r="U105" s="146"/>
      <c r="V105" s="146"/>
      <c r="W105" s="146"/>
    </row>
    <row r="106" spans="18:23" x14ac:dyDescent="0.2">
      <c r="R106" s="146"/>
      <c r="S106" s="146"/>
      <c r="T106" s="146"/>
      <c r="U106" s="146"/>
      <c r="V106" s="146"/>
      <c r="W106" s="146"/>
    </row>
    <row r="107" spans="18:23" x14ac:dyDescent="0.2">
      <c r="R107" s="146"/>
      <c r="S107" s="146"/>
      <c r="T107" s="146"/>
      <c r="U107" s="146"/>
      <c r="V107" s="146"/>
      <c r="W107" s="146"/>
    </row>
    <row r="108" spans="18:23" x14ac:dyDescent="0.2">
      <c r="R108" s="146"/>
      <c r="S108" s="146"/>
      <c r="T108" s="146"/>
      <c r="U108" s="146"/>
      <c r="V108" s="146"/>
      <c r="W108" s="146"/>
    </row>
    <row r="109" spans="18:23" x14ac:dyDescent="0.2">
      <c r="R109" s="146"/>
      <c r="S109" s="146"/>
      <c r="T109" s="146"/>
      <c r="U109" s="146"/>
      <c r="V109" s="146"/>
      <c r="W109" s="146"/>
    </row>
    <row r="110" spans="18:23" x14ac:dyDescent="0.2">
      <c r="R110" s="146"/>
      <c r="S110" s="146"/>
      <c r="T110" s="146"/>
      <c r="U110" s="146"/>
      <c r="V110" s="146"/>
      <c r="W110" s="146"/>
    </row>
    <row r="111" spans="18:23" x14ac:dyDescent="0.2">
      <c r="R111" s="146"/>
      <c r="S111" s="146"/>
      <c r="T111" s="146"/>
      <c r="U111" s="146"/>
      <c r="V111" s="146"/>
      <c r="W111" s="146"/>
    </row>
    <row r="112" spans="18:23" x14ac:dyDescent="0.2">
      <c r="R112" s="146"/>
      <c r="S112" s="146"/>
      <c r="T112" s="146"/>
      <c r="U112" s="146"/>
      <c r="V112" s="146"/>
      <c r="W112" s="146"/>
    </row>
    <row r="113" spans="18:23" x14ac:dyDescent="0.2">
      <c r="R113" s="146"/>
      <c r="S113" s="146"/>
      <c r="T113" s="146"/>
      <c r="U113" s="146"/>
      <c r="V113" s="146"/>
      <c r="W113" s="146"/>
    </row>
    <row r="114" spans="18:23" x14ac:dyDescent="0.2">
      <c r="R114" s="146"/>
      <c r="S114" s="146"/>
      <c r="T114" s="146"/>
      <c r="U114" s="146"/>
      <c r="V114" s="146"/>
      <c r="W114" s="146"/>
    </row>
    <row r="115" spans="18:23" x14ac:dyDescent="0.2">
      <c r="R115" s="146"/>
      <c r="S115" s="146"/>
      <c r="T115" s="146"/>
      <c r="U115" s="146"/>
      <c r="V115" s="146"/>
      <c r="W115" s="146"/>
    </row>
    <row r="116" spans="18:23" x14ac:dyDescent="0.2">
      <c r="R116" s="146"/>
      <c r="S116" s="146"/>
      <c r="T116" s="146"/>
      <c r="U116" s="146"/>
      <c r="V116" s="146"/>
      <c r="W116" s="146"/>
    </row>
    <row r="117" spans="18:23" x14ac:dyDescent="0.2">
      <c r="R117" s="146"/>
      <c r="S117" s="146"/>
      <c r="T117" s="146"/>
      <c r="U117" s="146"/>
      <c r="V117" s="146"/>
      <c r="W117" s="146"/>
    </row>
    <row r="118" spans="18:23" x14ac:dyDescent="0.2">
      <c r="R118" s="146"/>
      <c r="S118" s="146"/>
      <c r="T118" s="146"/>
      <c r="U118" s="146"/>
      <c r="V118" s="146"/>
      <c r="W118" s="146"/>
    </row>
    <row r="119" spans="18:23" x14ac:dyDescent="0.2">
      <c r="R119" s="146"/>
      <c r="S119" s="146"/>
      <c r="T119" s="146"/>
      <c r="U119" s="146"/>
      <c r="V119" s="146"/>
      <c r="W119" s="146"/>
    </row>
    <row r="120" spans="18:23" x14ac:dyDescent="0.2">
      <c r="R120" s="146"/>
      <c r="S120" s="146"/>
      <c r="T120" s="146"/>
      <c r="U120" s="146"/>
      <c r="V120" s="146"/>
      <c r="W120" s="146"/>
    </row>
    <row r="121" spans="18:23" x14ac:dyDescent="0.2">
      <c r="R121" s="146"/>
      <c r="S121" s="146"/>
      <c r="T121" s="146"/>
      <c r="U121" s="146"/>
      <c r="V121" s="146"/>
      <c r="W121" s="146"/>
    </row>
    <row r="122" spans="18:23" x14ac:dyDescent="0.2">
      <c r="R122" s="146"/>
      <c r="S122" s="146"/>
      <c r="T122" s="146"/>
      <c r="U122" s="146"/>
      <c r="V122" s="146"/>
      <c r="W122" s="146"/>
    </row>
    <row r="123" spans="18:23" x14ac:dyDescent="0.2">
      <c r="R123" s="146"/>
      <c r="S123" s="146"/>
      <c r="T123" s="146"/>
      <c r="U123" s="146"/>
      <c r="V123" s="146"/>
      <c r="W123" s="146"/>
    </row>
    <row r="124" spans="18:23" x14ac:dyDescent="0.2">
      <c r="R124" s="146"/>
      <c r="S124" s="146"/>
      <c r="T124" s="146"/>
      <c r="U124" s="146"/>
      <c r="V124" s="146"/>
      <c r="W124" s="146"/>
    </row>
    <row r="125" spans="18:23" x14ac:dyDescent="0.2">
      <c r="R125" s="146"/>
      <c r="S125" s="146"/>
      <c r="T125" s="146"/>
      <c r="U125" s="146"/>
      <c r="V125" s="146"/>
      <c r="W125" s="146"/>
    </row>
    <row r="126" spans="18:23" x14ac:dyDescent="0.2">
      <c r="R126" s="146"/>
      <c r="S126" s="146"/>
      <c r="T126" s="146"/>
      <c r="U126" s="146"/>
      <c r="V126" s="146"/>
      <c r="W126" s="146"/>
    </row>
    <row r="127" spans="18:23" x14ac:dyDescent="0.2">
      <c r="R127" s="146"/>
      <c r="S127" s="146"/>
      <c r="T127" s="146"/>
      <c r="U127" s="146"/>
      <c r="V127" s="146"/>
      <c r="W127" s="146"/>
    </row>
    <row r="128" spans="18:23" x14ac:dyDescent="0.2">
      <c r="R128" s="146"/>
      <c r="S128" s="146"/>
      <c r="T128" s="146"/>
      <c r="U128" s="146"/>
      <c r="V128" s="146"/>
      <c r="W128" s="146"/>
    </row>
    <row r="129" spans="18:23" x14ac:dyDescent="0.2">
      <c r="R129" s="146"/>
      <c r="S129" s="146"/>
      <c r="T129" s="146"/>
      <c r="U129" s="146"/>
      <c r="V129" s="146"/>
      <c r="W129" s="146"/>
    </row>
    <row r="130" spans="18:23" x14ac:dyDescent="0.2">
      <c r="R130" s="146"/>
      <c r="S130" s="146"/>
      <c r="T130" s="146"/>
      <c r="U130" s="146"/>
      <c r="V130" s="146"/>
      <c r="W130" s="146"/>
    </row>
    <row r="131" spans="18:23" x14ac:dyDescent="0.2">
      <c r="R131" s="146"/>
      <c r="S131" s="146"/>
      <c r="T131" s="146"/>
      <c r="U131" s="146"/>
      <c r="V131" s="146"/>
      <c r="W131" s="146"/>
    </row>
    <row r="132" spans="18:23" x14ac:dyDescent="0.2">
      <c r="R132" s="146"/>
      <c r="S132" s="146"/>
      <c r="T132" s="146"/>
      <c r="U132" s="146"/>
      <c r="V132" s="146"/>
      <c r="W132" s="146"/>
    </row>
    <row r="133" spans="18:23" x14ac:dyDescent="0.2">
      <c r="R133" s="146"/>
      <c r="S133" s="146"/>
      <c r="T133" s="146"/>
      <c r="U133" s="146"/>
      <c r="V133" s="146"/>
      <c r="W133" s="146"/>
    </row>
    <row r="134" spans="18:23" x14ac:dyDescent="0.2">
      <c r="R134" s="146"/>
      <c r="S134" s="146"/>
      <c r="T134" s="146"/>
      <c r="U134" s="146"/>
      <c r="V134" s="146"/>
      <c r="W134" s="146"/>
    </row>
    <row r="135" spans="18:23" x14ac:dyDescent="0.2">
      <c r="R135" s="146"/>
      <c r="S135" s="146"/>
      <c r="T135" s="146"/>
      <c r="U135" s="146"/>
      <c r="V135" s="146"/>
      <c r="W135" s="146"/>
    </row>
    <row r="136" spans="18:23" x14ac:dyDescent="0.2">
      <c r="R136" s="146"/>
      <c r="S136" s="146"/>
      <c r="T136" s="146"/>
      <c r="U136" s="146"/>
      <c r="V136" s="146"/>
      <c r="W136" s="146"/>
    </row>
    <row r="137" spans="18:23" x14ac:dyDescent="0.2">
      <c r="R137" s="146"/>
      <c r="S137" s="146"/>
      <c r="T137" s="146"/>
      <c r="U137" s="146"/>
      <c r="V137" s="146"/>
      <c r="W137" s="146"/>
    </row>
    <row r="138" spans="18:23" x14ac:dyDescent="0.2">
      <c r="R138" s="146"/>
      <c r="S138" s="146"/>
      <c r="T138" s="146"/>
      <c r="U138" s="146"/>
      <c r="V138" s="146"/>
      <c r="W138" s="146"/>
    </row>
    <row r="139" spans="18:23" x14ac:dyDescent="0.2">
      <c r="R139" s="146"/>
      <c r="S139" s="146"/>
      <c r="T139" s="146"/>
      <c r="U139" s="146"/>
      <c r="V139" s="146"/>
      <c r="W139" s="146"/>
    </row>
    <row r="140" spans="18:23" x14ac:dyDescent="0.2">
      <c r="R140" s="146"/>
      <c r="S140" s="146"/>
      <c r="T140" s="146"/>
      <c r="U140" s="146"/>
      <c r="V140" s="146"/>
      <c r="W140" s="146"/>
    </row>
    <row r="141" spans="18:23" x14ac:dyDescent="0.2">
      <c r="R141" s="146"/>
      <c r="S141" s="146"/>
      <c r="T141" s="146"/>
      <c r="U141" s="146"/>
      <c r="V141" s="146"/>
      <c r="W141" s="146"/>
    </row>
    <row r="142" spans="18:23" x14ac:dyDescent="0.2">
      <c r="R142" s="146"/>
      <c r="S142" s="146"/>
      <c r="T142" s="146"/>
      <c r="U142" s="146"/>
      <c r="V142" s="146"/>
      <c r="W142" s="146"/>
    </row>
    <row r="143" spans="18:23" x14ac:dyDescent="0.2">
      <c r="R143" s="146"/>
      <c r="S143" s="146"/>
      <c r="T143" s="146"/>
      <c r="U143" s="146"/>
      <c r="V143" s="146"/>
      <c r="W143" s="146"/>
    </row>
    <row r="144" spans="18:23" x14ac:dyDescent="0.2">
      <c r="R144" s="146"/>
      <c r="S144" s="146"/>
      <c r="T144" s="146"/>
      <c r="U144" s="146"/>
      <c r="V144" s="146"/>
      <c r="W144" s="146"/>
    </row>
    <row r="145" spans="18:23" x14ac:dyDescent="0.2">
      <c r="R145" s="146"/>
      <c r="S145" s="146"/>
      <c r="T145" s="146"/>
      <c r="U145" s="146"/>
      <c r="V145" s="146"/>
      <c r="W145" s="146"/>
    </row>
    <row r="146" spans="18:23" x14ac:dyDescent="0.2">
      <c r="R146" s="146"/>
      <c r="S146" s="146"/>
      <c r="T146" s="146"/>
      <c r="U146" s="146"/>
      <c r="V146" s="146"/>
      <c r="W146" s="146"/>
    </row>
    <row r="147" spans="18:23" x14ac:dyDescent="0.2">
      <c r="R147" s="146"/>
      <c r="S147" s="146"/>
      <c r="T147" s="146"/>
      <c r="U147" s="146"/>
      <c r="V147" s="146"/>
      <c r="W147" s="146"/>
    </row>
    <row r="148" spans="18:23" x14ac:dyDescent="0.2">
      <c r="R148" s="146"/>
      <c r="S148" s="146"/>
      <c r="T148" s="146"/>
      <c r="U148" s="146"/>
      <c r="V148" s="146"/>
      <c r="W148" s="146"/>
    </row>
    <row r="149" spans="18:23" x14ac:dyDescent="0.2">
      <c r="R149" s="146"/>
      <c r="S149" s="146"/>
      <c r="T149" s="146"/>
      <c r="U149" s="146"/>
      <c r="V149" s="146"/>
      <c r="W149" s="146"/>
    </row>
    <row r="150" spans="18:23" x14ac:dyDescent="0.2">
      <c r="R150" s="146"/>
      <c r="S150" s="146"/>
      <c r="T150" s="146"/>
      <c r="U150" s="146"/>
      <c r="V150" s="146"/>
      <c r="W150" s="146"/>
    </row>
    <row r="151" spans="18:23" x14ac:dyDescent="0.2">
      <c r="R151" s="146"/>
      <c r="S151" s="146"/>
      <c r="T151" s="146"/>
      <c r="U151" s="146"/>
      <c r="V151" s="146"/>
      <c r="W151" s="146"/>
    </row>
    <row r="152" spans="18:23" x14ac:dyDescent="0.2">
      <c r="R152" s="146"/>
      <c r="S152" s="146"/>
      <c r="T152" s="146"/>
      <c r="U152" s="146"/>
      <c r="V152" s="146"/>
      <c r="W152" s="146"/>
    </row>
    <row r="153" spans="18:23" x14ac:dyDescent="0.2">
      <c r="R153" s="146"/>
      <c r="S153" s="146"/>
      <c r="T153" s="146"/>
      <c r="U153" s="146"/>
      <c r="V153" s="146"/>
      <c r="W153" s="146"/>
    </row>
    <row r="154" spans="18:23" x14ac:dyDescent="0.2">
      <c r="R154" s="146"/>
      <c r="S154" s="146"/>
      <c r="T154" s="146"/>
      <c r="U154" s="146"/>
      <c r="V154" s="146"/>
      <c r="W154" s="146"/>
    </row>
    <row r="155" spans="18:23" x14ac:dyDescent="0.2">
      <c r="R155" s="146"/>
      <c r="S155" s="146"/>
      <c r="T155" s="146"/>
      <c r="U155" s="146"/>
      <c r="V155" s="146"/>
      <c r="W155" s="146"/>
    </row>
    <row r="156" spans="18:23" x14ac:dyDescent="0.2">
      <c r="R156" s="146"/>
      <c r="S156" s="146"/>
      <c r="T156" s="146"/>
      <c r="U156" s="146"/>
      <c r="V156" s="146"/>
      <c r="W156" s="146"/>
    </row>
    <row r="157" spans="18:23" x14ac:dyDescent="0.2">
      <c r="R157" s="146"/>
      <c r="S157" s="146"/>
      <c r="T157" s="146"/>
      <c r="U157" s="146"/>
      <c r="V157" s="146"/>
      <c r="W157" s="146"/>
    </row>
    <row r="158" spans="18:23" x14ac:dyDescent="0.2">
      <c r="R158" s="146"/>
      <c r="S158" s="146"/>
      <c r="T158" s="146"/>
      <c r="U158" s="146"/>
      <c r="V158" s="146"/>
      <c r="W158" s="146"/>
    </row>
    <row r="159" spans="18:23" x14ac:dyDescent="0.2">
      <c r="R159" s="146"/>
      <c r="S159" s="146"/>
      <c r="T159" s="146"/>
      <c r="U159" s="146"/>
      <c r="V159" s="146"/>
      <c r="W159" s="146"/>
    </row>
    <row r="160" spans="18:23" x14ac:dyDescent="0.2">
      <c r="R160" s="146"/>
      <c r="S160" s="146"/>
      <c r="T160" s="146"/>
      <c r="U160" s="146"/>
      <c r="V160" s="146"/>
      <c r="W160" s="146"/>
    </row>
    <row r="161" spans="18:23" x14ac:dyDescent="0.2">
      <c r="R161" s="146"/>
      <c r="S161" s="146"/>
      <c r="T161" s="146"/>
      <c r="U161" s="146"/>
      <c r="V161" s="146"/>
      <c r="W161" s="146"/>
    </row>
    <row r="162" spans="18:23" x14ac:dyDescent="0.2">
      <c r="R162" s="146"/>
      <c r="S162" s="146"/>
      <c r="T162" s="146"/>
      <c r="U162" s="146"/>
      <c r="V162" s="146"/>
      <c r="W162" s="146"/>
    </row>
    <row r="163" spans="18:23" x14ac:dyDescent="0.2">
      <c r="R163" s="146"/>
      <c r="S163" s="146"/>
      <c r="T163" s="146"/>
      <c r="U163" s="146"/>
      <c r="V163" s="146"/>
      <c r="W163" s="146"/>
    </row>
    <row r="164" spans="18:23" x14ac:dyDescent="0.2">
      <c r="R164" s="146"/>
      <c r="S164" s="146"/>
      <c r="T164" s="146"/>
      <c r="U164" s="146"/>
      <c r="V164" s="146"/>
      <c r="W164" s="146"/>
    </row>
    <row r="165" spans="18:23" x14ac:dyDescent="0.2">
      <c r="R165" s="146"/>
      <c r="S165" s="146"/>
      <c r="T165" s="146"/>
      <c r="U165" s="146"/>
      <c r="V165" s="146"/>
      <c r="W165" s="146"/>
    </row>
    <row r="166" spans="18:23" x14ac:dyDescent="0.2">
      <c r="R166" s="146"/>
      <c r="S166" s="146"/>
      <c r="T166" s="146"/>
      <c r="U166" s="146"/>
      <c r="V166" s="146"/>
      <c r="W166" s="146"/>
    </row>
    <row r="167" spans="18:23" x14ac:dyDescent="0.2">
      <c r="R167" s="146"/>
      <c r="S167" s="146"/>
      <c r="T167" s="146"/>
      <c r="U167" s="146"/>
      <c r="V167" s="146"/>
      <c r="W167" s="146"/>
    </row>
    <row r="168" spans="18:23" x14ac:dyDescent="0.2">
      <c r="R168" s="146"/>
      <c r="S168" s="146"/>
      <c r="T168" s="146"/>
      <c r="U168" s="146"/>
      <c r="V168" s="146"/>
      <c r="W168" s="146"/>
    </row>
    <row r="169" spans="18:23" x14ac:dyDescent="0.2">
      <c r="R169" s="146"/>
      <c r="S169" s="146"/>
      <c r="T169" s="146"/>
      <c r="U169" s="146"/>
      <c r="V169" s="146"/>
      <c r="W169" s="146"/>
    </row>
    <row r="170" spans="18:23" x14ac:dyDescent="0.2">
      <c r="R170" s="146"/>
      <c r="S170" s="146"/>
      <c r="T170" s="146"/>
      <c r="U170" s="146"/>
      <c r="V170" s="146"/>
      <c r="W170" s="146"/>
    </row>
    <row r="171" spans="18:23" x14ac:dyDescent="0.2">
      <c r="R171" s="146"/>
      <c r="S171" s="146"/>
      <c r="T171" s="146"/>
      <c r="U171" s="146"/>
      <c r="V171" s="146"/>
      <c r="W171" s="146"/>
    </row>
    <row r="172" spans="18:23" x14ac:dyDescent="0.2">
      <c r="R172" s="146"/>
      <c r="S172" s="146"/>
      <c r="T172" s="146"/>
      <c r="U172" s="146"/>
      <c r="V172" s="146"/>
      <c r="W172" s="146"/>
    </row>
    <row r="173" spans="18:23" x14ac:dyDescent="0.2">
      <c r="R173" s="146"/>
      <c r="S173" s="146"/>
      <c r="T173" s="146"/>
      <c r="U173" s="146"/>
      <c r="V173" s="146"/>
      <c r="W173" s="146"/>
    </row>
    <row r="174" spans="18:23" x14ac:dyDescent="0.2">
      <c r="R174" s="146"/>
      <c r="S174" s="146"/>
      <c r="T174" s="146"/>
      <c r="U174" s="146"/>
      <c r="V174" s="146"/>
      <c r="W174" s="146"/>
    </row>
    <row r="175" spans="18:23" x14ac:dyDescent="0.2">
      <c r="R175" s="146"/>
      <c r="S175" s="146"/>
      <c r="T175" s="146"/>
      <c r="U175" s="146"/>
      <c r="V175" s="146"/>
      <c r="W175" s="146"/>
    </row>
    <row r="176" spans="18:23" x14ac:dyDescent="0.2">
      <c r="R176" s="146"/>
      <c r="S176" s="146"/>
      <c r="T176" s="146"/>
      <c r="U176" s="146"/>
      <c r="V176" s="146"/>
      <c r="W176" s="146"/>
    </row>
    <row r="177" spans="18:23" x14ac:dyDescent="0.2">
      <c r="R177" s="146"/>
      <c r="S177" s="146"/>
      <c r="T177" s="146"/>
      <c r="U177" s="146"/>
      <c r="V177" s="146"/>
      <c r="W177" s="146"/>
    </row>
    <row r="178" spans="18:23" x14ac:dyDescent="0.2">
      <c r="R178" s="146"/>
      <c r="S178" s="146"/>
      <c r="T178" s="146"/>
      <c r="U178" s="146"/>
      <c r="V178" s="146"/>
      <c r="W178" s="146"/>
    </row>
    <row r="179" spans="18:23" x14ac:dyDescent="0.2">
      <c r="R179" s="146"/>
      <c r="S179" s="146"/>
      <c r="T179" s="146"/>
      <c r="U179" s="146"/>
      <c r="V179" s="146"/>
      <c r="W179" s="146"/>
    </row>
    <row r="180" spans="18:23" x14ac:dyDescent="0.2">
      <c r="R180" s="146"/>
      <c r="S180" s="146"/>
      <c r="T180" s="146"/>
      <c r="U180" s="146"/>
      <c r="V180" s="146"/>
      <c r="W180" s="146"/>
    </row>
    <row r="181" spans="18:23" x14ac:dyDescent="0.2">
      <c r="R181" s="146"/>
      <c r="S181" s="146"/>
      <c r="T181" s="146"/>
      <c r="U181" s="146"/>
      <c r="V181" s="146"/>
      <c r="W181" s="146"/>
    </row>
    <row r="182" spans="18:23" x14ac:dyDescent="0.2">
      <c r="R182" s="146"/>
      <c r="S182" s="146"/>
      <c r="T182" s="146"/>
      <c r="U182" s="146"/>
      <c r="V182" s="146"/>
      <c r="W182" s="146"/>
    </row>
    <row r="183" spans="18:23" x14ac:dyDescent="0.2">
      <c r="R183" s="146"/>
      <c r="S183" s="146"/>
      <c r="T183" s="146"/>
      <c r="U183" s="146"/>
      <c r="V183" s="146"/>
      <c r="W183" s="146"/>
    </row>
    <row r="184" spans="18:23" x14ac:dyDescent="0.2">
      <c r="R184" s="146"/>
      <c r="S184" s="146"/>
      <c r="T184" s="146"/>
      <c r="U184" s="146"/>
      <c r="V184" s="146"/>
      <c r="W184" s="146"/>
    </row>
    <row r="185" spans="18:23" x14ac:dyDescent="0.2">
      <c r="R185" s="146"/>
      <c r="S185" s="146"/>
      <c r="T185" s="146"/>
      <c r="U185" s="146"/>
      <c r="V185" s="146"/>
      <c r="W185" s="146"/>
    </row>
    <row r="186" spans="18:23" x14ac:dyDescent="0.2">
      <c r="R186" s="146"/>
      <c r="S186" s="146"/>
      <c r="T186" s="146"/>
      <c r="U186" s="146"/>
      <c r="V186" s="146"/>
      <c r="W186" s="146"/>
    </row>
    <row r="187" spans="18:23" x14ac:dyDescent="0.2">
      <c r="R187" s="146"/>
      <c r="S187" s="146"/>
      <c r="T187" s="146"/>
      <c r="U187" s="146"/>
      <c r="V187" s="146"/>
      <c r="W187" s="146"/>
    </row>
    <row r="188" spans="18:23" x14ac:dyDescent="0.2">
      <c r="R188" s="146"/>
      <c r="S188" s="146"/>
      <c r="T188" s="146"/>
      <c r="U188" s="146"/>
      <c r="V188" s="146"/>
      <c r="W188" s="146"/>
    </row>
    <row r="189" spans="18:23" x14ac:dyDescent="0.2">
      <c r="R189" s="146"/>
      <c r="S189" s="146"/>
      <c r="T189" s="146"/>
      <c r="U189" s="146"/>
      <c r="V189" s="146"/>
      <c r="W189" s="146"/>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13:C18">
    <cfRule type="expression" dxfId="881" priority="171" stopIfTrue="1">
      <formula>B13=3</formula>
    </cfRule>
    <cfRule type="expression" dxfId="880" priority="172" stopIfTrue="1">
      <formula>B13=4</formula>
    </cfRule>
    <cfRule type="expression" dxfId="879" priority="173" stopIfTrue="1">
      <formula>B13=5</formula>
    </cfRule>
  </conditionalFormatting>
  <conditionalFormatting sqref="F5:F40">
    <cfRule type="expression" dxfId="878" priority="167">
      <formula>$H5=0</formula>
    </cfRule>
    <cfRule type="expression" dxfId="877" priority="170">
      <formula>$H5=0</formula>
    </cfRule>
  </conditionalFormatting>
  <conditionalFormatting sqref="H5:H40">
    <cfRule type="cellIs" dxfId="876" priority="174" stopIfTrue="1" operator="between">
      <formula>0.1</formula>
      <formula>1.9</formula>
    </cfRule>
    <cfRule type="cellIs" dxfId="875" priority="175" stopIfTrue="1" operator="between">
      <formula>3</formula>
      <formula>3.9</formula>
    </cfRule>
    <cfRule type="cellIs" dxfId="874" priority="176" stopIfTrue="1" operator="between">
      <formula>4</formula>
      <formula>5</formula>
    </cfRule>
  </conditionalFormatting>
  <conditionalFormatting sqref="F5:F40">
    <cfRule type="expression" dxfId="873" priority="168">
      <formula>$H5&lt;#REF!</formula>
    </cfRule>
    <cfRule type="expression" dxfId="872" priority="169">
      <formula>$H5&gt;=#REF!</formula>
    </cfRule>
  </conditionalFormatting>
  <conditionalFormatting sqref="E5:E40">
    <cfRule type="expression" dxfId="871" priority="161">
      <formula>$D5=3</formula>
    </cfRule>
    <cfRule type="expression" dxfId="870" priority="162">
      <formula>$D5=4</formula>
    </cfRule>
    <cfRule type="expression" dxfId="869" priority="163">
      <formula>$D5=5</formula>
    </cfRule>
    <cfRule type="expression" dxfId="868" priority="164">
      <formula>$D5=8</formula>
    </cfRule>
    <cfRule type="expression" dxfId="867" priority="165">
      <formula>$D5=7</formula>
    </cfRule>
    <cfRule type="expression" dxfId="866" priority="166">
      <formula>$D5=6</formula>
    </cfRule>
  </conditionalFormatting>
  <conditionalFormatting sqref="C13:C18">
    <cfRule type="cellIs" dxfId="865" priority="157" operator="equal">
      <formula>""</formula>
    </cfRule>
    <cfRule type="expression" dxfId="864" priority="158" stopIfTrue="1">
      <formula>B13=8</formula>
    </cfRule>
    <cfRule type="expression" dxfId="863" priority="159" stopIfTrue="1">
      <formula>B13=7</formula>
    </cfRule>
    <cfRule type="expression" dxfId="862" priority="160" stopIfTrue="1">
      <formula>B13=6</formula>
    </cfRule>
  </conditionalFormatting>
  <conditionalFormatting sqref="C35:C40">
    <cfRule type="expression" dxfId="861" priority="154" stopIfTrue="1">
      <formula>B35=3</formula>
    </cfRule>
    <cfRule type="expression" dxfId="860" priority="155" stopIfTrue="1">
      <formula>B35=4</formula>
    </cfRule>
    <cfRule type="expression" dxfId="859" priority="156" stopIfTrue="1">
      <formula>B35=5</formula>
    </cfRule>
  </conditionalFormatting>
  <conditionalFormatting sqref="C35:C40">
    <cfRule type="cellIs" dxfId="858" priority="150" operator="equal">
      <formula>""</formula>
    </cfRule>
    <cfRule type="expression" dxfId="857" priority="151" stopIfTrue="1">
      <formula>B35=8</formula>
    </cfRule>
    <cfRule type="expression" dxfId="856" priority="152" stopIfTrue="1">
      <formula>B35=7</formula>
    </cfRule>
    <cfRule type="expression" dxfId="855" priority="153" stopIfTrue="1">
      <formula>B35=6</formula>
    </cfRule>
  </conditionalFormatting>
  <conditionalFormatting sqref="G42:G46">
    <cfRule type="cellIs" dxfId="854" priority="149" operator="notEqual">
      <formula>""</formula>
    </cfRule>
  </conditionalFormatting>
  <conditionalFormatting sqref="S7:U7 S9:U9 S11:U11">
    <cfRule type="cellIs" dxfId="853" priority="148" operator="equal">
      <formula>0</formula>
    </cfRule>
  </conditionalFormatting>
  <conditionalFormatting sqref="V13 V15">
    <cfRule type="cellIs" dxfId="852" priority="147" operator="equal">
      <formula>0</formula>
    </cfRule>
  </conditionalFormatting>
  <conditionalFormatting sqref="R13 R15">
    <cfRule type="cellIs" dxfId="851" priority="146" operator="equal">
      <formula>0</formula>
    </cfRule>
  </conditionalFormatting>
  <conditionalFormatting sqref="R7 R9 R11">
    <cfRule type="cellIs" dxfId="850" priority="145" operator="equal">
      <formula>0</formula>
    </cfRule>
  </conditionalFormatting>
  <conditionalFormatting sqref="V7 V9 V11">
    <cfRule type="cellIs" dxfId="849" priority="144" operator="equal">
      <formula>0</formula>
    </cfRule>
  </conditionalFormatting>
  <conditionalFormatting sqref="S13:U13 S15:U15">
    <cfRule type="cellIs" dxfId="848" priority="143" operator="equal">
      <formula>0</formula>
    </cfRule>
  </conditionalFormatting>
  <conditionalFormatting sqref="R6">
    <cfRule type="cellIs" dxfId="847" priority="142" operator="equal">
      <formula>0</formula>
    </cfRule>
  </conditionalFormatting>
  <conditionalFormatting sqref="V6">
    <cfRule type="cellIs" dxfId="846" priority="141" operator="equal">
      <formula>0</formula>
    </cfRule>
  </conditionalFormatting>
  <conditionalFormatting sqref="I5:I40">
    <cfRule type="cellIs" dxfId="845" priority="138" stopIfTrue="1" operator="between">
      <formula>"D-3"</formula>
      <formula>"E-5"</formula>
    </cfRule>
    <cfRule type="cellIs" dxfId="844" priority="139" stopIfTrue="1" operator="between">
      <formula>"B-2"</formula>
      <formula>"B-3"</formula>
    </cfRule>
    <cfRule type="cellIs" dxfId="843" priority="140" stopIfTrue="1" operator="between">
      <formula>"A-1"</formula>
      <formula>"A-2"</formula>
    </cfRule>
  </conditionalFormatting>
  <conditionalFormatting sqref="I5:I40">
    <cfRule type="cellIs" dxfId="842" priority="136" operator="equal">
      <formula>"E-5-"</formula>
    </cfRule>
    <cfRule type="cellIs" dxfId="841" priority="137" operator="equal">
      <formula>"A-1+"</formula>
    </cfRule>
  </conditionalFormatting>
  <conditionalFormatting sqref="C42:C46">
    <cfRule type="cellIs" dxfId="840" priority="128" operator="notEqual">
      <formula>""</formula>
    </cfRule>
  </conditionalFormatting>
  <conditionalFormatting sqref="L34:L40">
    <cfRule type="cellIs" dxfId="839" priority="125" stopIfTrue="1" operator="between">
      <formula>0.1</formula>
      <formula>1.9</formula>
    </cfRule>
    <cfRule type="cellIs" dxfId="838" priority="126" stopIfTrue="1" operator="between">
      <formula>3</formula>
      <formula>3.9</formula>
    </cfRule>
    <cfRule type="cellIs" dxfId="837" priority="127" stopIfTrue="1" operator="between">
      <formula>4</formula>
      <formula>5</formula>
    </cfRule>
  </conditionalFormatting>
  <conditionalFormatting sqref="L33">
    <cfRule type="cellIs" dxfId="836" priority="122" stopIfTrue="1" operator="between">
      <formula>0.1</formula>
      <formula>1.9</formula>
    </cfRule>
    <cfRule type="cellIs" dxfId="835" priority="123" stopIfTrue="1" operator="between">
      <formula>3</formula>
      <formula>3.9</formula>
    </cfRule>
    <cfRule type="cellIs" dxfId="834" priority="124" stopIfTrue="1" operator="between">
      <formula>4</formula>
      <formula>5</formula>
    </cfRule>
  </conditionalFormatting>
  <conditionalFormatting sqref="K33:K40">
    <cfRule type="cellIs" dxfId="833" priority="106" operator="equal">
      <formula>""</formula>
    </cfRule>
  </conditionalFormatting>
  <conditionalFormatting sqref="L33:L40">
    <cfRule type="cellIs" dxfId="832" priority="105" operator="equal">
      <formula>""</formula>
    </cfRule>
  </conditionalFormatting>
  <conditionalFormatting sqref="J5:J40">
    <cfRule type="cellIs" dxfId="831" priority="99" operator="equal">
      <formula>"*"</formula>
    </cfRule>
    <cfRule type="cellIs" dxfId="830" priority="100" operator="equal">
      <formula>"!"</formula>
    </cfRule>
  </conditionalFormatting>
  <conditionalFormatting sqref="N5:N40">
    <cfRule type="cellIs" dxfId="829" priority="97" operator="equal">
      <formula>"*"</formula>
    </cfRule>
    <cfRule type="cellIs" dxfId="828" priority="98" operator="equal">
      <formula>"!"</formula>
    </cfRule>
  </conditionalFormatting>
  <conditionalFormatting sqref="M5:M40">
    <cfRule type="cellIs" dxfId="827" priority="94" stopIfTrue="1" operator="between">
      <formula>"D-3"</formula>
      <formula>"E-5"</formula>
    </cfRule>
    <cfRule type="cellIs" dxfId="826" priority="95" stopIfTrue="1" operator="between">
      <formula>"B-2"</formula>
      <formula>"B-3"</formula>
    </cfRule>
    <cfRule type="cellIs" dxfId="825" priority="96" stopIfTrue="1" operator="between">
      <formula>"A-1"</formula>
      <formula>"A-2"</formula>
    </cfRule>
  </conditionalFormatting>
  <conditionalFormatting sqref="M5:M40">
    <cfRule type="cellIs" dxfId="824" priority="92" operator="equal">
      <formula>"E-5-"</formula>
    </cfRule>
    <cfRule type="cellIs" dxfId="823" priority="93" operator="equal">
      <formula>"A-1+"</formula>
    </cfRule>
  </conditionalFormatting>
  <conditionalFormatting sqref="C12">
    <cfRule type="expression" dxfId="822" priority="75" stopIfTrue="1">
      <formula>B12=3</formula>
    </cfRule>
    <cfRule type="expression" dxfId="821" priority="76" stopIfTrue="1">
      <formula>B12=4</formula>
    </cfRule>
    <cfRule type="expression" dxfId="820" priority="77" stopIfTrue="1">
      <formula>B12=5</formula>
    </cfRule>
  </conditionalFormatting>
  <conditionalFormatting sqref="C12">
    <cfRule type="cellIs" dxfId="819" priority="71" operator="equal">
      <formula>""</formula>
    </cfRule>
    <cfRule type="expression" dxfId="818" priority="72" stopIfTrue="1">
      <formula>B12=8</formula>
    </cfRule>
    <cfRule type="expression" dxfId="817" priority="73" stopIfTrue="1">
      <formula>B12=7</formula>
    </cfRule>
    <cfRule type="expression" dxfId="816" priority="74" stopIfTrue="1">
      <formula>B12=6</formula>
    </cfRule>
  </conditionalFormatting>
  <conditionalFormatting sqref="C7:C11">
    <cfRule type="expression" dxfId="815" priority="68" stopIfTrue="1">
      <formula>B7=3</formula>
    </cfRule>
    <cfRule type="expression" dxfId="814" priority="69" stopIfTrue="1">
      <formula>B7=4</formula>
    </cfRule>
    <cfRule type="expression" dxfId="813" priority="70" stopIfTrue="1">
      <formula>B7=5</formula>
    </cfRule>
  </conditionalFormatting>
  <conditionalFormatting sqref="C7:C11">
    <cfRule type="cellIs" dxfId="812" priority="64" operator="equal">
      <formula>""</formula>
    </cfRule>
    <cfRule type="expression" dxfId="811" priority="65" stopIfTrue="1">
      <formula>B7=8</formula>
    </cfRule>
    <cfRule type="expression" dxfId="810" priority="66" stopIfTrue="1">
      <formula>B7=7</formula>
    </cfRule>
    <cfRule type="expression" dxfId="809" priority="67" stopIfTrue="1">
      <formula>B7=6</formula>
    </cfRule>
  </conditionalFormatting>
  <conditionalFormatting sqref="C29:C34">
    <cfRule type="expression" dxfId="808" priority="48" stopIfTrue="1">
      <formula>B29=3</formula>
    </cfRule>
    <cfRule type="expression" dxfId="807" priority="49" stopIfTrue="1">
      <formula>B29=4</formula>
    </cfRule>
    <cfRule type="expression" dxfId="806" priority="50" stopIfTrue="1">
      <formula>B29=5</formula>
    </cfRule>
  </conditionalFormatting>
  <conditionalFormatting sqref="C29:C34">
    <cfRule type="cellIs" dxfId="805" priority="44" operator="equal">
      <formula>""</formula>
    </cfRule>
    <cfRule type="expression" dxfId="804" priority="45" stopIfTrue="1">
      <formula>B29=8</formula>
    </cfRule>
    <cfRule type="expression" dxfId="803" priority="46" stopIfTrue="1">
      <formula>B29=7</formula>
    </cfRule>
    <cfRule type="expression" dxfId="802" priority="47" stopIfTrue="1">
      <formula>B29=6</formula>
    </cfRule>
  </conditionalFormatting>
  <conditionalFormatting sqref="L31:L32">
    <cfRule type="cellIs" dxfId="801" priority="41" stopIfTrue="1" operator="between">
      <formula>0.1</formula>
      <formula>1.9</formula>
    </cfRule>
    <cfRule type="cellIs" dxfId="800" priority="42" stopIfTrue="1" operator="between">
      <formula>3</formula>
      <formula>3.9</formula>
    </cfRule>
    <cfRule type="cellIs" dxfId="799" priority="43" stopIfTrue="1" operator="between">
      <formula>4</formula>
      <formula>5</formula>
    </cfRule>
  </conditionalFormatting>
  <conditionalFormatting sqref="L27:L31">
    <cfRule type="cellIs" dxfId="798" priority="38" stopIfTrue="1" operator="between">
      <formula>0.1</formula>
      <formula>1.9</formula>
    </cfRule>
    <cfRule type="cellIs" dxfId="797" priority="39" stopIfTrue="1" operator="between">
      <formula>3</formula>
      <formula>3.9</formula>
    </cfRule>
    <cfRule type="cellIs" dxfId="796" priority="40" stopIfTrue="1" operator="between">
      <formula>4</formula>
      <formula>5</formula>
    </cfRule>
  </conditionalFormatting>
  <conditionalFormatting sqref="L24:L30">
    <cfRule type="cellIs" dxfId="795" priority="35" stopIfTrue="1" operator="between">
      <formula>0.1</formula>
      <formula>1.9</formula>
    </cfRule>
    <cfRule type="cellIs" dxfId="794" priority="36" stopIfTrue="1" operator="between">
      <formula>3</formula>
      <formula>3.9</formula>
    </cfRule>
    <cfRule type="cellIs" dxfId="793" priority="37" stopIfTrue="1" operator="between">
      <formula>4</formula>
      <formula>5</formula>
    </cfRule>
  </conditionalFormatting>
  <conditionalFormatting sqref="L5:L24">
    <cfRule type="cellIs" dxfId="792" priority="32" stopIfTrue="1" operator="between">
      <formula>0.1</formula>
      <formula>1.9</formula>
    </cfRule>
    <cfRule type="cellIs" dxfId="791" priority="33" stopIfTrue="1" operator="between">
      <formula>3</formula>
      <formula>3.9</formula>
    </cfRule>
    <cfRule type="cellIs" dxfId="790" priority="34" stopIfTrue="1" operator="between">
      <formula>4</formula>
      <formula>5</formula>
    </cfRule>
  </conditionalFormatting>
  <conditionalFormatting sqref="L5:L25">
    <cfRule type="cellIs" dxfId="789" priority="29" stopIfTrue="1" operator="between">
      <formula>0.1</formula>
      <formula>1.9</formula>
    </cfRule>
    <cfRule type="cellIs" dxfId="788" priority="30" stopIfTrue="1" operator="between">
      <formula>3</formula>
      <formula>3.9</formula>
    </cfRule>
    <cfRule type="cellIs" dxfId="787" priority="31" stopIfTrue="1" operator="between">
      <formula>4</formula>
      <formula>5</formula>
    </cfRule>
  </conditionalFormatting>
  <conditionalFormatting sqref="L5:L32">
    <cfRule type="cellIs" dxfId="786" priority="28" operator="equal">
      <formula>""</formula>
    </cfRule>
  </conditionalFormatting>
  <conditionalFormatting sqref="L29">
    <cfRule type="cellIs" dxfId="785" priority="4" stopIfTrue="1" operator="between">
      <formula>0.1</formula>
      <formula>1.9</formula>
    </cfRule>
    <cfRule type="cellIs" dxfId="784" priority="5" stopIfTrue="1" operator="between">
      <formula>3</formula>
      <formula>3.9</formula>
    </cfRule>
    <cfRule type="cellIs" dxfId="783" priority="6" stopIfTrue="1" operator="between">
      <formula>4</formula>
      <formula>5</formula>
    </cfRule>
  </conditionalFormatting>
  <dataValidations count="10">
    <dataValidation type="list" allowBlank="1" showInputMessage="1" showErrorMessage="1" sqref="C46 G46" xr:uid="{00000000-0002-0000-2700-000000000000}">
      <formula1>"vrijdag,"</formula1>
    </dataValidation>
    <dataValidation type="list" allowBlank="1" showInputMessage="1" showErrorMessage="1" sqref="C45 G45" xr:uid="{00000000-0002-0000-2700-000001000000}">
      <formula1>"donderdag,"</formula1>
    </dataValidation>
    <dataValidation type="list" allowBlank="1" showInputMessage="1" showErrorMessage="1" sqref="C44 G44" xr:uid="{00000000-0002-0000-2700-000002000000}">
      <formula1>"woensdag,"</formula1>
    </dataValidation>
    <dataValidation type="list" allowBlank="1" showInputMessage="1" showErrorMessage="1" sqref="C43 G43" xr:uid="{00000000-0002-0000-2700-000003000000}">
      <formula1>"dinsdag,"</formula1>
    </dataValidation>
    <dataValidation type="list" allowBlank="1" showInputMessage="1" showErrorMessage="1" sqref="C42 G42" xr:uid="{00000000-0002-0000-2700-000004000000}">
      <formula1>"maandag,"</formula1>
    </dataValidation>
    <dataValidation type="list" allowBlank="1" showInputMessage="1" showErrorMessage="1" sqref="B7:B18 B29:B40" xr:uid="{00000000-0002-0000-27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700-000006000000}">
      <formula1>2</formula1>
    </dataValidation>
    <dataValidation allowBlank="1" showInputMessage="1" showErrorMessage="1" promptTitle="Pulldown venster" prompt="groeps  HP: -_x000a_indiv.    HP:#_x000a_hele groep: $" sqref="C7:C17 C29:C39" xr:uid="{00000000-0002-0000-2700-000007000000}"/>
    <dataValidation allowBlank="1" showInputMessage="1" showErrorMessage="1" promptTitle="Pulldown menu" prompt="groeps  HP: -_x000a_indiv.    HP:#_x000a_hele groep: $" sqref="C18 C40" xr:uid="{00000000-0002-0000-2700-000008000000}"/>
    <dataValidation allowBlank="1" showInputMessage="1" showErrorMessage="1" promptTitle="Nieuwe regel:" prompt="druk op Alt-Enter" sqref="P15 P28 P17 P26 P37 P39" xr:uid="{00000000-0002-0000-2700-000009000000}"/>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CCFFFF"/>
    <pageSetUpPr fitToPage="1"/>
  </sheetPr>
  <dimension ref="A1:AA189"/>
  <sheetViews>
    <sheetView showGridLines="0" showRowColHeaders="0" zoomScale="90" zoomScaleNormal="90" workbookViewId="0"/>
  </sheetViews>
  <sheetFormatPr defaultColWidth="9.140625" defaultRowHeight="12.75" x14ac:dyDescent="0.2"/>
  <cols>
    <col min="1" max="1" width="3.140625" style="69" customWidth="1"/>
    <col min="2" max="2" width="3.140625" style="70" bestFit="1" customWidth="1"/>
    <col min="3" max="3" width="11.85546875" style="74" bestFit="1" customWidth="1"/>
    <col min="4" max="4" width="3.140625" style="75" customWidth="1"/>
    <col min="5" max="5" width="5.85546875" style="74" customWidth="1"/>
    <col min="6" max="6" width="20.85546875" style="74" customWidth="1"/>
    <col min="7" max="7" width="5.85546875" style="74" customWidth="1"/>
    <col min="8" max="9" width="5.85546875" style="76" customWidth="1"/>
    <col min="10" max="10" width="3.140625" style="76" customWidth="1"/>
    <col min="11" max="11" width="5.85546875" style="76" customWidth="1"/>
    <col min="12" max="12" width="5.85546875" style="74" customWidth="1"/>
    <col min="13" max="13" width="5.85546875" style="69" customWidth="1"/>
    <col min="14" max="14" width="3.140625" style="69" customWidth="1"/>
    <col min="15" max="15" width="4.85546875" style="69" bestFit="1" customWidth="1"/>
    <col min="16" max="16" width="60.85546875" style="69" customWidth="1"/>
    <col min="17" max="17" width="6.85546875" style="69" customWidth="1"/>
    <col min="18" max="22" width="7.140625" style="73" customWidth="1"/>
    <col min="23" max="25" width="6.85546875" style="73" customWidth="1"/>
    <col min="26" max="26" width="6.140625" style="73" customWidth="1"/>
    <col min="27" max="27" width="9.140625" style="73"/>
    <col min="28" max="16384" width="9.140625" style="69"/>
  </cols>
  <sheetData>
    <row r="1" spans="1:24" s="66" customFormat="1" ht="30" customHeight="1" thickBot="1" x14ac:dyDescent="0.45">
      <c r="B1" s="615"/>
      <c r="C1" s="1128" t="s">
        <v>309</v>
      </c>
      <c r="D1" s="1129"/>
      <c r="E1" s="1129"/>
      <c r="F1" s="1129"/>
      <c r="G1" s="1129"/>
      <c r="H1" s="1129"/>
      <c r="I1" s="1129"/>
      <c r="J1" s="1129"/>
      <c r="K1" s="1230">
        <f>BEGINBLAD!$I$2</f>
        <v>0</v>
      </c>
      <c r="L1" s="1230"/>
      <c r="M1" s="1230"/>
      <c r="N1" s="1230"/>
      <c r="O1" s="1230"/>
      <c r="P1" s="67"/>
      <c r="X1" s="68"/>
    </row>
    <row r="2" spans="1:24" ht="24" customHeight="1" x14ac:dyDescent="0.2">
      <c r="C2" s="1130" t="str">
        <f>BEGINBLAD!$S$2</f>
        <v>mei.</v>
      </c>
      <c r="D2" s="1130"/>
      <c r="E2" s="241"/>
      <c r="F2" s="691" t="str">
        <f>BEGINBLAD!$T$2</f>
        <v>okt.</v>
      </c>
      <c r="G2" s="1131">
        <f>BEGINBLAD!$P$2</f>
        <v>2021</v>
      </c>
      <c r="H2" s="1131"/>
      <c r="I2" s="1131"/>
      <c r="M2" s="71"/>
      <c r="N2" s="72"/>
      <c r="O2" s="72"/>
    </row>
    <row r="3" spans="1:24" ht="13.5" thickBot="1" x14ac:dyDescent="0.25">
      <c r="M3" s="77"/>
      <c r="N3" s="77"/>
      <c r="O3" s="77"/>
      <c r="P3" s="77"/>
    </row>
    <row r="4" spans="1:24" ht="140.1" customHeight="1" x14ac:dyDescent="0.2">
      <c r="C4" s="78"/>
      <c r="D4" s="79"/>
      <c r="E4" s="80"/>
      <c r="F4" s="81" t="s">
        <v>44</v>
      </c>
      <c r="G4" s="82" t="s">
        <v>301</v>
      </c>
      <c r="H4" s="83" t="s">
        <v>307</v>
      </c>
      <c r="I4" s="84" t="s">
        <v>268</v>
      </c>
      <c r="J4" s="235"/>
      <c r="K4" s="82" t="s">
        <v>301</v>
      </c>
      <c r="L4" s="86" t="s">
        <v>308</v>
      </c>
      <c r="M4" s="84" t="s">
        <v>268</v>
      </c>
      <c r="N4" s="235"/>
      <c r="O4" s="88"/>
    </row>
    <row r="5" spans="1:24" ht="19.5" customHeight="1" x14ac:dyDescent="0.2">
      <c r="A5" s="89"/>
      <c r="B5" s="1132" t="s">
        <v>43</v>
      </c>
      <c r="C5" s="90" t="s">
        <v>198</v>
      </c>
      <c r="D5" s="91">
        <v>0</v>
      </c>
      <c r="E5" s="92">
        <v>1</v>
      </c>
      <c r="F5" s="165" t="str">
        <f>BEGINBLAD!C4</f>
        <v>leelring 1</v>
      </c>
      <c r="G5" s="94">
        <f>'NIVEAU WAARDE - 1e toetsperiode'!E9</f>
        <v>2.6</v>
      </c>
      <c r="H5" s="95">
        <f>'NIVEAU WAARDE - 2e toetsperiode'!E9</f>
        <v>4</v>
      </c>
      <c r="I5" s="96" t="str">
        <f>IF(H5=0,"",IF(H5&gt;4.5,"A-1+",IF(H5&gt;4,"A-1",IF(H5&gt;=4,"A-2",IF(H5&gt;3.4,"B-2",IF(H5&gt;=3,"B-3",IF(H5&gt;2.5,"C-3",IF(H5&gt;=2,"C-4",IF(H5&gt;1.6,"D-4",IF(H5&gt;=1,"D-5",IF(H5&gt;0.5,"E-5",IF(H5&gt;=0,"E-5-"))))))))))))</f>
        <v>A-2</v>
      </c>
      <c r="J5" s="236" t="str">
        <f>IF(H5=0,"",IF(G5-H5&gt;0.5,"!",IF(H5-G5&gt;0.5,"*",IF(H5-G5&lt;=0.5,""))))</f>
        <v>*</v>
      </c>
      <c r="K5" s="435">
        <f>'SPELLEN - 1e periode'!L5</f>
        <v>2.5</v>
      </c>
      <c r="L5" s="97">
        <v>3.7</v>
      </c>
      <c r="M5" s="96" t="str">
        <f>IF(L5=0,"",IF(L5&gt;4.5,"A-1+",IF(L5&gt;4,"A-1",IF(L5&gt;=4,"A-2",IF(L5&gt;3.4,"B-2",IF(L5&gt;=3,"B-3",IF(L5&gt;2.5,"C-3",IF(L5&gt;=2,"C-4",IF(L5&gt;1.6,"D-4",IF(L5&gt;=1,"D-5",IF(L5&gt;0.5,"E-5",IF(L5&gt;=0,"E-5-"))))))))))))</f>
        <v>B-2</v>
      </c>
      <c r="N5" s="236" t="str">
        <f>IF(L5=0,"",IF(K5-L5&gt;0.5,"!",IF(L5-K5&gt;0.5,"*",IF(L5-K5&lt;=0.5,""))))</f>
        <v>*</v>
      </c>
      <c r="O5" s="100"/>
    </row>
    <row r="6" spans="1:24" ht="19.5" customHeight="1" x14ac:dyDescent="0.2">
      <c r="A6" s="89"/>
      <c r="B6" s="1132"/>
      <c r="C6" s="101" t="s">
        <v>200</v>
      </c>
      <c r="D6" s="91">
        <v>0</v>
      </c>
      <c r="E6" s="92">
        <v>2</v>
      </c>
      <c r="F6" s="93" t="str">
        <f>BEGINBLAD!C5</f>
        <v>leerling 2</v>
      </c>
      <c r="G6" s="94">
        <f>'NIVEAU WAARDE - 1e toetsperiode'!E10</f>
        <v>1.2</v>
      </c>
      <c r="H6" s="95">
        <f>'NIVEAU WAARDE - 2e toetsperiode'!E10</f>
        <v>4.3</v>
      </c>
      <c r="I6" s="96" t="str">
        <f t="shared" ref="I6:I40" si="0">IF(H6=0,"",IF(H6&gt;4.5,"A-1+",IF(H6&gt;4,"A-1",IF(H6&gt;=4,"A-2",IF(H6&gt;3.4,"B-2",IF(H6&gt;=3,"B-3",IF(H6&gt;2.5,"C-3",IF(H6&gt;=2,"C-4",IF(H6&gt;1.6,"D-4",IF(H6&gt;=1,"D-5",IF(H6&gt;0.5,"E-5",IF(H6&gt;=0,"E-5-"))))))))))))</f>
        <v>A-1</v>
      </c>
      <c r="J6" s="236" t="str">
        <f t="shared" ref="J6:J40" si="1">IF(H6=0,"",IF(G6-H6&gt;0.5,"!",IF(H6-G6&gt;0.5,"*",IF(H6-G6&lt;=0.5,""))))</f>
        <v>*</v>
      </c>
      <c r="K6" s="435">
        <f>'SPELLEN - 1e periode'!L6</f>
        <v>3.5</v>
      </c>
      <c r="L6" s="97">
        <v>4.4000000000000004</v>
      </c>
      <c r="M6" s="96" t="str">
        <f t="shared" ref="M6:M40" si="2">IF(L6=0,"",IF(L6&gt;4.5,"A-1+",IF(L6&gt;4,"A-1",IF(L6&gt;=4,"A-2",IF(L6&gt;3.4,"B-2",IF(L6&gt;=3,"B-3",IF(L6&gt;2.5,"C-3",IF(L6&gt;=2,"C-4",IF(L6&gt;1.6,"D-4",IF(L6&gt;=1,"D-5",IF(L6&gt;0.5,"E-5",IF(L6&gt;=0,"E-5-"))))))))))))</f>
        <v>A-1</v>
      </c>
      <c r="N6" s="236" t="str">
        <f t="shared" ref="N6:N40" si="3">IF(L6=0,"",IF(K6-L6&gt;0.5,"!",IF(L6-K6&gt;0.5,"*",IF(L6-K6&lt;=0.5,""))))</f>
        <v>*</v>
      </c>
      <c r="O6" s="100"/>
      <c r="R6" s="147"/>
      <c r="S6" s="147"/>
      <c r="T6" s="147"/>
      <c r="U6" s="147"/>
      <c r="V6" s="147"/>
    </row>
    <row r="7" spans="1:24" ht="19.5" customHeight="1" x14ac:dyDescent="0.2">
      <c r="A7" s="102"/>
      <c r="B7" s="326"/>
      <c r="C7" s="328"/>
      <c r="D7" s="91">
        <v>0</v>
      </c>
      <c r="E7" s="92">
        <v>3</v>
      </c>
      <c r="F7" s="93" t="str">
        <f>BEGINBLAD!C6</f>
        <v>leerling 3</v>
      </c>
      <c r="G7" s="94">
        <f>'NIVEAU WAARDE - 1e toetsperiode'!E11</f>
        <v>1.7</v>
      </c>
      <c r="H7" s="95">
        <f>'NIVEAU WAARDE - 2e toetsperiode'!E11</f>
        <v>4</v>
      </c>
      <c r="I7" s="96" t="str">
        <f t="shared" si="0"/>
        <v>A-2</v>
      </c>
      <c r="J7" s="236" t="str">
        <f t="shared" si="1"/>
        <v>*</v>
      </c>
      <c r="K7" s="435">
        <f>'SPELLEN - 1e periode'!L7</f>
        <v>2.5</v>
      </c>
      <c r="L7" s="97">
        <v>3.4</v>
      </c>
      <c r="M7" s="96" t="str">
        <f t="shared" si="2"/>
        <v>B-3</v>
      </c>
      <c r="N7" s="236" t="str">
        <f t="shared" si="3"/>
        <v>*</v>
      </c>
      <c r="O7" s="100"/>
      <c r="R7" s="148"/>
      <c r="S7" s="148"/>
      <c r="T7" s="148"/>
      <c r="U7" s="148"/>
      <c r="V7" s="148"/>
    </row>
    <row r="8" spans="1:24" ht="19.5" customHeight="1" x14ac:dyDescent="0.2">
      <c r="A8" s="102"/>
      <c r="B8" s="326"/>
      <c r="C8" s="328"/>
      <c r="D8" s="105">
        <v>0</v>
      </c>
      <c r="E8" s="92">
        <v>4</v>
      </c>
      <c r="F8" s="93" t="str">
        <f>BEGINBLAD!C7</f>
        <v>leerling 4</v>
      </c>
      <c r="G8" s="94">
        <f>'NIVEAU WAARDE - 1e toetsperiode'!E12</f>
        <v>3.2</v>
      </c>
      <c r="H8" s="95">
        <f>'NIVEAU WAARDE - 2e toetsperiode'!E12</f>
        <v>3.8</v>
      </c>
      <c r="I8" s="96" t="str">
        <f t="shared" si="0"/>
        <v>B-2</v>
      </c>
      <c r="J8" s="236" t="str">
        <f t="shared" si="1"/>
        <v>*</v>
      </c>
      <c r="K8" s="435">
        <f>'SPELLEN - 1e periode'!L8</f>
        <v>0</v>
      </c>
      <c r="L8" s="106">
        <v>4.0999999999999996</v>
      </c>
      <c r="M8" s="96" t="str">
        <f t="shared" si="2"/>
        <v>A-1</v>
      </c>
      <c r="N8" s="236" t="str">
        <f t="shared" si="3"/>
        <v>*</v>
      </c>
      <c r="O8" s="107"/>
      <c r="R8" s="836"/>
      <c r="S8" s="148"/>
      <c r="T8" s="148"/>
      <c r="U8" s="148"/>
      <c r="V8" s="148"/>
    </row>
    <row r="9" spans="1:24" ht="19.5" customHeight="1" x14ac:dyDescent="0.2">
      <c r="A9" s="102"/>
      <c r="B9" s="326"/>
      <c r="C9" s="328"/>
      <c r="D9" s="108">
        <v>0</v>
      </c>
      <c r="E9" s="92">
        <v>5</v>
      </c>
      <c r="F9" s="93" t="str">
        <f>BEGINBLAD!C8</f>
        <v>leerling 5</v>
      </c>
      <c r="G9" s="94">
        <f>'NIVEAU WAARDE - 1e toetsperiode'!E13</f>
        <v>4.7</v>
      </c>
      <c r="H9" s="95">
        <f>'NIVEAU WAARDE - 2e toetsperiode'!E13</f>
        <v>3.8</v>
      </c>
      <c r="I9" s="96" t="str">
        <f t="shared" si="0"/>
        <v>B-2</v>
      </c>
      <c r="J9" s="236" t="str">
        <f t="shared" si="1"/>
        <v>!</v>
      </c>
      <c r="K9" s="435">
        <f>'SPELLEN - 1e periode'!L9</f>
        <v>2.4</v>
      </c>
      <c r="L9" s="106">
        <v>3</v>
      </c>
      <c r="M9" s="96" t="str">
        <f t="shared" si="2"/>
        <v>B-3</v>
      </c>
      <c r="N9" s="236" t="str">
        <f t="shared" si="3"/>
        <v>*</v>
      </c>
      <c r="O9" s="110"/>
      <c r="R9" s="836"/>
      <c r="S9" s="148"/>
      <c r="T9" s="148"/>
      <c r="U9" s="148"/>
      <c r="V9" s="148"/>
    </row>
    <row r="10" spans="1:24" ht="19.5" customHeight="1" x14ac:dyDescent="0.2">
      <c r="A10" s="102"/>
      <c r="B10" s="326"/>
      <c r="C10" s="328"/>
      <c r="D10" s="111">
        <v>0</v>
      </c>
      <c r="E10" s="92">
        <v>6</v>
      </c>
      <c r="F10" s="93" t="str">
        <f>BEGINBLAD!C9</f>
        <v>leerling 6</v>
      </c>
      <c r="G10" s="94">
        <f>'NIVEAU WAARDE - 1e toetsperiode'!E14</f>
        <v>2.2000000000000002</v>
      </c>
      <c r="H10" s="95">
        <f>'NIVEAU WAARDE - 2e toetsperiode'!E14</f>
        <v>1.1000000000000001</v>
      </c>
      <c r="I10" s="96" t="str">
        <f t="shared" si="0"/>
        <v>D-5</v>
      </c>
      <c r="J10" s="236" t="str">
        <f t="shared" si="1"/>
        <v>!</v>
      </c>
      <c r="K10" s="435">
        <f>'SPELLEN - 1e periode'!L10</f>
        <v>1.4</v>
      </c>
      <c r="L10" s="106">
        <v>3.6</v>
      </c>
      <c r="M10" s="96" t="str">
        <f t="shared" si="2"/>
        <v>B-2</v>
      </c>
      <c r="N10" s="236" t="str">
        <f t="shared" si="3"/>
        <v>*</v>
      </c>
      <c r="O10" s="112"/>
      <c r="R10" s="836"/>
      <c r="S10" s="148"/>
      <c r="T10" s="148"/>
      <c r="U10" s="148"/>
      <c r="V10" s="148"/>
    </row>
    <row r="11" spans="1:24" ht="19.5" customHeight="1" x14ac:dyDescent="0.2">
      <c r="A11" s="102"/>
      <c r="B11" s="103"/>
      <c r="C11" s="689"/>
      <c r="D11" s="111">
        <v>0</v>
      </c>
      <c r="E11" s="92">
        <v>7</v>
      </c>
      <c r="F11" s="93" t="str">
        <f>BEGINBLAD!C10</f>
        <v>leerling 7</v>
      </c>
      <c r="G11" s="94">
        <f>'NIVEAU WAARDE - 1e toetsperiode'!E15</f>
        <v>3.7</v>
      </c>
      <c r="H11" s="95">
        <f>'NIVEAU WAARDE - 2e toetsperiode'!E15</f>
        <v>4.8</v>
      </c>
      <c r="I11" s="96" t="str">
        <f t="shared" si="0"/>
        <v>A-1+</v>
      </c>
      <c r="J11" s="236" t="str">
        <f t="shared" si="1"/>
        <v>*</v>
      </c>
      <c r="K11" s="435">
        <f>'SPELLEN - 1e periode'!L11</f>
        <v>3.8</v>
      </c>
      <c r="L11" s="106">
        <v>2.4</v>
      </c>
      <c r="M11" s="96" t="str">
        <f t="shared" si="2"/>
        <v>C-4</v>
      </c>
      <c r="N11" s="236" t="str">
        <f t="shared" si="3"/>
        <v>!</v>
      </c>
      <c r="O11" s="77"/>
      <c r="R11" s="836"/>
      <c r="S11" s="148"/>
      <c r="T11" s="148"/>
      <c r="U11" s="148"/>
      <c r="V11" s="148"/>
    </row>
    <row r="12" spans="1:24" ht="19.5" customHeight="1" x14ac:dyDescent="0.2">
      <c r="A12" s="102"/>
      <c r="B12" s="103"/>
      <c r="C12" s="689"/>
      <c r="D12" s="91">
        <v>0</v>
      </c>
      <c r="E12" s="92">
        <v>8</v>
      </c>
      <c r="F12" s="93" t="str">
        <f>BEGINBLAD!C11</f>
        <v>leerling 8</v>
      </c>
      <c r="G12" s="94">
        <f>'NIVEAU WAARDE - 1e toetsperiode'!E16</f>
        <v>4.2</v>
      </c>
      <c r="H12" s="95">
        <f>'NIVEAU WAARDE - 2e toetsperiode'!E16</f>
        <v>4.7</v>
      </c>
      <c r="I12" s="96" t="str">
        <f t="shared" si="0"/>
        <v>A-1+</v>
      </c>
      <c r="J12" s="236" t="str">
        <f t="shared" si="1"/>
        <v/>
      </c>
      <c r="K12" s="435">
        <f>'SPELLEN - 1e periode'!L12</f>
        <v>2.7</v>
      </c>
      <c r="L12" s="106">
        <v>4.2</v>
      </c>
      <c r="M12" s="96" t="str">
        <f t="shared" si="2"/>
        <v>A-1</v>
      </c>
      <c r="N12" s="236" t="str">
        <f t="shared" si="3"/>
        <v>*</v>
      </c>
      <c r="O12" s="88"/>
      <c r="R12" s="836"/>
      <c r="S12" s="148"/>
      <c r="T12" s="148"/>
      <c r="U12" s="148"/>
      <c r="V12" s="148"/>
    </row>
    <row r="13" spans="1:24" ht="19.5" customHeight="1" x14ac:dyDescent="0.2">
      <c r="A13" s="102"/>
      <c r="B13" s="103"/>
      <c r="C13" s="689"/>
      <c r="D13" s="91">
        <v>0</v>
      </c>
      <c r="E13" s="92">
        <v>9</v>
      </c>
      <c r="F13" s="93" t="str">
        <f>BEGINBLAD!C12</f>
        <v>leerling 9</v>
      </c>
      <c r="G13" s="94">
        <f>'NIVEAU WAARDE - 1e toetsperiode'!E17</f>
        <v>1.9</v>
      </c>
      <c r="H13" s="95">
        <f>'NIVEAU WAARDE - 2e toetsperiode'!E17</f>
        <v>2.5</v>
      </c>
      <c r="I13" s="96" t="str">
        <f t="shared" si="0"/>
        <v>C-4</v>
      </c>
      <c r="J13" s="236" t="str">
        <f t="shared" si="1"/>
        <v>*</v>
      </c>
      <c r="K13" s="435">
        <f>'SPELLEN - 1e periode'!L13</f>
        <v>2.7</v>
      </c>
      <c r="L13" s="106">
        <v>4.4000000000000004</v>
      </c>
      <c r="M13" s="96" t="str">
        <f t="shared" si="2"/>
        <v>A-1</v>
      </c>
      <c r="N13" s="236" t="str">
        <f t="shared" si="3"/>
        <v>*</v>
      </c>
      <c r="O13" s="100"/>
      <c r="R13" s="836"/>
      <c r="S13" s="149"/>
      <c r="T13" s="149"/>
      <c r="U13" s="149"/>
      <c r="V13" s="149"/>
    </row>
    <row r="14" spans="1:24" ht="19.5" customHeight="1" thickBot="1" x14ac:dyDescent="0.25">
      <c r="A14" s="102"/>
      <c r="B14" s="103"/>
      <c r="C14" s="689"/>
      <c r="D14" s="91">
        <v>0</v>
      </c>
      <c r="E14" s="92">
        <v>10</v>
      </c>
      <c r="F14" s="93" t="str">
        <f>BEGINBLAD!C13</f>
        <v>leerling 10</v>
      </c>
      <c r="G14" s="94">
        <f>'NIVEAU WAARDE - 1e toetsperiode'!E18</f>
        <v>1.7</v>
      </c>
      <c r="H14" s="95">
        <f>'NIVEAU WAARDE - 2e toetsperiode'!E18</f>
        <v>2.2999999999999998</v>
      </c>
      <c r="I14" s="96" t="str">
        <f t="shared" si="0"/>
        <v>C-4</v>
      </c>
      <c r="J14" s="236" t="str">
        <f t="shared" si="1"/>
        <v>*</v>
      </c>
      <c r="K14" s="435">
        <f>'SPELLEN - 1e periode'!L14</f>
        <v>4.5</v>
      </c>
      <c r="L14" s="106">
        <v>3.6</v>
      </c>
      <c r="M14" s="96" t="str">
        <f t="shared" si="2"/>
        <v>B-2</v>
      </c>
      <c r="N14" s="236" t="str">
        <f t="shared" si="3"/>
        <v>!</v>
      </c>
      <c r="O14" s="107"/>
      <c r="P14" s="113" t="s">
        <v>109</v>
      </c>
      <c r="R14" s="836"/>
      <c r="S14" s="149"/>
      <c r="T14" s="149"/>
      <c r="U14" s="149"/>
      <c r="V14" s="149"/>
    </row>
    <row r="15" spans="1:24" ht="19.5" customHeight="1" x14ac:dyDescent="0.2">
      <c r="A15" s="102"/>
      <c r="B15" s="103"/>
      <c r="C15" s="689"/>
      <c r="D15" s="91">
        <v>0</v>
      </c>
      <c r="E15" s="92">
        <v>11</v>
      </c>
      <c r="F15" s="93" t="str">
        <f>BEGINBLAD!C14</f>
        <v>leerling 11</v>
      </c>
      <c r="G15" s="94">
        <f>'NIVEAU WAARDE - 1e toetsperiode'!E19</f>
        <v>4.2</v>
      </c>
      <c r="H15" s="95">
        <f>'NIVEAU WAARDE - 2e toetsperiode'!E19</f>
        <v>4.7</v>
      </c>
      <c r="I15" s="96" t="str">
        <f t="shared" si="0"/>
        <v>A-1+</v>
      </c>
      <c r="J15" s="236" t="str">
        <f t="shared" si="1"/>
        <v/>
      </c>
      <c r="K15" s="435">
        <f>'SPELLEN - 1e periode'!L15</f>
        <v>0</v>
      </c>
      <c r="L15" s="106">
        <v>4.5</v>
      </c>
      <c r="M15" s="96" t="str">
        <f t="shared" si="2"/>
        <v>A-1</v>
      </c>
      <c r="N15" s="236" t="str">
        <f t="shared" si="3"/>
        <v>*</v>
      </c>
      <c r="O15" s="1191" t="s">
        <v>135</v>
      </c>
      <c r="P15" s="1194">
        <f>'INTENSIEF - 2e periode'!C17</f>
        <v>0</v>
      </c>
      <c r="R15" s="836"/>
      <c r="S15" s="149"/>
      <c r="T15" s="149"/>
      <c r="U15" s="149"/>
      <c r="V15" s="149"/>
    </row>
    <row r="16" spans="1:24" ht="19.5" customHeight="1" x14ac:dyDescent="0.2">
      <c r="A16" s="102"/>
      <c r="B16" s="103"/>
      <c r="C16" s="689"/>
      <c r="D16" s="91">
        <v>0</v>
      </c>
      <c r="E16" s="92">
        <v>12</v>
      </c>
      <c r="F16" s="93" t="str">
        <f>BEGINBLAD!C15</f>
        <v>leerling 12</v>
      </c>
      <c r="G16" s="94">
        <f>'NIVEAU WAARDE - 1e toetsperiode'!E20</f>
        <v>2.6</v>
      </c>
      <c r="H16" s="95">
        <f>'NIVEAU WAARDE - 2e toetsperiode'!E20</f>
        <v>2.5</v>
      </c>
      <c r="I16" s="96" t="str">
        <f t="shared" si="0"/>
        <v>C-4</v>
      </c>
      <c r="J16" s="236" t="str">
        <f t="shared" si="1"/>
        <v/>
      </c>
      <c r="K16" s="435">
        <f>'SPELLEN - 1e periode'!L16</f>
        <v>3.2</v>
      </c>
      <c r="L16" s="106">
        <v>4.5</v>
      </c>
      <c r="M16" s="96" t="str">
        <f t="shared" si="2"/>
        <v>A-1</v>
      </c>
      <c r="N16" s="236" t="str">
        <f t="shared" si="3"/>
        <v>*</v>
      </c>
      <c r="O16" s="1192"/>
      <c r="P16" s="1195"/>
      <c r="R16" s="836"/>
      <c r="S16" s="149"/>
      <c r="T16" s="149"/>
      <c r="U16" s="149"/>
      <c r="V16" s="149"/>
    </row>
    <row r="17" spans="1:24" ht="19.5" customHeight="1" x14ac:dyDescent="0.2">
      <c r="A17" s="102"/>
      <c r="B17" s="103"/>
      <c r="C17" s="689"/>
      <c r="D17" s="105">
        <v>0</v>
      </c>
      <c r="E17" s="92">
        <v>13</v>
      </c>
      <c r="F17" s="93" t="str">
        <f>BEGINBLAD!C16</f>
        <v>leerling 13</v>
      </c>
      <c r="G17" s="94">
        <f>'NIVEAU WAARDE - 1e toetsperiode'!E21</f>
        <v>4.8</v>
      </c>
      <c r="H17" s="95">
        <f>'NIVEAU WAARDE - 2e toetsperiode'!E21</f>
        <v>5</v>
      </c>
      <c r="I17" s="96" t="str">
        <f t="shared" si="0"/>
        <v>A-1+</v>
      </c>
      <c r="J17" s="236" t="str">
        <f t="shared" si="1"/>
        <v/>
      </c>
      <c r="K17" s="435">
        <f>'SPELLEN - 1e periode'!L17</f>
        <v>4.5999999999999996</v>
      </c>
      <c r="L17" s="106">
        <v>3.6</v>
      </c>
      <c r="M17" s="96" t="str">
        <f t="shared" si="2"/>
        <v>B-2</v>
      </c>
      <c r="N17" s="236" t="str">
        <f t="shared" si="3"/>
        <v>!</v>
      </c>
      <c r="O17" s="1198" t="s">
        <v>137</v>
      </c>
      <c r="P17" s="1196">
        <f>'INTENSIEF - 2e periode'!C19</f>
        <v>0</v>
      </c>
      <c r="R17" s="836"/>
      <c r="S17" s="120"/>
      <c r="T17" s="120"/>
      <c r="U17" s="120"/>
      <c r="V17" s="120"/>
    </row>
    <row r="18" spans="1:24" ht="19.5" customHeight="1" x14ac:dyDescent="0.2">
      <c r="A18" s="102"/>
      <c r="B18" s="103"/>
      <c r="C18" s="689"/>
      <c r="D18" s="111">
        <v>0</v>
      </c>
      <c r="E18" s="92">
        <v>14</v>
      </c>
      <c r="F18" s="93" t="str">
        <f>BEGINBLAD!C17</f>
        <v>leerling 14</v>
      </c>
      <c r="G18" s="94">
        <f>'NIVEAU WAARDE - 1e toetsperiode'!E22</f>
        <v>3.2</v>
      </c>
      <c r="H18" s="95">
        <f>'NIVEAU WAARDE - 2e toetsperiode'!E22</f>
        <v>4.7</v>
      </c>
      <c r="I18" s="96" t="str">
        <f t="shared" si="0"/>
        <v>A-1+</v>
      </c>
      <c r="J18" s="236" t="str">
        <f t="shared" si="1"/>
        <v>*</v>
      </c>
      <c r="K18" s="435">
        <f>'SPELLEN - 1e periode'!L18</f>
        <v>3.5</v>
      </c>
      <c r="L18" s="106">
        <v>2.5</v>
      </c>
      <c r="M18" s="96" t="str">
        <f t="shared" si="2"/>
        <v>C-4</v>
      </c>
      <c r="N18" s="236" t="str">
        <f t="shared" si="3"/>
        <v>!</v>
      </c>
      <c r="O18" s="1198"/>
      <c r="P18" s="1196"/>
      <c r="Q18" s="89"/>
      <c r="R18" s="836"/>
      <c r="S18" s="114"/>
      <c r="T18" s="114"/>
      <c r="U18" s="114"/>
      <c r="V18" s="114"/>
      <c r="W18" s="114"/>
    </row>
    <row r="19" spans="1:24" ht="19.5" customHeight="1" x14ac:dyDescent="0.2">
      <c r="D19" s="111">
        <v>0</v>
      </c>
      <c r="E19" s="92">
        <v>15</v>
      </c>
      <c r="F19" s="93" t="str">
        <f>BEGINBLAD!C18</f>
        <v>leerling 15</v>
      </c>
      <c r="G19" s="94">
        <f>'NIVEAU WAARDE - 1e toetsperiode'!E23</f>
        <v>1.9</v>
      </c>
      <c r="H19" s="95">
        <f>'NIVEAU WAARDE - 2e toetsperiode'!E23</f>
        <v>4.3</v>
      </c>
      <c r="I19" s="96" t="str">
        <f t="shared" si="0"/>
        <v>A-1</v>
      </c>
      <c r="J19" s="236" t="str">
        <f t="shared" si="1"/>
        <v>*</v>
      </c>
      <c r="K19" s="435">
        <f>'SPELLEN - 1e periode'!L19</f>
        <v>3.7</v>
      </c>
      <c r="L19" s="106">
        <v>4.0999999999999996</v>
      </c>
      <c r="M19" s="96" t="str">
        <f t="shared" si="2"/>
        <v>A-1</v>
      </c>
      <c r="N19" s="236" t="str">
        <f t="shared" si="3"/>
        <v/>
      </c>
      <c r="O19" s="1198"/>
      <c r="P19" s="1196"/>
      <c r="Q19" s="116"/>
      <c r="R19" s="206"/>
      <c r="S19" s="117"/>
      <c r="T19" s="117"/>
      <c r="U19" s="118"/>
      <c r="V19" s="118"/>
      <c r="W19" s="118"/>
      <c r="X19" s="119"/>
    </row>
    <row r="20" spans="1:24" ht="19.5" customHeight="1" x14ac:dyDescent="0.2">
      <c r="D20" s="111">
        <v>0</v>
      </c>
      <c r="E20" s="92">
        <v>16</v>
      </c>
      <c r="F20" s="93" t="str">
        <f>BEGINBLAD!C19</f>
        <v>leerling 16</v>
      </c>
      <c r="G20" s="94">
        <f>'NIVEAU WAARDE - 1e toetsperiode'!E24</f>
        <v>3.4</v>
      </c>
      <c r="H20" s="95">
        <f>'NIVEAU WAARDE - 2e toetsperiode'!E24</f>
        <v>2.1</v>
      </c>
      <c r="I20" s="96" t="str">
        <f t="shared" si="0"/>
        <v>C-4</v>
      </c>
      <c r="J20" s="236" t="str">
        <f t="shared" si="1"/>
        <v>!</v>
      </c>
      <c r="K20" s="435">
        <f>'SPELLEN - 1e periode'!L20</f>
        <v>4.3</v>
      </c>
      <c r="L20" s="106">
        <v>3</v>
      </c>
      <c r="M20" s="96" t="str">
        <f t="shared" si="2"/>
        <v>B-3</v>
      </c>
      <c r="N20" s="236" t="str">
        <f t="shared" si="3"/>
        <v>!</v>
      </c>
      <c r="O20" s="1198"/>
      <c r="P20" s="1196"/>
      <c r="Q20" s="116"/>
      <c r="R20" s="120"/>
      <c r="S20" s="120"/>
      <c r="T20" s="120"/>
      <c r="U20" s="120"/>
      <c r="V20" s="120"/>
      <c r="W20" s="120"/>
    </row>
    <row r="21" spans="1:24" ht="19.5" customHeight="1" x14ac:dyDescent="0.2">
      <c r="D21" s="111">
        <v>0</v>
      </c>
      <c r="E21" s="92">
        <v>17</v>
      </c>
      <c r="F21" s="93" t="str">
        <f>BEGINBLAD!C20</f>
        <v>leerling 17</v>
      </c>
      <c r="G21" s="94">
        <f>'NIVEAU WAARDE - 1e toetsperiode'!E25</f>
        <v>4</v>
      </c>
      <c r="H21" s="95">
        <f>'NIVEAU WAARDE - 2e toetsperiode'!E25</f>
        <v>4.7</v>
      </c>
      <c r="I21" s="96" t="str">
        <f t="shared" si="0"/>
        <v>A-1+</v>
      </c>
      <c r="J21" s="236" t="str">
        <f t="shared" si="1"/>
        <v>*</v>
      </c>
      <c r="K21" s="435">
        <f>'SPELLEN - 1e periode'!L21</f>
        <v>2.6</v>
      </c>
      <c r="L21" s="121">
        <v>1.5</v>
      </c>
      <c r="M21" s="96" t="str">
        <f t="shared" si="2"/>
        <v>D-5</v>
      </c>
      <c r="N21" s="236" t="str">
        <f t="shared" si="3"/>
        <v>!</v>
      </c>
      <c r="O21" s="1198"/>
      <c r="P21" s="1196"/>
      <c r="Q21" s="116"/>
      <c r="R21" s="120"/>
      <c r="S21" s="120"/>
      <c r="T21" s="120"/>
      <c r="U21" s="120"/>
      <c r="V21" s="120"/>
      <c r="W21" s="120"/>
    </row>
    <row r="22" spans="1:24" ht="19.5" customHeight="1" x14ac:dyDescent="0.2">
      <c r="D22" s="111">
        <v>0</v>
      </c>
      <c r="E22" s="92">
        <v>18</v>
      </c>
      <c r="F22" s="93" t="str">
        <f>BEGINBLAD!C21</f>
        <v>leerling 18</v>
      </c>
      <c r="G22" s="94">
        <f>'NIVEAU WAARDE - 1e toetsperiode'!E26</f>
        <v>0.6</v>
      </c>
      <c r="H22" s="95">
        <f>'NIVEAU WAARDE - 2e toetsperiode'!E26</f>
        <v>3</v>
      </c>
      <c r="I22" s="96" t="str">
        <f t="shared" si="0"/>
        <v>B-3</v>
      </c>
      <c r="J22" s="236" t="str">
        <f t="shared" si="1"/>
        <v>*</v>
      </c>
      <c r="K22" s="435">
        <f>'SPELLEN - 1e periode'!L22</f>
        <v>0</v>
      </c>
      <c r="L22" s="97"/>
      <c r="M22" s="96" t="str">
        <f t="shared" si="2"/>
        <v/>
      </c>
      <c r="N22" s="236" t="str">
        <f t="shared" si="3"/>
        <v/>
      </c>
      <c r="O22" s="1198"/>
      <c r="P22" s="1196"/>
      <c r="Q22" s="116"/>
      <c r="R22" s="120"/>
      <c r="S22" s="120"/>
      <c r="T22" s="120"/>
      <c r="U22" s="120"/>
      <c r="V22" s="120"/>
      <c r="W22" s="120"/>
    </row>
    <row r="23" spans="1:24" ht="19.5" customHeight="1" x14ac:dyDescent="0.2">
      <c r="B23" s="122"/>
      <c r="C23" s="122"/>
      <c r="D23" s="111">
        <v>0</v>
      </c>
      <c r="E23" s="92">
        <v>19</v>
      </c>
      <c r="F23" s="93" t="str">
        <f>BEGINBLAD!C22</f>
        <v>leerling 19</v>
      </c>
      <c r="G23" s="94">
        <f>'NIVEAU WAARDE - 1e toetsperiode'!E27</f>
        <v>0.8</v>
      </c>
      <c r="H23" s="95">
        <f>'NIVEAU WAARDE - 2e toetsperiode'!E27</f>
        <v>0.9</v>
      </c>
      <c r="I23" s="96" t="str">
        <f t="shared" si="0"/>
        <v>E-5</v>
      </c>
      <c r="J23" s="236" t="str">
        <f t="shared" si="1"/>
        <v/>
      </c>
      <c r="K23" s="435">
        <f>'SPELLEN - 1e periode'!L23</f>
        <v>0</v>
      </c>
      <c r="L23" s="121"/>
      <c r="M23" s="96" t="str">
        <f t="shared" si="2"/>
        <v/>
      </c>
      <c r="N23" s="236" t="str">
        <f t="shared" si="3"/>
        <v/>
      </c>
      <c r="O23" s="1198"/>
      <c r="P23" s="1196"/>
    </row>
    <row r="24" spans="1:24" ht="19.5" customHeight="1" thickBot="1" x14ac:dyDescent="0.25">
      <c r="B24" s="123"/>
      <c r="C24" s="122"/>
      <c r="D24" s="111">
        <v>0</v>
      </c>
      <c r="E24" s="92">
        <v>20</v>
      </c>
      <c r="F24" s="93" t="str">
        <f>BEGINBLAD!C23</f>
        <v>leerling 20</v>
      </c>
      <c r="G24" s="94">
        <f>'NIVEAU WAARDE - 1e toetsperiode'!E28</f>
        <v>3.7</v>
      </c>
      <c r="H24" s="95">
        <f>'NIVEAU WAARDE - 2e toetsperiode'!E28</f>
        <v>4.7</v>
      </c>
      <c r="I24" s="96" t="str">
        <f t="shared" si="0"/>
        <v>A-1+</v>
      </c>
      <c r="J24" s="236" t="str">
        <f t="shared" si="1"/>
        <v>*</v>
      </c>
      <c r="K24" s="435">
        <f>'SPELLEN - 1e periode'!L24</f>
        <v>0</v>
      </c>
      <c r="L24" s="121"/>
      <c r="M24" s="96" t="str">
        <f t="shared" si="2"/>
        <v/>
      </c>
      <c r="N24" s="236" t="str">
        <f t="shared" si="3"/>
        <v/>
      </c>
      <c r="O24" s="1199"/>
      <c r="P24" s="1197"/>
      <c r="Q24" s="116"/>
      <c r="R24" s="120"/>
      <c r="S24" s="120"/>
      <c r="T24" s="120"/>
      <c r="U24" s="120"/>
      <c r="V24" s="120"/>
      <c r="W24" s="120"/>
    </row>
    <row r="25" spans="1:24" ht="19.5" customHeight="1" thickBot="1" x14ac:dyDescent="0.25">
      <c r="B25" s="123"/>
      <c r="C25" s="122"/>
      <c r="D25" s="111">
        <v>0</v>
      </c>
      <c r="E25" s="92">
        <v>21</v>
      </c>
      <c r="F25" s="93" t="str">
        <f>BEGINBLAD!C24</f>
        <v>leerling 21</v>
      </c>
      <c r="G25" s="94">
        <f>'NIVEAU WAARDE - 1e toetsperiode'!E29</f>
        <v>3.4</v>
      </c>
      <c r="H25" s="95">
        <f>'NIVEAU WAARDE - 2e toetsperiode'!E29</f>
        <v>3.5</v>
      </c>
      <c r="I25" s="96" t="str">
        <f t="shared" si="0"/>
        <v>B-2</v>
      </c>
      <c r="J25" s="236" t="str">
        <f t="shared" si="1"/>
        <v/>
      </c>
      <c r="K25" s="435">
        <f>'SPELLEN - 1e periode'!L25</f>
        <v>0</v>
      </c>
      <c r="L25" s="121"/>
      <c r="M25" s="96" t="str">
        <f t="shared" si="2"/>
        <v/>
      </c>
      <c r="N25" s="236" t="str">
        <f t="shared" si="3"/>
        <v/>
      </c>
      <c r="O25" s="107"/>
      <c r="P25" s="113" t="s">
        <v>282</v>
      </c>
      <c r="Q25" s="116"/>
      <c r="R25" s="120"/>
      <c r="S25" s="120"/>
      <c r="T25" s="120"/>
      <c r="U25" s="120"/>
      <c r="V25" s="120"/>
      <c r="W25" s="120"/>
    </row>
    <row r="26" spans="1:24" ht="19.5" customHeight="1" x14ac:dyDescent="0.2">
      <c r="D26" s="111">
        <v>0</v>
      </c>
      <c r="E26" s="92">
        <v>22</v>
      </c>
      <c r="F26" s="93" t="str">
        <f>BEGINBLAD!C25</f>
        <v>leerling 22</v>
      </c>
      <c r="G26" s="94">
        <f>'NIVEAU WAARDE - 1e toetsperiode'!E30</f>
        <v>1.7</v>
      </c>
      <c r="H26" s="95">
        <f>'NIVEAU WAARDE - 2e toetsperiode'!E30</f>
        <v>1.5</v>
      </c>
      <c r="I26" s="96" t="str">
        <f t="shared" si="0"/>
        <v>D-5</v>
      </c>
      <c r="J26" s="236" t="str">
        <f t="shared" si="1"/>
        <v/>
      </c>
      <c r="K26" s="435">
        <f>'SPELLEN - 1e periode'!L26</f>
        <v>0</v>
      </c>
      <c r="L26" s="121"/>
      <c r="M26" s="96" t="str">
        <f t="shared" si="2"/>
        <v/>
      </c>
      <c r="N26" s="236" t="str">
        <f t="shared" si="3"/>
        <v/>
      </c>
      <c r="O26" s="1191" t="s">
        <v>135</v>
      </c>
      <c r="P26" s="1194">
        <f>'BASISAANPAK - 2e periode'!C17</f>
        <v>0</v>
      </c>
      <c r="Q26" s="89"/>
      <c r="R26" s="114"/>
      <c r="S26" s="114"/>
      <c r="T26" s="114"/>
      <c r="U26" s="114"/>
      <c r="V26" s="114"/>
      <c r="W26" s="114"/>
    </row>
    <row r="27" spans="1:24" s="126" customFormat="1" ht="19.5" customHeight="1" x14ac:dyDescent="0.4">
      <c r="A27" s="89"/>
      <c r="B27" s="1132" t="s">
        <v>43</v>
      </c>
      <c r="C27" s="90" t="s">
        <v>210</v>
      </c>
      <c r="D27" s="105">
        <v>0</v>
      </c>
      <c r="E27" s="92">
        <v>23</v>
      </c>
      <c r="F27" s="93" t="str">
        <f>BEGINBLAD!C26</f>
        <v>leerling 23</v>
      </c>
      <c r="G27" s="94">
        <f>'NIVEAU WAARDE - 1e toetsperiode'!E31</f>
        <v>4.9000000000000004</v>
      </c>
      <c r="H27" s="95">
        <f>'NIVEAU WAARDE - 2e toetsperiode'!E31</f>
        <v>5</v>
      </c>
      <c r="I27" s="96" t="str">
        <f t="shared" si="0"/>
        <v>A-1+</v>
      </c>
      <c r="J27" s="236" t="str">
        <f t="shared" si="1"/>
        <v/>
      </c>
      <c r="K27" s="435">
        <f>'SPELLEN - 1e periode'!L27</f>
        <v>0</v>
      </c>
      <c r="L27" s="121"/>
      <c r="M27" s="96" t="str">
        <f t="shared" si="2"/>
        <v/>
      </c>
      <c r="N27" s="236" t="str">
        <f t="shared" si="3"/>
        <v/>
      </c>
      <c r="O27" s="1192"/>
      <c r="P27" s="1195"/>
      <c r="Q27" s="125"/>
      <c r="R27" s="125"/>
      <c r="S27" s="125"/>
      <c r="T27" s="125"/>
      <c r="U27" s="125"/>
      <c r="V27" s="125"/>
      <c r="W27" s="125"/>
    </row>
    <row r="28" spans="1:24" ht="19.5" customHeight="1" x14ac:dyDescent="0.4">
      <c r="A28" s="89"/>
      <c r="B28" s="1132"/>
      <c r="C28" s="101" t="s">
        <v>200</v>
      </c>
      <c r="D28" s="105">
        <v>0</v>
      </c>
      <c r="E28" s="92">
        <v>24</v>
      </c>
      <c r="F28" s="93" t="str">
        <f>BEGINBLAD!C27</f>
        <v>leerling 24</v>
      </c>
      <c r="G28" s="94">
        <f>'NIVEAU WAARDE - 1e toetsperiode'!E32</f>
        <v>4.5</v>
      </c>
      <c r="H28" s="95">
        <f>'NIVEAU WAARDE - 2e toetsperiode'!E32</f>
        <v>4</v>
      </c>
      <c r="I28" s="96" t="str">
        <f t="shared" si="0"/>
        <v>A-2</v>
      </c>
      <c r="J28" s="236" t="str">
        <f t="shared" si="1"/>
        <v/>
      </c>
      <c r="K28" s="435">
        <f>'SPELLEN - 1e periode'!L28</f>
        <v>0</v>
      </c>
      <c r="L28" s="121"/>
      <c r="M28" s="96" t="str">
        <f t="shared" si="2"/>
        <v/>
      </c>
      <c r="N28" s="236" t="str">
        <f t="shared" si="3"/>
        <v/>
      </c>
      <c r="O28" s="1192" t="s">
        <v>137</v>
      </c>
      <c r="P28" s="1200">
        <f>'BASISAANPAK - 2e periode'!C19</f>
        <v>0</v>
      </c>
      <c r="Q28" s="77"/>
      <c r="R28" s="127"/>
      <c r="S28" s="88"/>
      <c r="T28" s="88"/>
      <c r="U28" s="88"/>
      <c r="V28" s="88"/>
      <c r="W28" s="88"/>
    </row>
    <row r="29" spans="1:24" ht="19.5" customHeight="1" x14ac:dyDescent="0.2">
      <c r="A29" s="102"/>
      <c r="B29" s="103"/>
      <c r="C29" s="689"/>
      <c r="D29" s="91">
        <v>0</v>
      </c>
      <c r="E29" s="92">
        <v>25</v>
      </c>
      <c r="F29" s="93" t="str">
        <f>BEGINBLAD!C28</f>
        <v>leerling 25</v>
      </c>
      <c r="G29" s="94">
        <f>'NIVEAU WAARDE - 1e toetsperiode'!E33</f>
        <v>3.2</v>
      </c>
      <c r="H29" s="95">
        <f>'NIVEAU WAARDE - 2e toetsperiode'!E33</f>
        <v>2.7</v>
      </c>
      <c r="I29" s="96" t="str">
        <f t="shared" si="0"/>
        <v>C-3</v>
      </c>
      <c r="J29" s="236" t="str">
        <f t="shared" si="1"/>
        <v/>
      </c>
      <c r="K29" s="435">
        <f>'SPELLEN - 1e periode'!L29</f>
        <v>0</v>
      </c>
      <c r="L29" s="121"/>
      <c r="M29" s="96" t="str">
        <f t="shared" si="2"/>
        <v/>
      </c>
      <c r="N29" s="236" t="str">
        <f t="shared" si="3"/>
        <v/>
      </c>
      <c r="O29" s="1192"/>
      <c r="P29" s="1200"/>
      <c r="Q29" s="128"/>
      <c r="R29" s="117"/>
      <c r="S29" s="117"/>
      <c r="T29" s="117"/>
      <c r="U29" s="117"/>
      <c r="V29" s="117"/>
      <c r="W29" s="117"/>
    </row>
    <row r="30" spans="1:24" ht="19.5" customHeight="1" x14ac:dyDescent="0.2">
      <c r="A30" s="102"/>
      <c r="B30" s="103"/>
      <c r="C30" s="689"/>
      <c r="D30" s="91">
        <v>0</v>
      </c>
      <c r="E30" s="92">
        <v>26</v>
      </c>
      <c r="F30" s="93" t="str">
        <f>BEGINBLAD!C29</f>
        <v>leerling 26</v>
      </c>
      <c r="G30" s="94">
        <f>'NIVEAU WAARDE - 1e toetsperiode'!E34</f>
        <v>3.7</v>
      </c>
      <c r="H30" s="95">
        <f>'NIVEAU WAARDE - 2e toetsperiode'!E34</f>
        <v>4.9000000000000004</v>
      </c>
      <c r="I30" s="96" t="str">
        <f t="shared" si="0"/>
        <v>A-1+</v>
      </c>
      <c r="J30" s="236" t="str">
        <f t="shared" si="1"/>
        <v>*</v>
      </c>
      <c r="K30" s="124">
        <f>'SPELLEN - 1e periode'!L30</f>
        <v>0</v>
      </c>
      <c r="L30" s="121"/>
      <c r="M30" s="96" t="str">
        <f t="shared" si="2"/>
        <v/>
      </c>
      <c r="N30" s="236" t="str">
        <f t="shared" si="3"/>
        <v/>
      </c>
      <c r="O30" s="1192"/>
      <c r="P30" s="1200"/>
      <c r="Q30" s="116"/>
      <c r="R30" s="120"/>
      <c r="S30" s="120"/>
      <c r="T30" s="120"/>
      <c r="U30" s="120"/>
      <c r="V30" s="120"/>
      <c r="W30" s="120"/>
    </row>
    <row r="31" spans="1:24" ht="19.5" customHeight="1" x14ac:dyDescent="0.2">
      <c r="A31" s="102"/>
      <c r="B31" s="103"/>
      <c r="C31" s="689"/>
      <c r="D31" s="91">
        <v>0</v>
      </c>
      <c r="E31" s="92">
        <v>27</v>
      </c>
      <c r="F31" s="93">
        <f>BEGINBLAD!C30</f>
        <v>0</v>
      </c>
      <c r="G31" s="94">
        <f>'NIVEAU WAARDE - 1e toetsperiode'!E35</f>
        <v>0</v>
      </c>
      <c r="H31" s="95">
        <f>'NIVEAU WAARDE - 2e toetsperiode'!E35</f>
        <v>0</v>
      </c>
      <c r="I31" s="96" t="str">
        <f t="shared" si="0"/>
        <v/>
      </c>
      <c r="J31" s="236" t="str">
        <f t="shared" si="1"/>
        <v/>
      </c>
      <c r="K31" s="124">
        <f>'SPELLEN - 1e periode'!L31</f>
        <v>0</v>
      </c>
      <c r="L31" s="121"/>
      <c r="M31" s="96" t="str">
        <f t="shared" si="2"/>
        <v/>
      </c>
      <c r="N31" s="236" t="str">
        <f t="shared" si="3"/>
        <v/>
      </c>
      <c r="O31" s="1192"/>
      <c r="P31" s="1200"/>
      <c r="Q31" s="116"/>
      <c r="R31" s="120"/>
      <c r="S31" s="120"/>
      <c r="T31" s="120"/>
      <c r="U31" s="120"/>
      <c r="V31" s="120"/>
      <c r="W31" s="120"/>
    </row>
    <row r="32" spans="1:24" ht="19.5" customHeight="1" x14ac:dyDescent="0.2">
      <c r="A32" s="102"/>
      <c r="B32" s="103"/>
      <c r="C32" s="689"/>
      <c r="D32" s="91">
        <v>0</v>
      </c>
      <c r="E32" s="92">
        <v>28</v>
      </c>
      <c r="F32" s="93">
        <f>BEGINBLAD!C31</f>
        <v>0</v>
      </c>
      <c r="G32" s="94">
        <f>'NIVEAU WAARDE - 1e toetsperiode'!E36</f>
        <v>0</v>
      </c>
      <c r="H32" s="95">
        <f>'NIVEAU WAARDE - 2e toetsperiode'!E36</f>
        <v>0</v>
      </c>
      <c r="I32" s="96" t="str">
        <f t="shared" si="0"/>
        <v/>
      </c>
      <c r="J32" s="236" t="str">
        <f t="shared" si="1"/>
        <v/>
      </c>
      <c r="K32" s="124">
        <f>'SPELLEN - 1e periode'!L32</f>
        <v>0</v>
      </c>
      <c r="L32" s="121"/>
      <c r="M32" s="96" t="str">
        <f t="shared" si="2"/>
        <v/>
      </c>
      <c r="N32" s="236" t="str">
        <f t="shared" si="3"/>
        <v/>
      </c>
      <c r="O32" s="1192"/>
      <c r="P32" s="1200"/>
      <c r="Q32" s="116"/>
      <c r="R32" s="120"/>
      <c r="S32" s="120"/>
      <c r="T32" s="120"/>
      <c r="U32" s="120"/>
      <c r="V32" s="120"/>
      <c r="W32" s="120"/>
    </row>
    <row r="33" spans="1:27" ht="19.5" customHeight="1" x14ac:dyDescent="0.2">
      <c r="A33" s="102"/>
      <c r="B33" s="103"/>
      <c r="C33" s="689"/>
      <c r="D33" s="91">
        <v>0</v>
      </c>
      <c r="E33" s="92">
        <v>29</v>
      </c>
      <c r="F33" s="93">
        <f>BEGINBLAD!C32</f>
        <v>0</v>
      </c>
      <c r="G33" s="94">
        <f>'NIVEAU WAARDE - 1e toetsperiode'!E37</f>
        <v>0</v>
      </c>
      <c r="H33" s="95">
        <f>'NIVEAU WAARDE - 2e toetsperiode'!E37</f>
        <v>0</v>
      </c>
      <c r="I33" s="96" t="str">
        <f t="shared" si="0"/>
        <v/>
      </c>
      <c r="J33" s="236" t="str">
        <f t="shared" si="1"/>
        <v/>
      </c>
      <c r="K33" s="124">
        <f>'SPELLEN - 1e periode'!L33</f>
        <v>0</v>
      </c>
      <c r="L33" s="121"/>
      <c r="M33" s="96" t="str">
        <f t="shared" si="2"/>
        <v/>
      </c>
      <c r="N33" s="236" t="str">
        <f t="shared" si="3"/>
        <v/>
      </c>
      <c r="O33" s="1192"/>
      <c r="P33" s="1200"/>
      <c r="Q33" s="116"/>
      <c r="R33" s="120"/>
      <c r="S33" s="120"/>
      <c r="T33" s="120"/>
      <c r="U33" s="120"/>
      <c r="V33" s="120"/>
      <c r="W33" s="120"/>
    </row>
    <row r="34" spans="1:27" ht="19.5" customHeight="1" x14ac:dyDescent="0.2">
      <c r="A34" s="102"/>
      <c r="B34" s="103"/>
      <c r="C34" s="689"/>
      <c r="D34" s="91">
        <v>0</v>
      </c>
      <c r="E34" s="92">
        <v>30</v>
      </c>
      <c r="F34" s="93">
        <f>BEGINBLAD!C33</f>
        <v>0</v>
      </c>
      <c r="G34" s="94">
        <f>'NIVEAU WAARDE - 1e toetsperiode'!E38</f>
        <v>0</v>
      </c>
      <c r="H34" s="95">
        <f>'NIVEAU WAARDE - 2e toetsperiode'!E38</f>
        <v>0</v>
      </c>
      <c r="I34" s="96" t="str">
        <f t="shared" si="0"/>
        <v/>
      </c>
      <c r="J34" s="236" t="str">
        <f t="shared" si="1"/>
        <v/>
      </c>
      <c r="K34" s="124">
        <f>'SPELLEN - 1e periode'!L34</f>
        <v>0</v>
      </c>
      <c r="L34" s="121"/>
      <c r="M34" s="96" t="str">
        <f t="shared" si="2"/>
        <v/>
      </c>
      <c r="N34" s="236" t="str">
        <f t="shared" si="3"/>
        <v/>
      </c>
      <c r="O34" s="1192"/>
      <c r="P34" s="1200"/>
      <c r="Q34" s="116"/>
      <c r="R34" s="120"/>
      <c r="S34" s="120"/>
      <c r="T34" s="120"/>
      <c r="U34" s="120"/>
      <c r="V34" s="120"/>
      <c r="W34" s="120"/>
    </row>
    <row r="35" spans="1:27" ht="19.5" customHeight="1" thickBot="1" x14ac:dyDescent="0.25">
      <c r="A35" s="102"/>
      <c r="B35" s="103"/>
      <c r="C35" s="689"/>
      <c r="D35" s="91">
        <v>0</v>
      </c>
      <c r="E35" s="92">
        <v>31</v>
      </c>
      <c r="F35" s="93">
        <f>BEGINBLAD!C34</f>
        <v>0</v>
      </c>
      <c r="G35" s="94">
        <f>'NIVEAU WAARDE - 1e toetsperiode'!E39</f>
        <v>0</v>
      </c>
      <c r="H35" s="95">
        <f>'NIVEAU WAARDE - 2e toetsperiode'!E39</f>
        <v>0</v>
      </c>
      <c r="I35" s="96" t="str">
        <f t="shared" si="0"/>
        <v/>
      </c>
      <c r="J35" s="236" t="str">
        <f t="shared" si="1"/>
        <v/>
      </c>
      <c r="K35" s="124">
        <f>'SPELLEN - 1e periode'!L35</f>
        <v>0</v>
      </c>
      <c r="L35" s="121"/>
      <c r="M35" s="96" t="str">
        <f t="shared" si="2"/>
        <v/>
      </c>
      <c r="N35" s="236" t="str">
        <f t="shared" si="3"/>
        <v/>
      </c>
      <c r="O35" s="1193"/>
      <c r="P35" s="1201"/>
      <c r="Q35" s="116"/>
      <c r="R35" s="120"/>
      <c r="S35" s="120"/>
      <c r="T35" s="120"/>
      <c r="U35" s="120"/>
      <c r="V35" s="120"/>
      <c r="W35" s="120"/>
    </row>
    <row r="36" spans="1:27" ht="19.5" customHeight="1" thickBot="1" x14ac:dyDescent="0.25">
      <c r="A36" s="102"/>
      <c r="B36" s="103"/>
      <c r="C36" s="689"/>
      <c r="D36" s="91">
        <v>0</v>
      </c>
      <c r="E36" s="92">
        <v>32</v>
      </c>
      <c r="F36" s="93">
        <f>BEGINBLAD!C35</f>
        <v>0</v>
      </c>
      <c r="G36" s="94">
        <f>'NIVEAU WAARDE - 1e toetsperiode'!E40</f>
        <v>0</v>
      </c>
      <c r="H36" s="95">
        <f>'NIVEAU WAARDE - 2e toetsperiode'!E40</f>
        <v>0</v>
      </c>
      <c r="I36" s="96" t="str">
        <f t="shared" si="0"/>
        <v/>
      </c>
      <c r="J36" s="236" t="str">
        <f t="shared" si="1"/>
        <v/>
      </c>
      <c r="K36" s="124">
        <f>'SPELLEN - 1e periode'!L36</f>
        <v>0</v>
      </c>
      <c r="L36" s="121"/>
      <c r="M36" s="96" t="str">
        <f t="shared" si="2"/>
        <v/>
      </c>
      <c r="N36" s="236" t="str">
        <f t="shared" si="3"/>
        <v/>
      </c>
      <c r="O36" s="107"/>
      <c r="P36" s="113" t="s">
        <v>108</v>
      </c>
      <c r="Q36" s="116"/>
      <c r="R36" s="120"/>
      <c r="S36" s="120"/>
      <c r="T36" s="120"/>
      <c r="U36" s="120"/>
      <c r="V36" s="120"/>
      <c r="W36" s="120"/>
    </row>
    <row r="37" spans="1:27" ht="19.5" customHeight="1" x14ac:dyDescent="0.2">
      <c r="A37" s="102"/>
      <c r="B37" s="103"/>
      <c r="C37" s="689"/>
      <c r="D37" s="91">
        <v>0</v>
      </c>
      <c r="E37" s="92">
        <v>33</v>
      </c>
      <c r="F37" s="93">
        <f>BEGINBLAD!C36</f>
        <v>0</v>
      </c>
      <c r="G37" s="94">
        <f>'NIVEAU WAARDE - 1e toetsperiode'!E41</f>
        <v>0</v>
      </c>
      <c r="H37" s="95">
        <f>'NIVEAU WAARDE - 2e toetsperiode'!E41</f>
        <v>0</v>
      </c>
      <c r="I37" s="96" t="str">
        <f t="shared" si="0"/>
        <v/>
      </c>
      <c r="J37" s="236" t="str">
        <f t="shared" si="1"/>
        <v/>
      </c>
      <c r="K37" s="124">
        <f>'SPELLEN - 1e periode'!L37</f>
        <v>0</v>
      </c>
      <c r="L37" s="121"/>
      <c r="M37" s="96" t="str">
        <f t="shared" si="2"/>
        <v/>
      </c>
      <c r="N37" s="236" t="str">
        <f t="shared" si="3"/>
        <v/>
      </c>
      <c r="O37" s="1191" t="s">
        <v>135</v>
      </c>
      <c r="P37" s="1194">
        <f>'VERRIJKT - 2e periode'!C17</f>
        <v>0</v>
      </c>
      <c r="Q37" s="116"/>
      <c r="R37" s="120"/>
      <c r="S37" s="120"/>
      <c r="T37" s="120"/>
      <c r="U37" s="120"/>
      <c r="V37" s="120"/>
      <c r="W37" s="120"/>
    </row>
    <row r="38" spans="1:27" ht="19.5" customHeight="1" x14ac:dyDescent="0.2">
      <c r="A38" s="102"/>
      <c r="B38" s="103"/>
      <c r="C38" s="689"/>
      <c r="D38" s="91">
        <v>0</v>
      </c>
      <c r="E38" s="92">
        <v>34</v>
      </c>
      <c r="F38" s="93">
        <f>BEGINBLAD!C37</f>
        <v>0</v>
      </c>
      <c r="G38" s="94">
        <f>'NIVEAU WAARDE - 1e toetsperiode'!E42</f>
        <v>0</v>
      </c>
      <c r="H38" s="95">
        <f>'NIVEAU WAARDE - 2e toetsperiode'!E42</f>
        <v>0</v>
      </c>
      <c r="I38" s="96" t="str">
        <f t="shared" si="0"/>
        <v/>
      </c>
      <c r="J38" s="236" t="str">
        <f t="shared" si="1"/>
        <v/>
      </c>
      <c r="K38" s="124">
        <f>'SPELLEN - 1e periode'!L38</f>
        <v>0</v>
      </c>
      <c r="L38" s="121"/>
      <c r="M38" s="96" t="str">
        <f t="shared" si="2"/>
        <v/>
      </c>
      <c r="N38" s="236" t="str">
        <f t="shared" si="3"/>
        <v/>
      </c>
      <c r="O38" s="1192"/>
      <c r="P38" s="1195"/>
      <c r="Q38" s="116"/>
      <c r="R38" s="120"/>
      <c r="S38" s="120"/>
      <c r="T38" s="120"/>
      <c r="U38" s="120"/>
      <c r="V38" s="120"/>
      <c r="W38" s="120"/>
    </row>
    <row r="39" spans="1:27" ht="19.5" customHeight="1" x14ac:dyDescent="0.2">
      <c r="A39" s="102"/>
      <c r="B39" s="103"/>
      <c r="C39" s="689"/>
      <c r="D39" s="91">
        <v>0</v>
      </c>
      <c r="E39" s="92">
        <v>35</v>
      </c>
      <c r="F39" s="93">
        <f>BEGINBLAD!C38</f>
        <v>0</v>
      </c>
      <c r="G39" s="94">
        <f>'NIVEAU WAARDE - 1e toetsperiode'!E43</f>
        <v>0</v>
      </c>
      <c r="H39" s="95">
        <f>'NIVEAU WAARDE - 2e toetsperiode'!E43</f>
        <v>0</v>
      </c>
      <c r="I39" s="96" t="str">
        <f t="shared" si="0"/>
        <v/>
      </c>
      <c r="J39" s="236" t="str">
        <f t="shared" si="1"/>
        <v/>
      </c>
      <c r="K39" s="124">
        <f>'SPELLEN - 1e periode'!L39</f>
        <v>0</v>
      </c>
      <c r="L39" s="121"/>
      <c r="M39" s="96" t="str">
        <f t="shared" si="2"/>
        <v/>
      </c>
      <c r="N39" s="236" t="str">
        <f t="shared" si="3"/>
        <v/>
      </c>
      <c r="O39" s="1192" t="s">
        <v>137</v>
      </c>
      <c r="P39" s="1189">
        <f>'VERRIJKT - 2e periode'!C19</f>
        <v>0</v>
      </c>
      <c r="Q39" s="116"/>
      <c r="R39" s="120"/>
      <c r="S39" s="120"/>
      <c r="T39" s="120"/>
      <c r="U39" s="120"/>
      <c r="V39" s="120"/>
      <c r="W39" s="120"/>
    </row>
    <row r="40" spans="1:27" s="89" customFormat="1" ht="19.5" customHeight="1" thickBot="1" x14ac:dyDescent="0.25">
      <c r="A40" s="102"/>
      <c r="B40" s="103"/>
      <c r="C40" s="689"/>
      <c r="D40" s="91">
        <v>0</v>
      </c>
      <c r="E40" s="130">
        <v>36</v>
      </c>
      <c r="F40" s="131">
        <f>BEGINBLAD!C39</f>
        <v>0</v>
      </c>
      <c r="G40" s="132">
        <f>'NIVEAU WAARDE - 1e toetsperiode'!E44</f>
        <v>0</v>
      </c>
      <c r="H40" s="133">
        <f>'NIVEAU WAARDE - 2e toetsperiode'!E44</f>
        <v>0</v>
      </c>
      <c r="I40" s="134" t="str">
        <f t="shared" si="0"/>
        <v/>
      </c>
      <c r="J40" s="236" t="str">
        <f t="shared" si="1"/>
        <v/>
      </c>
      <c r="K40" s="244">
        <f>'SPELLEN - 1e periode'!L40</f>
        <v>0</v>
      </c>
      <c r="L40" s="135"/>
      <c r="M40" s="134" t="str">
        <f t="shared" si="2"/>
        <v/>
      </c>
      <c r="N40" s="236" t="str">
        <f t="shared" si="3"/>
        <v/>
      </c>
      <c r="O40" s="1192"/>
      <c r="P40" s="1189"/>
      <c r="Q40" s="116"/>
      <c r="R40" s="120"/>
      <c r="S40" s="120"/>
      <c r="T40" s="120"/>
      <c r="U40" s="120"/>
      <c r="V40" s="120"/>
      <c r="W40" s="120"/>
      <c r="X40" s="114"/>
      <c r="Y40" s="114"/>
      <c r="Z40" s="114"/>
      <c r="AA40" s="114"/>
    </row>
    <row r="41" spans="1:27" ht="19.5" customHeight="1" thickBot="1" x14ac:dyDescent="0.25">
      <c r="A41" s="137"/>
      <c r="B41" s="138"/>
      <c r="C41" s="1202" t="s">
        <v>109</v>
      </c>
      <c r="D41" s="1202"/>
      <c r="E41" s="1202"/>
      <c r="F41" s="1202"/>
      <c r="G41" s="1203" t="s">
        <v>108</v>
      </c>
      <c r="H41" s="1203"/>
      <c r="I41" s="1203"/>
      <c r="J41" s="1203"/>
      <c r="K41" s="1203"/>
      <c r="L41" s="1203"/>
      <c r="M41" s="1203"/>
      <c r="O41" s="1192"/>
      <c r="P41" s="1189"/>
      <c r="Q41" s="116"/>
      <c r="R41" s="139"/>
      <c r="S41" s="139"/>
      <c r="T41" s="139"/>
      <c r="U41" s="139"/>
      <c r="V41" s="139"/>
      <c r="W41" s="139"/>
    </row>
    <row r="42" spans="1:27" ht="19.5" customHeight="1" x14ac:dyDescent="0.2">
      <c r="A42" s="116"/>
      <c r="B42" s="159"/>
      <c r="C42" s="166" t="s">
        <v>214</v>
      </c>
      <c r="D42" s="1204"/>
      <c r="E42" s="1205"/>
      <c r="F42" s="1240"/>
      <c r="G42" s="1207" t="s">
        <v>214</v>
      </c>
      <c r="H42" s="1208"/>
      <c r="I42" s="1231"/>
      <c r="J42" s="1231"/>
      <c r="K42" s="1231"/>
      <c r="L42" s="1231"/>
      <c r="M42" s="1232"/>
      <c r="O42" s="1192"/>
      <c r="P42" s="1189"/>
      <c r="Q42" s="116"/>
      <c r="R42" s="139"/>
      <c r="S42" s="139"/>
      <c r="T42" s="139"/>
      <c r="U42" s="139"/>
      <c r="V42" s="139"/>
      <c r="W42" s="139"/>
    </row>
    <row r="43" spans="1:27" ht="19.5" customHeight="1" x14ac:dyDescent="0.2">
      <c r="A43" s="116"/>
      <c r="B43" s="160"/>
      <c r="C43" s="167" t="s">
        <v>215</v>
      </c>
      <c r="D43" s="1210"/>
      <c r="E43" s="1211"/>
      <c r="F43" s="1245"/>
      <c r="G43" s="1213" t="s">
        <v>215</v>
      </c>
      <c r="H43" s="1214"/>
      <c r="I43" s="1233"/>
      <c r="J43" s="1233"/>
      <c r="K43" s="1233"/>
      <c r="L43" s="1233"/>
      <c r="M43" s="1234"/>
      <c r="O43" s="1192"/>
      <c r="P43" s="1189"/>
      <c r="Q43" s="116"/>
      <c r="R43" s="139"/>
      <c r="S43" s="139"/>
      <c r="T43" s="139"/>
      <c r="U43" s="139"/>
      <c r="V43" s="139"/>
      <c r="W43" s="139"/>
    </row>
    <row r="44" spans="1:27" ht="19.5" customHeight="1" x14ac:dyDescent="0.2">
      <c r="A44" s="116"/>
      <c r="B44" s="160"/>
      <c r="C44" s="167" t="s">
        <v>216</v>
      </c>
      <c r="D44" s="1210"/>
      <c r="E44" s="1211"/>
      <c r="F44" s="1245"/>
      <c r="G44" s="1213" t="s">
        <v>216</v>
      </c>
      <c r="H44" s="1214"/>
      <c r="I44" s="1233"/>
      <c r="J44" s="1233"/>
      <c r="K44" s="1233"/>
      <c r="L44" s="1233"/>
      <c r="M44" s="1234"/>
      <c r="O44" s="1192"/>
      <c r="P44" s="1189"/>
      <c r="Q44" s="116"/>
      <c r="R44" s="139"/>
      <c r="S44" s="139"/>
      <c r="T44" s="139"/>
      <c r="U44" s="139"/>
      <c r="V44" s="139"/>
      <c r="W44" s="139"/>
    </row>
    <row r="45" spans="1:27" ht="19.5" customHeight="1" x14ac:dyDescent="0.2">
      <c r="A45" s="116"/>
      <c r="B45" s="160"/>
      <c r="C45" s="167" t="s">
        <v>217</v>
      </c>
      <c r="D45" s="1210"/>
      <c r="E45" s="1211"/>
      <c r="F45" s="1245"/>
      <c r="G45" s="1213" t="s">
        <v>217</v>
      </c>
      <c r="H45" s="1214"/>
      <c r="I45" s="1233"/>
      <c r="J45" s="1233"/>
      <c r="K45" s="1233"/>
      <c r="L45" s="1233"/>
      <c r="M45" s="1234"/>
      <c r="O45" s="1192"/>
      <c r="P45" s="1189"/>
      <c r="Q45" s="116"/>
      <c r="R45" s="139"/>
      <c r="S45" s="139"/>
      <c r="T45" s="139"/>
      <c r="U45" s="139"/>
      <c r="V45" s="139"/>
      <c r="W45" s="139"/>
    </row>
    <row r="46" spans="1:27" ht="19.5" customHeight="1" thickBot="1" x14ac:dyDescent="0.25">
      <c r="A46" s="116"/>
      <c r="B46" s="160"/>
      <c r="C46" s="168" t="s">
        <v>218</v>
      </c>
      <c r="D46" s="1222"/>
      <c r="E46" s="1223"/>
      <c r="F46" s="1249"/>
      <c r="G46" s="1225" t="s">
        <v>218</v>
      </c>
      <c r="H46" s="1226"/>
      <c r="I46" s="1238"/>
      <c r="J46" s="1238"/>
      <c r="K46" s="1238"/>
      <c r="L46" s="1238"/>
      <c r="M46" s="1239"/>
      <c r="O46" s="1193"/>
      <c r="P46" s="1190"/>
      <c r="Q46" s="116"/>
      <c r="R46" s="120"/>
      <c r="S46" s="120"/>
      <c r="T46" s="120"/>
      <c r="U46" s="120"/>
      <c r="V46" s="120"/>
      <c r="W46" s="120"/>
    </row>
    <row r="47" spans="1:27" x14ac:dyDescent="0.2">
      <c r="B47" s="140"/>
      <c r="C47" s="145"/>
      <c r="D47" s="499"/>
      <c r="E47" s="500"/>
      <c r="F47" s="500"/>
      <c r="G47" s="500"/>
      <c r="H47" s="197"/>
      <c r="I47" s="142"/>
      <c r="J47" s="142"/>
      <c r="K47" s="1235" t="s">
        <v>213</v>
      </c>
      <c r="L47" s="1235"/>
      <c r="M47" s="1235"/>
      <c r="N47" s="141"/>
      <c r="O47" s="151"/>
      <c r="P47" s="151"/>
      <c r="Q47" s="116"/>
      <c r="R47" s="120"/>
      <c r="S47" s="120"/>
      <c r="T47" s="120"/>
      <c r="U47" s="120"/>
      <c r="V47" s="120"/>
      <c r="W47" s="120"/>
    </row>
    <row r="48" spans="1:27" x14ac:dyDescent="0.2">
      <c r="B48" s="161"/>
      <c r="C48" s="154"/>
      <c r="D48" s="208">
        <f>BEGINBLAD!$D$40</f>
        <v>26</v>
      </c>
      <c r="E48" s="199"/>
      <c r="F48" s="200" t="s">
        <v>288</v>
      </c>
      <c r="G48" s="207">
        <f>H48/$D$49</f>
        <v>0.34615384615384615</v>
      </c>
      <c r="H48" s="111">
        <f>COUNTIF($I$5:$I$40,"A-1+")</f>
        <v>9</v>
      </c>
      <c r="I48" s="111"/>
      <c r="J48" s="198" t="s">
        <v>289</v>
      </c>
      <c r="K48" s="198"/>
      <c r="L48" s="198"/>
      <c r="M48" s="222">
        <f>G48+G49+G50+G51+G52</f>
        <v>0.73076923076923073</v>
      </c>
      <c r="N48" s="222">
        <v>1</v>
      </c>
      <c r="O48" s="223"/>
      <c r="P48" s="141"/>
      <c r="Q48" s="116"/>
      <c r="R48" s="120"/>
      <c r="S48" s="120"/>
      <c r="T48" s="120"/>
      <c r="U48" s="120"/>
      <c r="V48" s="120"/>
      <c r="W48" s="120"/>
    </row>
    <row r="49" spans="2:23" x14ac:dyDescent="0.2">
      <c r="B49" s="161"/>
      <c r="C49" s="154"/>
      <c r="D49" s="205">
        <f>COUNTIF(H5:H40,"&gt;0")</f>
        <v>26</v>
      </c>
      <c r="E49" s="199"/>
      <c r="F49" s="200" t="s">
        <v>290</v>
      </c>
      <c r="G49" s="207">
        <f>H49/$D$49</f>
        <v>7.6923076923076927E-2</v>
      </c>
      <c r="H49" s="111">
        <f>COUNTIF($I$5:$I$40,"A-1")</f>
        <v>2</v>
      </c>
      <c r="I49" s="111"/>
      <c r="J49" s="198"/>
      <c r="K49" s="198"/>
      <c r="L49" s="198"/>
      <c r="M49" s="222"/>
      <c r="N49" s="222">
        <v>0.7</v>
      </c>
      <c r="O49" s="224"/>
      <c r="P49" s="153"/>
      <c r="Q49" s="116"/>
      <c r="R49" s="120"/>
      <c r="S49" s="120"/>
      <c r="T49" s="120"/>
      <c r="U49" s="120"/>
      <c r="V49" s="120"/>
      <c r="W49" s="120"/>
    </row>
    <row r="50" spans="2:23" x14ac:dyDescent="0.2">
      <c r="B50" s="161"/>
      <c r="C50" s="154"/>
      <c r="D50" s="201"/>
      <c r="E50" s="199"/>
      <c r="F50" s="202" t="s">
        <v>291</v>
      </c>
      <c r="G50" s="207">
        <f>(H50+I50)/$D$49</f>
        <v>0.23076923076923078</v>
      </c>
      <c r="H50" s="111">
        <f>COUNTIF($I$5:$I$40,"A-2")</f>
        <v>3</v>
      </c>
      <c r="I50" s="111">
        <f>COUNTIF($I$5:$I$40,"B-2")</f>
        <v>3</v>
      </c>
      <c r="J50" s="198"/>
      <c r="K50" s="198"/>
      <c r="L50" s="198"/>
      <c r="M50" s="222"/>
      <c r="N50" s="222">
        <v>0.6</v>
      </c>
      <c r="O50" s="224"/>
      <c r="P50" s="153"/>
      <c r="Q50" s="116"/>
      <c r="R50" s="120"/>
      <c r="S50" s="120"/>
      <c r="T50" s="120"/>
      <c r="U50" s="120"/>
      <c r="V50" s="120"/>
      <c r="W50" s="120"/>
    </row>
    <row r="51" spans="2:23" x14ac:dyDescent="0.2">
      <c r="B51" s="161"/>
      <c r="C51" s="154"/>
      <c r="D51" s="201"/>
      <c r="E51" s="199"/>
      <c r="F51" s="200" t="s">
        <v>292</v>
      </c>
      <c r="G51" s="207">
        <f>H51/$D$49</f>
        <v>3.8461538461538464E-2</v>
      </c>
      <c r="H51" s="111">
        <f>COUNTIF($I$5:$I$40,"B-3")</f>
        <v>1</v>
      </c>
      <c r="I51" s="111"/>
      <c r="J51" s="198"/>
      <c r="K51" s="198"/>
      <c r="L51" s="198"/>
      <c r="M51" s="222"/>
      <c r="N51" s="222">
        <f>$M$48</f>
        <v>0.73076923076923073</v>
      </c>
      <c r="O51" s="224"/>
      <c r="P51" s="153"/>
      <c r="Q51" s="116"/>
      <c r="R51" s="120"/>
      <c r="S51" s="120"/>
      <c r="T51" s="120"/>
      <c r="U51" s="120"/>
      <c r="V51" s="120"/>
      <c r="W51" s="120"/>
    </row>
    <row r="52" spans="2:23" x14ac:dyDescent="0.2">
      <c r="B52" s="161"/>
      <c r="C52" s="154"/>
      <c r="D52" s="201"/>
      <c r="E52" s="199"/>
      <c r="F52" s="200" t="s">
        <v>293</v>
      </c>
      <c r="G52" s="207">
        <f>H52/$D$49</f>
        <v>3.8461538461538464E-2</v>
      </c>
      <c r="H52" s="111">
        <f>COUNTIF($I$5:$I$40,"c-3")</f>
        <v>1</v>
      </c>
      <c r="I52" s="111"/>
      <c r="J52" s="198" t="s">
        <v>294</v>
      </c>
      <c r="K52" s="198"/>
      <c r="L52" s="198"/>
      <c r="M52" s="222">
        <f>G53+G54+G55+G57</f>
        <v>0.26923076923076927</v>
      </c>
      <c r="N52" s="225"/>
      <c r="O52" s="224"/>
      <c r="P52" s="153"/>
      <c r="Q52" s="116"/>
      <c r="R52" s="120"/>
      <c r="S52" s="120"/>
      <c r="T52" s="120"/>
      <c r="U52" s="120"/>
      <c r="V52" s="120"/>
      <c r="W52" s="120"/>
    </row>
    <row r="53" spans="2:23" x14ac:dyDescent="0.2">
      <c r="B53" s="161"/>
      <c r="C53" s="154"/>
      <c r="D53" s="201"/>
      <c r="E53" s="199"/>
      <c r="F53" s="202" t="s">
        <v>295</v>
      </c>
      <c r="G53" s="207">
        <f>H53/$D$49</f>
        <v>0.15384615384615385</v>
      </c>
      <c r="H53" s="111">
        <f>COUNTIF($I$5:$I$40,"c-4")</f>
        <v>4</v>
      </c>
      <c r="I53" s="208"/>
      <c r="J53" s="198"/>
      <c r="K53" s="198"/>
      <c r="L53" s="198"/>
      <c r="M53" s="222"/>
      <c r="N53" s="225"/>
      <c r="O53" s="224"/>
      <c r="P53" s="153"/>
      <c r="Q53" s="116"/>
      <c r="R53" s="120"/>
      <c r="S53" s="120"/>
      <c r="T53" s="120"/>
      <c r="U53" s="120"/>
      <c r="V53" s="120"/>
      <c r="W53" s="120"/>
    </row>
    <row r="54" spans="2:23" x14ac:dyDescent="0.2">
      <c r="B54" s="161"/>
      <c r="C54" s="154"/>
      <c r="D54" s="201"/>
      <c r="E54" s="199"/>
      <c r="F54" s="199" t="s">
        <v>296</v>
      </c>
      <c r="G54" s="207">
        <f>H54/$D$49</f>
        <v>0</v>
      </c>
      <c r="H54" s="111">
        <f>COUNTIF($I$5:$I$40,"d-4")</f>
        <v>0</v>
      </c>
      <c r="I54" s="208"/>
      <c r="J54" s="198"/>
      <c r="K54" s="198"/>
      <c r="L54" s="198"/>
      <c r="M54" s="222"/>
      <c r="N54" s="225"/>
      <c r="O54" s="224"/>
      <c r="P54" s="153"/>
      <c r="Q54" s="116"/>
      <c r="R54" s="120"/>
      <c r="S54" s="120"/>
      <c r="T54" s="120"/>
      <c r="U54" s="120"/>
      <c r="V54" s="120"/>
      <c r="W54" s="120"/>
    </row>
    <row r="55" spans="2:23" x14ac:dyDescent="0.2">
      <c r="B55" s="161"/>
      <c r="C55" s="154"/>
      <c r="D55" s="201"/>
      <c r="E55" s="199"/>
      <c r="F55" s="200" t="s">
        <v>297</v>
      </c>
      <c r="G55" s="207">
        <f>(H55+I55)/$D$49</f>
        <v>0.11538461538461539</v>
      </c>
      <c r="H55" s="111">
        <f>COUNTIF($I$5:$I$40,"d-5")</f>
        <v>2</v>
      </c>
      <c r="I55" s="111">
        <f>COUNTIF($I$5:$I$40,"e-5")</f>
        <v>1</v>
      </c>
      <c r="J55" s="198"/>
      <c r="K55" s="198"/>
      <c r="L55" s="198"/>
      <c r="M55" s="222"/>
      <c r="N55" s="225"/>
      <c r="O55" s="224"/>
      <c r="P55" s="153"/>
      <c r="Q55" s="116"/>
      <c r="R55" s="120"/>
      <c r="S55" s="120"/>
      <c r="T55" s="120"/>
      <c r="U55" s="120"/>
      <c r="V55" s="120"/>
      <c r="W55" s="120"/>
    </row>
    <row r="56" spans="2:23" x14ac:dyDescent="0.2">
      <c r="B56" s="161"/>
      <c r="C56" s="154"/>
      <c r="D56" s="201"/>
      <c r="E56" s="199"/>
      <c r="F56" s="200"/>
      <c r="G56" s="207"/>
      <c r="H56" s="111"/>
      <c r="I56" s="111"/>
      <c r="J56" s="198" t="s">
        <v>50</v>
      </c>
      <c r="K56" s="198"/>
      <c r="L56" s="198"/>
      <c r="M56" s="222">
        <f>M48+M52</f>
        <v>1</v>
      </c>
      <c r="N56" s="1209"/>
      <c r="O56" s="224"/>
      <c r="P56" s="153"/>
      <c r="Q56" s="116"/>
      <c r="R56" s="120"/>
      <c r="S56" s="120"/>
      <c r="T56" s="120"/>
      <c r="U56" s="120"/>
      <c r="V56" s="120"/>
      <c r="W56" s="120"/>
    </row>
    <row r="57" spans="2:23" x14ac:dyDescent="0.2">
      <c r="B57" s="161"/>
      <c r="C57" s="154"/>
      <c r="D57" s="201"/>
      <c r="E57" s="199"/>
      <c r="F57" s="203" t="s">
        <v>298</v>
      </c>
      <c r="G57" s="207">
        <f>H57/$D$49</f>
        <v>0</v>
      </c>
      <c r="H57" s="111">
        <f>COUNTIF($I$5:$I$40,"e-5-")</f>
        <v>0</v>
      </c>
      <c r="I57" s="111"/>
      <c r="J57" s="198"/>
      <c r="K57" s="198"/>
      <c r="L57" s="198"/>
      <c r="M57" s="222"/>
      <c r="N57" s="1209"/>
      <c r="O57" s="224"/>
      <c r="P57" s="153"/>
      <c r="Q57" s="116"/>
      <c r="R57" s="120"/>
      <c r="S57" s="120"/>
      <c r="T57" s="120"/>
      <c r="U57" s="120"/>
      <c r="V57" s="120"/>
      <c r="W57" s="120"/>
    </row>
    <row r="58" spans="2:23" x14ac:dyDescent="0.2">
      <c r="B58" s="161"/>
      <c r="C58" s="145"/>
      <c r="D58" s="201"/>
      <c r="E58" s="199"/>
      <c r="F58" s="200" t="s">
        <v>50</v>
      </c>
      <c r="G58" s="204">
        <f>SUM(G48:G57)</f>
        <v>1</v>
      </c>
      <c r="H58" s="693">
        <f>SUM(H48:H57)</f>
        <v>22</v>
      </c>
      <c r="I58" s="693">
        <f>SUM(I48:I57)</f>
        <v>4</v>
      </c>
      <c r="J58" s="208"/>
      <c r="K58" s="208"/>
      <c r="L58" s="223"/>
      <c r="M58" s="223"/>
      <c r="N58" s="223"/>
      <c r="O58" s="223"/>
      <c r="P58" s="151"/>
      <c r="Q58" s="116"/>
      <c r="R58" s="120"/>
      <c r="S58" s="120"/>
      <c r="T58" s="120"/>
      <c r="U58" s="120"/>
      <c r="V58" s="120"/>
      <c r="W58" s="120"/>
    </row>
    <row r="59" spans="2:23" x14ac:dyDescent="0.2">
      <c r="B59" s="161"/>
      <c r="C59" s="145"/>
      <c r="D59" s="201"/>
      <c r="E59" s="199"/>
      <c r="F59" s="196"/>
      <c r="G59" s="196"/>
      <c r="H59" s="208">
        <f>SUM(H58+I58)</f>
        <v>26</v>
      </c>
      <c r="I59" s="208"/>
      <c r="J59" s="208"/>
      <c r="K59" s="208"/>
      <c r="L59" s="223"/>
      <c r="M59" s="223"/>
      <c r="N59" s="223"/>
      <c r="O59" s="223"/>
      <c r="P59" s="151"/>
      <c r="Q59" s="116"/>
      <c r="R59" s="120"/>
      <c r="S59" s="120"/>
      <c r="T59" s="120"/>
      <c r="U59" s="120"/>
      <c r="V59" s="120"/>
      <c r="W59" s="120"/>
    </row>
    <row r="60" spans="2:23" x14ac:dyDescent="0.2">
      <c r="B60" s="161"/>
      <c r="C60" s="145"/>
      <c r="D60" s="205"/>
      <c r="E60" s="196"/>
      <c r="F60" s="199"/>
      <c r="G60" s="207"/>
      <c r="H60" s="197"/>
      <c r="I60" s="197"/>
      <c r="J60" s="197"/>
      <c r="K60" s="197"/>
      <c r="L60" s="223"/>
      <c r="M60" s="223"/>
      <c r="N60" s="223"/>
      <c r="O60" s="223"/>
      <c r="P60" s="151"/>
      <c r="Q60" s="116"/>
      <c r="R60" s="120"/>
      <c r="S60" s="120"/>
      <c r="T60" s="120"/>
      <c r="U60" s="120"/>
      <c r="V60" s="120"/>
      <c r="W60" s="120"/>
    </row>
    <row r="61" spans="2:23" x14ac:dyDescent="0.2">
      <c r="B61" s="161"/>
      <c r="C61" s="145"/>
      <c r="D61" s="205"/>
      <c r="E61" s="196"/>
      <c r="F61" s="206"/>
      <c r="G61" s="207"/>
      <c r="H61" s="197"/>
      <c r="I61" s="197"/>
      <c r="J61" s="197"/>
      <c r="K61" s="197"/>
      <c r="L61" s="223"/>
      <c r="M61" s="223"/>
      <c r="N61" s="223"/>
      <c r="O61" s="223"/>
      <c r="P61" s="151"/>
      <c r="Q61" s="116"/>
      <c r="R61" s="120"/>
      <c r="S61" s="120"/>
      <c r="T61" s="120"/>
      <c r="U61" s="120"/>
      <c r="V61" s="120"/>
      <c r="W61" s="120"/>
    </row>
    <row r="62" spans="2:23" x14ac:dyDescent="0.2">
      <c r="B62" s="162"/>
      <c r="C62" s="169"/>
      <c r="D62" s="144"/>
      <c r="E62" s="145"/>
      <c r="F62" s="170"/>
      <c r="G62" s="171"/>
      <c r="H62" s="142"/>
      <c r="I62" s="142"/>
      <c r="J62" s="142"/>
      <c r="K62" s="142"/>
      <c r="L62" s="141"/>
      <c r="M62" s="141"/>
      <c r="N62" s="141"/>
      <c r="O62" s="141"/>
      <c r="P62" s="151"/>
      <c r="Q62" s="116"/>
      <c r="R62" s="120"/>
      <c r="S62" s="120"/>
      <c r="T62" s="120"/>
      <c r="U62" s="120"/>
      <c r="V62" s="120"/>
      <c r="W62" s="120"/>
    </row>
    <row r="63" spans="2:23" x14ac:dyDescent="0.2">
      <c r="B63" s="161"/>
      <c r="C63" s="145"/>
      <c r="D63" s="144"/>
      <c r="E63" s="145"/>
      <c r="F63" s="145"/>
      <c r="G63" s="145"/>
      <c r="H63" s="142"/>
      <c r="I63" s="142"/>
      <c r="J63" s="142"/>
      <c r="K63" s="142"/>
      <c r="L63" s="141"/>
      <c r="M63" s="141"/>
      <c r="N63" s="141"/>
      <c r="O63" s="141"/>
      <c r="P63" s="151"/>
      <c r="Q63" s="116"/>
      <c r="R63" s="120"/>
      <c r="S63" s="120"/>
      <c r="T63" s="120"/>
      <c r="U63" s="120"/>
      <c r="V63" s="120"/>
      <c r="W63" s="120"/>
    </row>
    <row r="64" spans="2:23" x14ac:dyDescent="0.2">
      <c r="B64" s="161"/>
      <c r="C64" s="143"/>
      <c r="D64" s="144"/>
      <c r="E64" s="145"/>
      <c r="F64" s="145"/>
      <c r="G64" s="145"/>
      <c r="H64" s="142"/>
      <c r="I64" s="142"/>
      <c r="J64" s="142"/>
      <c r="K64" s="142"/>
      <c r="L64" s="143"/>
      <c r="M64" s="141"/>
      <c r="N64" s="141"/>
      <c r="O64" s="141"/>
      <c r="P64" s="141"/>
      <c r="Q64" s="116"/>
      <c r="R64" s="120"/>
      <c r="S64" s="120"/>
      <c r="T64" s="120"/>
      <c r="U64" s="120"/>
      <c r="V64" s="120"/>
      <c r="W64" s="120"/>
    </row>
    <row r="65" spans="3:24" x14ac:dyDescent="0.2">
      <c r="C65" s="143"/>
      <c r="D65" s="144"/>
      <c r="E65" s="145"/>
      <c r="F65" s="145"/>
      <c r="G65" s="145"/>
      <c r="H65" s="142"/>
      <c r="I65" s="142"/>
      <c r="J65" s="142"/>
      <c r="K65" s="142"/>
      <c r="L65" s="143"/>
      <c r="M65" s="141"/>
      <c r="N65" s="141"/>
      <c r="O65" s="141"/>
      <c r="P65" s="141"/>
      <c r="Q65" s="116"/>
      <c r="R65" s="120"/>
      <c r="S65" s="120"/>
      <c r="T65" s="120"/>
      <c r="U65" s="120"/>
      <c r="V65" s="120"/>
      <c r="W65" s="120"/>
    </row>
    <row r="66" spans="3:24" x14ac:dyDescent="0.2">
      <c r="C66" s="143"/>
      <c r="D66" s="144"/>
      <c r="E66" s="145"/>
      <c r="F66" s="145"/>
      <c r="G66" s="145"/>
      <c r="H66" s="142"/>
      <c r="I66" s="142"/>
      <c r="J66" s="142"/>
      <c r="K66" s="142"/>
      <c r="L66" s="143"/>
      <c r="M66" s="141"/>
      <c r="N66" s="155"/>
      <c r="O66" s="141"/>
      <c r="P66" s="141"/>
      <c r="Q66" s="116"/>
      <c r="R66" s="120"/>
      <c r="S66" s="120"/>
      <c r="T66" s="120"/>
      <c r="U66" s="120"/>
      <c r="V66" s="120"/>
      <c r="W66" s="120"/>
      <c r="X66" s="146"/>
    </row>
    <row r="67" spans="3:24" ht="20.25" x14ac:dyDescent="0.2">
      <c r="C67" s="145"/>
      <c r="D67" s="154"/>
      <c r="E67" s="145"/>
      <c r="F67" s="145"/>
      <c r="G67" s="145"/>
      <c r="H67" s="142"/>
      <c r="I67" s="142"/>
      <c r="J67" s="156"/>
      <c r="K67" s="142"/>
      <c r="L67" s="145"/>
      <c r="M67" s="141"/>
      <c r="N67" s="141"/>
      <c r="O67" s="155"/>
      <c r="P67" s="155"/>
      <c r="Q67" s="116"/>
      <c r="R67" s="117"/>
      <c r="S67" s="117"/>
      <c r="T67" s="117"/>
      <c r="U67" s="118"/>
      <c r="V67" s="118"/>
      <c r="W67" s="118"/>
      <c r="X67" s="119"/>
    </row>
    <row r="68" spans="3:24" ht="20.25" x14ac:dyDescent="0.2">
      <c r="C68" s="145"/>
      <c r="D68" s="154"/>
      <c r="E68" s="145"/>
      <c r="F68" s="145"/>
      <c r="G68" s="145"/>
      <c r="H68" s="142"/>
      <c r="I68" s="142"/>
      <c r="J68" s="156"/>
      <c r="K68" s="142"/>
      <c r="L68" s="145"/>
      <c r="M68" s="141"/>
      <c r="N68" s="141"/>
      <c r="O68" s="141"/>
      <c r="P68" s="141"/>
      <c r="Q68" s="116"/>
      <c r="R68" s="120"/>
      <c r="S68" s="120"/>
      <c r="T68" s="120"/>
      <c r="U68" s="120"/>
      <c r="V68" s="120"/>
      <c r="W68" s="120"/>
    </row>
    <row r="69" spans="3:24" ht="20.25" x14ac:dyDescent="0.2">
      <c r="C69" s="143"/>
      <c r="D69" s="154"/>
      <c r="E69" s="143"/>
      <c r="F69" s="143"/>
      <c r="G69" s="143"/>
      <c r="H69" s="142"/>
      <c r="I69" s="142"/>
      <c r="J69" s="156"/>
      <c r="K69" s="142"/>
      <c r="L69" s="143"/>
      <c r="M69" s="141"/>
      <c r="N69" s="141"/>
      <c r="O69" s="141"/>
      <c r="P69" s="141"/>
      <c r="Q69" s="116"/>
      <c r="R69" s="120"/>
      <c r="S69" s="120"/>
      <c r="T69" s="120"/>
      <c r="U69" s="120"/>
      <c r="V69" s="120"/>
      <c r="W69" s="120"/>
    </row>
    <row r="70" spans="3:24" ht="20.25" x14ac:dyDescent="0.2">
      <c r="C70" s="143"/>
      <c r="D70" s="154"/>
      <c r="E70" s="143"/>
      <c r="F70" s="143"/>
      <c r="G70" s="143"/>
      <c r="H70" s="142"/>
      <c r="I70" s="142"/>
      <c r="J70" s="156"/>
      <c r="K70" s="142"/>
      <c r="L70" s="143"/>
      <c r="M70" s="141"/>
      <c r="N70" s="141"/>
      <c r="O70" s="141"/>
      <c r="P70" s="141"/>
      <c r="Q70" s="116"/>
      <c r="R70" s="120"/>
      <c r="S70" s="120"/>
      <c r="T70" s="120"/>
      <c r="U70" s="120"/>
      <c r="V70" s="120"/>
      <c r="W70" s="120"/>
    </row>
    <row r="71" spans="3:24" ht="20.25" x14ac:dyDescent="0.2">
      <c r="C71" s="143"/>
      <c r="D71" s="154"/>
      <c r="E71" s="143"/>
      <c r="F71" s="143"/>
      <c r="G71" s="143"/>
      <c r="H71" s="142"/>
      <c r="I71" s="142"/>
      <c r="J71" s="156"/>
      <c r="K71" s="142"/>
      <c r="L71" s="143"/>
      <c r="M71" s="141"/>
      <c r="N71" s="141"/>
      <c r="O71" s="141"/>
      <c r="P71" s="141"/>
      <c r="Q71" s="116"/>
      <c r="R71" s="120"/>
      <c r="S71" s="120"/>
      <c r="T71" s="120"/>
      <c r="U71" s="120"/>
      <c r="V71" s="120"/>
      <c r="W71" s="120"/>
    </row>
    <row r="72" spans="3:24" x14ac:dyDescent="0.2">
      <c r="C72" s="143"/>
      <c r="D72" s="144"/>
      <c r="E72" s="143"/>
      <c r="F72" s="143"/>
      <c r="G72" s="143"/>
      <c r="H72" s="142"/>
      <c r="I72" s="142"/>
      <c r="J72" s="142"/>
      <c r="K72" s="142"/>
      <c r="L72" s="143"/>
      <c r="M72" s="141"/>
      <c r="N72" s="141"/>
      <c r="O72" s="141"/>
      <c r="P72" s="141"/>
      <c r="Q72" s="116"/>
      <c r="R72" s="120"/>
      <c r="S72" s="120"/>
      <c r="T72" s="120"/>
      <c r="U72" s="120"/>
      <c r="V72" s="120"/>
      <c r="W72" s="120"/>
    </row>
    <row r="73" spans="3:24" x14ac:dyDescent="0.2">
      <c r="C73" s="143"/>
      <c r="D73" s="144"/>
      <c r="E73" s="143"/>
      <c r="F73" s="143"/>
      <c r="G73" s="143"/>
      <c r="H73" s="142"/>
      <c r="I73" s="142"/>
      <c r="J73" s="142"/>
      <c r="K73" s="142"/>
      <c r="L73" s="143"/>
      <c r="M73" s="141"/>
      <c r="N73" s="141"/>
      <c r="O73" s="141"/>
      <c r="P73" s="141"/>
      <c r="Q73" s="116"/>
      <c r="R73" s="120"/>
      <c r="S73" s="120"/>
      <c r="T73" s="120"/>
      <c r="U73" s="120"/>
      <c r="V73" s="120"/>
      <c r="W73" s="120"/>
    </row>
    <row r="74" spans="3:24" x14ac:dyDescent="0.2">
      <c r="C74" s="143"/>
      <c r="D74" s="144"/>
      <c r="E74" s="143"/>
      <c r="F74" s="143"/>
      <c r="G74" s="143"/>
      <c r="H74" s="142"/>
      <c r="I74" s="142"/>
      <c r="J74" s="142"/>
      <c r="K74" s="142"/>
      <c r="L74" s="143"/>
      <c r="M74" s="141"/>
      <c r="N74" s="141"/>
      <c r="O74" s="141"/>
      <c r="P74" s="141"/>
      <c r="Q74" s="116"/>
      <c r="R74" s="120"/>
      <c r="S74" s="120"/>
      <c r="T74" s="120"/>
      <c r="U74" s="120"/>
      <c r="V74" s="120"/>
      <c r="W74" s="120"/>
    </row>
    <row r="75" spans="3:24" x14ac:dyDescent="0.2">
      <c r="C75" s="143"/>
      <c r="D75" s="144"/>
      <c r="E75" s="143"/>
      <c r="F75" s="143"/>
      <c r="G75" s="143"/>
      <c r="H75" s="142"/>
      <c r="I75" s="142"/>
      <c r="J75" s="142"/>
      <c r="K75" s="142"/>
      <c r="L75" s="143"/>
      <c r="M75" s="141"/>
      <c r="N75" s="141"/>
      <c r="O75" s="141"/>
      <c r="P75" s="141"/>
      <c r="Q75" s="116"/>
      <c r="R75" s="120"/>
      <c r="S75" s="120"/>
      <c r="T75" s="120"/>
      <c r="U75" s="120"/>
      <c r="V75" s="120"/>
      <c r="W75" s="120"/>
    </row>
    <row r="76" spans="3:24" x14ac:dyDescent="0.2">
      <c r="C76" s="143"/>
      <c r="D76" s="144"/>
      <c r="E76" s="143"/>
      <c r="F76" s="143"/>
      <c r="G76" s="143"/>
      <c r="H76" s="142"/>
      <c r="I76" s="142"/>
      <c r="J76" s="142"/>
      <c r="K76" s="142"/>
      <c r="L76" s="143"/>
      <c r="M76" s="141"/>
      <c r="N76" s="141"/>
      <c r="O76" s="141"/>
      <c r="P76" s="141"/>
      <c r="Q76" s="116"/>
      <c r="R76" s="120"/>
      <c r="S76" s="120"/>
      <c r="T76" s="120"/>
      <c r="U76" s="120"/>
      <c r="V76" s="120"/>
      <c r="W76" s="120"/>
    </row>
    <row r="77" spans="3:24" x14ac:dyDescent="0.2">
      <c r="C77" s="143"/>
      <c r="D77" s="144"/>
      <c r="E77" s="143"/>
      <c r="F77" s="143"/>
      <c r="G77" s="143"/>
      <c r="H77" s="142"/>
      <c r="I77" s="142"/>
      <c r="J77" s="142"/>
      <c r="K77" s="142"/>
      <c r="L77" s="143"/>
      <c r="M77" s="141"/>
      <c r="N77" s="141"/>
      <c r="O77" s="141"/>
      <c r="P77" s="141"/>
      <c r="Q77" s="116"/>
      <c r="R77" s="120"/>
      <c r="S77" s="120"/>
      <c r="T77" s="120"/>
      <c r="U77" s="120"/>
      <c r="V77" s="120"/>
      <c r="W77" s="120"/>
    </row>
    <row r="78" spans="3:24" x14ac:dyDescent="0.2">
      <c r="C78" s="143"/>
      <c r="D78" s="144"/>
      <c r="E78" s="143"/>
      <c r="F78" s="143"/>
      <c r="G78" s="143"/>
      <c r="H78" s="142"/>
      <c r="I78" s="142"/>
      <c r="J78" s="142"/>
      <c r="K78" s="142"/>
      <c r="L78" s="143"/>
      <c r="M78" s="141"/>
      <c r="N78" s="141"/>
      <c r="O78" s="141"/>
      <c r="P78" s="141"/>
      <c r="Q78" s="116"/>
      <c r="R78" s="120"/>
      <c r="S78" s="120"/>
      <c r="T78" s="120"/>
      <c r="U78" s="120"/>
      <c r="V78" s="120"/>
      <c r="W78" s="120"/>
    </row>
    <row r="79" spans="3:24" x14ac:dyDescent="0.2">
      <c r="C79" s="143"/>
      <c r="D79" s="144"/>
      <c r="E79" s="143"/>
      <c r="F79" s="143"/>
      <c r="G79" s="143"/>
      <c r="H79" s="142"/>
      <c r="I79" s="142"/>
      <c r="J79" s="142"/>
      <c r="K79" s="142"/>
      <c r="L79" s="143"/>
      <c r="M79" s="141"/>
      <c r="N79" s="141"/>
      <c r="O79" s="141"/>
      <c r="P79" s="141"/>
      <c r="Q79" s="116"/>
      <c r="R79" s="120"/>
      <c r="S79" s="120"/>
      <c r="T79" s="120"/>
      <c r="U79" s="120"/>
      <c r="V79" s="120"/>
      <c r="W79" s="120"/>
    </row>
    <row r="80" spans="3:24" x14ac:dyDescent="0.2">
      <c r="C80" s="143"/>
      <c r="D80" s="144"/>
      <c r="E80" s="143"/>
      <c r="F80" s="143"/>
      <c r="G80" s="143"/>
      <c r="H80" s="142"/>
      <c r="I80" s="142"/>
      <c r="J80" s="142"/>
      <c r="K80" s="142"/>
      <c r="L80" s="143"/>
      <c r="M80" s="141"/>
      <c r="N80" s="141"/>
      <c r="O80" s="141"/>
      <c r="P80" s="141"/>
      <c r="Q80" s="116"/>
      <c r="R80" s="120"/>
      <c r="S80" s="120"/>
      <c r="T80" s="120"/>
      <c r="U80" s="120"/>
      <c r="V80" s="120"/>
      <c r="W80" s="120"/>
    </row>
    <row r="81" spans="3:23" x14ac:dyDescent="0.2">
      <c r="C81" s="143"/>
      <c r="D81" s="144"/>
      <c r="E81" s="143"/>
      <c r="F81" s="143"/>
      <c r="G81" s="143"/>
      <c r="H81" s="142"/>
      <c r="I81" s="142"/>
      <c r="J81" s="142"/>
      <c r="K81" s="142"/>
      <c r="L81" s="143"/>
      <c r="M81" s="141"/>
      <c r="N81" s="141"/>
      <c r="O81" s="141"/>
      <c r="P81" s="141"/>
      <c r="Q81" s="116"/>
      <c r="R81" s="120"/>
      <c r="S81" s="120"/>
      <c r="T81" s="120"/>
      <c r="U81" s="120"/>
      <c r="V81" s="120"/>
      <c r="W81" s="120"/>
    </row>
    <row r="82" spans="3:23" x14ac:dyDescent="0.2">
      <c r="C82" s="143"/>
      <c r="D82" s="144"/>
      <c r="E82" s="143"/>
      <c r="F82" s="143"/>
      <c r="G82" s="143"/>
      <c r="H82" s="142"/>
      <c r="I82" s="142"/>
      <c r="J82" s="142"/>
      <c r="K82" s="142"/>
      <c r="L82" s="143"/>
      <c r="M82" s="141"/>
      <c r="N82" s="141"/>
      <c r="O82" s="141"/>
      <c r="P82" s="141"/>
      <c r="Q82" s="116"/>
      <c r="R82" s="120"/>
      <c r="S82" s="120"/>
      <c r="T82" s="120"/>
      <c r="U82" s="120"/>
      <c r="V82" s="120"/>
      <c r="W82" s="120"/>
    </row>
    <row r="83" spans="3:23" x14ac:dyDescent="0.2">
      <c r="C83" s="143"/>
      <c r="D83" s="144"/>
      <c r="E83" s="143"/>
      <c r="F83" s="143"/>
      <c r="G83" s="143"/>
      <c r="H83" s="142"/>
      <c r="I83" s="142"/>
      <c r="J83" s="142"/>
      <c r="K83" s="142"/>
      <c r="L83" s="143"/>
      <c r="M83" s="141"/>
      <c r="N83" s="141"/>
      <c r="O83" s="141"/>
      <c r="P83" s="141"/>
      <c r="Q83" s="116"/>
      <c r="R83" s="120"/>
      <c r="S83" s="120"/>
      <c r="T83" s="120"/>
      <c r="U83" s="120"/>
      <c r="V83" s="120"/>
      <c r="W83" s="120"/>
    </row>
    <row r="84" spans="3:23" x14ac:dyDescent="0.2">
      <c r="C84" s="143"/>
      <c r="D84" s="144"/>
      <c r="E84" s="143"/>
      <c r="F84" s="143"/>
      <c r="G84" s="143"/>
      <c r="H84" s="142"/>
      <c r="I84" s="142"/>
      <c r="J84" s="142"/>
      <c r="K84" s="142"/>
      <c r="L84" s="143"/>
      <c r="M84" s="141"/>
      <c r="N84" s="141"/>
      <c r="O84" s="141"/>
      <c r="P84" s="141"/>
      <c r="Q84" s="116"/>
      <c r="R84" s="120"/>
      <c r="S84" s="120"/>
      <c r="T84" s="120"/>
      <c r="U84" s="120"/>
      <c r="V84" s="120"/>
      <c r="W84" s="120"/>
    </row>
    <row r="85" spans="3:23" x14ac:dyDescent="0.2">
      <c r="C85" s="143"/>
      <c r="D85" s="152"/>
      <c r="E85" s="157"/>
      <c r="F85" s="157"/>
      <c r="G85" s="157"/>
      <c r="H85" s="158"/>
      <c r="I85" s="158"/>
      <c r="J85" s="158"/>
      <c r="K85" s="158"/>
      <c r="L85" s="143"/>
      <c r="M85" s="141"/>
      <c r="N85" s="141"/>
      <c r="O85" s="141"/>
      <c r="P85" s="141"/>
      <c r="Q85" s="116"/>
      <c r="R85" s="120"/>
      <c r="S85" s="120"/>
      <c r="T85" s="120"/>
      <c r="U85" s="120"/>
      <c r="V85" s="120"/>
      <c r="W85" s="120"/>
    </row>
    <row r="86" spans="3:23" x14ac:dyDescent="0.2">
      <c r="M86" s="89"/>
      <c r="N86" s="89"/>
      <c r="O86" s="89"/>
      <c r="P86" s="89"/>
      <c r="Q86" s="116"/>
      <c r="R86" s="120"/>
      <c r="S86" s="120"/>
      <c r="T86" s="120"/>
      <c r="U86" s="120"/>
      <c r="V86" s="120"/>
      <c r="W86" s="120"/>
    </row>
    <row r="87" spans="3:23" x14ac:dyDescent="0.2">
      <c r="M87" s="89"/>
      <c r="N87" s="89"/>
      <c r="O87" s="89"/>
      <c r="P87" s="89"/>
      <c r="Q87" s="116"/>
      <c r="R87" s="120"/>
      <c r="S87" s="120"/>
      <c r="T87" s="120"/>
      <c r="U87" s="120"/>
      <c r="V87" s="120"/>
      <c r="W87" s="120"/>
    </row>
    <row r="88" spans="3:23" x14ac:dyDescent="0.2">
      <c r="M88" s="89"/>
      <c r="N88" s="89"/>
      <c r="O88" s="89"/>
      <c r="P88" s="89"/>
      <c r="Q88" s="89"/>
      <c r="R88" s="120"/>
      <c r="S88" s="120"/>
      <c r="T88" s="120"/>
      <c r="U88" s="120"/>
      <c r="V88" s="120"/>
      <c r="W88" s="120"/>
    </row>
    <row r="89" spans="3:23" x14ac:dyDescent="0.2">
      <c r="M89" s="89"/>
      <c r="N89" s="89"/>
      <c r="O89" s="89"/>
      <c r="P89" s="89"/>
      <c r="Q89" s="89"/>
      <c r="R89" s="120"/>
      <c r="S89" s="120"/>
      <c r="T89" s="120"/>
      <c r="U89" s="120"/>
      <c r="V89" s="120"/>
      <c r="W89" s="120"/>
    </row>
    <row r="90" spans="3:23" x14ac:dyDescent="0.2">
      <c r="M90" s="89"/>
      <c r="N90" s="89"/>
      <c r="O90" s="89"/>
      <c r="P90" s="89"/>
      <c r="Q90" s="89"/>
      <c r="R90" s="120"/>
      <c r="S90" s="120"/>
      <c r="T90" s="120"/>
      <c r="U90" s="120"/>
      <c r="V90" s="120"/>
      <c r="W90" s="120"/>
    </row>
    <row r="91" spans="3:23" x14ac:dyDescent="0.2">
      <c r="M91" s="89"/>
      <c r="N91" s="89"/>
      <c r="O91" s="89"/>
      <c r="P91" s="89"/>
      <c r="Q91" s="89"/>
      <c r="R91" s="120"/>
      <c r="S91" s="120"/>
      <c r="T91" s="120"/>
      <c r="U91" s="120"/>
      <c r="V91" s="120"/>
      <c r="W91" s="120"/>
    </row>
    <row r="92" spans="3:23" x14ac:dyDescent="0.2">
      <c r="R92" s="146"/>
      <c r="S92" s="146"/>
      <c r="T92" s="146"/>
      <c r="U92" s="146"/>
      <c r="V92" s="146"/>
      <c r="W92" s="146"/>
    </row>
    <row r="93" spans="3:23" x14ac:dyDescent="0.2">
      <c r="R93" s="146"/>
      <c r="S93" s="146"/>
      <c r="T93" s="146"/>
      <c r="U93" s="146"/>
      <c r="V93" s="146"/>
      <c r="W93" s="146"/>
    </row>
    <row r="94" spans="3:23" x14ac:dyDescent="0.2">
      <c r="R94" s="146"/>
      <c r="S94" s="146"/>
      <c r="T94" s="146"/>
      <c r="U94" s="146"/>
      <c r="V94" s="146"/>
      <c r="W94" s="146"/>
    </row>
    <row r="95" spans="3:23" x14ac:dyDescent="0.2">
      <c r="R95" s="146"/>
      <c r="S95" s="146"/>
      <c r="T95" s="146"/>
      <c r="U95" s="146"/>
      <c r="V95" s="146"/>
      <c r="W95" s="146"/>
    </row>
    <row r="96" spans="3:23" x14ac:dyDescent="0.2">
      <c r="R96" s="146"/>
      <c r="S96" s="146"/>
      <c r="T96" s="146"/>
      <c r="U96" s="146"/>
      <c r="V96" s="146"/>
      <c r="W96" s="146"/>
    </row>
    <row r="97" spans="18:23" x14ac:dyDescent="0.2">
      <c r="R97" s="146"/>
      <c r="S97" s="146"/>
      <c r="T97" s="146"/>
      <c r="U97" s="146"/>
      <c r="V97" s="146"/>
      <c r="W97" s="146"/>
    </row>
    <row r="98" spans="18:23" x14ac:dyDescent="0.2">
      <c r="R98" s="146"/>
      <c r="S98" s="146"/>
      <c r="T98" s="146"/>
      <c r="U98" s="146"/>
      <c r="V98" s="146"/>
      <c r="W98" s="146"/>
    </row>
    <row r="99" spans="18:23" x14ac:dyDescent="0.2">
      <c r="R99" s="146"/>
      <c r="S99" s="146"/>
      <c r="T99" s="146"/>
      <c r="U99" s="146"/>
      <c r="V99" s="146"/>
      <c r="W99" s="146"/>
    </row>
    <row r="100" spans="18:23" x14ac:dyDescent="0.2">
      <c r="R100" s="146"/>
      <c r="S100" s="146"/>
      <c r="T100" s="146"/>
      <c r="U100" s="146"/>
      <c r="V100" s="146"/>
      <c r="W100" s="146"/>
    </row>
    <row r="101" spans="18:23" x14ac:dyDescent="0.2">
      <c r="R101" s="146"/>
      <c r="S101" s="146"/>
      <c r="T101" s="146"/>
      <c r="U101" s="146"/>
      <c r="V101" s="146"/>
      <c r="W101" s="146"/>
    </row>
    <row r="102" spans="18:23" x14ac:dyDescent="0.2">
      <c r="R102" s="146"/>
      <c r="S102" s="146"/>
      <c r="T102" s="146"/>
      <c r="U102" s="146"/>
      <c r="V102" s="146"/>
      <c r="W102" s="146"/>
    </row>
    <row r="103" spans="18:23" x14ac:dyDescent="0.2">
      <c r="R103" s="146"/>
      <c r="S103" s="146"/>
      <c r="T103" s="146"/>
      <c r="U103" s="146"/>
      <c r="V103" s="146"/>
      <c r="W103" s="146"/>
    </row>
    <row r="104" spans="18:23" x14ac:dyDescent="0.2">
      <c r="R104" s="146"/>
      <c r="S104" s="146"/>
      <c r="T104" s="146"/>
      <c r="U104" s="146"/>
      <c r="V104" s="146"/>
      <c r="W104" s="146"/>
    </row>
    <row r="105" spans="18:23" x14ac:dyDescent="0.2">
      <c r="R105" s="146"/>
      <c r="S105" s="146"/>
      <c r="T105" s="146"/>
      <c r="U105" s="146"/>
      <c r="V105" s="146"/>
      <c r="W105" s="146"/>
    </row>
    <row r="106" spans="18:23" x14ac:dyDescent="0.2">
      <c r="R106" s="146"/>
      <c r="S106" s="146"/>
      <c r="T106" s="146"/>
      <c r="U106" s="146"/>
      <c r="V106" s="146"/>
      <c r="W106" s="146"/>
    </row>
    <row r="107" spans="18:23" x14ac:dyDescent="0.2">
      <c r="R107" s="146"/>
      <c r="S107" s="146"/>
      <c r="T107" s="146"/>
      <c r="U107" s="146"/>
      <c r="V107" s="146"/>
      <c r="W107" s="146"/>
    </row>
    <row r="108" spans="18:23" x14ac:dyDescent="0.2">
      <c r="R108" s="146"/>
      <c r="S108" s="146"/>
      <c r="T108" s="146"/>
      <c r="U108" s="146"/>
      <c r="V108" s="146"/>
      <c r="W108" s="146"/>
    </row>
    <row r="109" spans="18:23" x14ac:dyDescent="0.2">
      <c r="R109" s="146"/>
      <c r="S109" s="146"/>
      <c r="T109" s="146"/>
      <c r="U109" s="146"/>
      <c r="V109" s="146"/>
      <c r="W109" s="146"/>
    </row>
    <row r="110" spans="18:23" x14ac:dyDescent="0.2">
      <c r="R110" s="146"/>
      <c r="S110" s="146"/>
      <c r="T110" s="146"/>
      <c r="U110" s="146"/>
      <c r="V110" s="146"/>
      <c r="W110" s="146"/>
    </row>
    <row r="111" spans="18:23" x14ac:dyDescent="0.2">
      <c r="R111" s="146"/>
      <c r="S111" s="146"/>
      <c r="T111" s="146"/>
      <c r="U111" s="146"/>
      <c r="V111" s="146"/>
      <c r="W111" s="146"/>
    </row>
    <row r="112" spans="18:23" x14ac:dyDescent="0.2">
      <c r="R112" s="146"/>
      <c r="S112" s="146"/>
      <c r="T112" s="146"/>
      <c r="U112" s="146"/>
      <c r="V112" s="146"/>
      <c r="W112" s="146"/>
    </row>
    <row r="113" spans="18:23" x14ac:dyDescent="0.2">
      <c r="R113" s="146"/>
      <c r="S113" s="146"/>
      <c r="T113" s="146"/>
      <c r="U113" s="146"/>
      <c r="V113" s="146"/>
      <c r="W113" s="146"/>
    </row>
    <row r="114" spans="18:23" x14ac:dyDescent="0.2">
      <c r="R114" s="146"/>
      <c r="S114" s="146"/>
      <c r="T114" s="146"/>
      <c r="U114" s="146"/>
      <c r="V114" s="146"/>
      <c r="W114" s="146"/>
    </row>
    <row r="115" spans="18:23" x14ac:dyDescent="0.2">
      <c r="R115" s="146"/>
      <c r="S115" s="146"/>
      <c r="T115" s="146"/>
      <c r="U115" s="146"/>
      <c r="V115" s="146"/>
      <c r="W115" s="146"/>
    </row>
    <row r="116" spans="18:23" x14ac:dyDescent="0.2">
      <c r="R116" s="146"/>
      <c r="S116" s="146"/>
      <c r="T116" s="146"/>
      <c r="U116" s="146"/>
      <c r="V116" s="146"/>
      <c r="W116" s="146"/>
    </row>
    <row r="117" spans="18:23" x14ac:dyDescent="0.2">
      <c r="R117" s="146"/>
      <c r="S117" s="146"/>
      <c r="T117" s="146"/>
      <c r="U117" s="146"/>
      <c r="V117" s="146"/>
      <c r="W117" s="146"/>
    </row>
    <row r="118" spans="18:23" x14ac:dyDescent="0.2">
      <c r="R118" s="146"/>
      <c r="S118" s="146"/>
      <c r="T118" s="146"/>
      <c r="U118" s="146"/>
      <c r="V118" s="146"/>
      <c r="W118" s="146"/>
    </row>
    <row r="119" spans="18:23" x14ac:dyDescent="0.2">
      <c r="R119" s="146"/>
      <c r="S119" s="146"/>
      <c r="T119" s="146"/>
      <c r="U119" s="146"/>
      <c r="V119" s="146"/>
      <c r="W119" s="146"/>
    </row>
    <row r="120" spans="18:23" x14ac:dyDescent="0.2">
      <c r="R120" s="146"/>
      <c r="S120" s="146"/>
      <c r="T120" s="146"/>
      <c r="U120" s="146"/>
      <c r="V120" s="146"/>
      <c r="W120" s="146"/>
    </row>
    <row r="121" spans="18:23" x14ac:dyDescent="0.2">
      <c r="R121" s="146"/>
      <c r="S121" s="146"/>
      <c r="T121" s="146"/>
      <c r="U121" s="146"/>
      <c r="V121" s="146"/>
      <c r="W121" s="146"/>
    </row>
    <row r="122" spans="18:23" x14ac:dyDescent="0.2">
      <c r="R122" s="146"/>
      <c r="S122" s="146"/>
      <c r="T122" s="146"/>
      <c r="U122" s="146"/>
      <c r="V122" s="146"/>
      <c r="W122" s="146"/>
    </row>
    <row r="123" spans="18:23" x14ac:dyDescent="0.2">
      <c r="R123" s="146"/>
      <c r="S123" s="146"/>
      <c r="T123" s="146"/>
      <c r="U123" s="146"/>
      <c r="V123" s="146"/>
      <c r="W123" s="146"/>
    </row>
    <row r="124" spans="18:23" x14ac:dyDescent="0.2">
      <c r="R124" s="146"/>
      <c r="S124" s="146"/>
      <c r="T124" s="146"/>
      <c r="U124" s="146"/>
      <c r="V124" s="146"/>
      <c r="W124" s="146"/>
    </row>
    <row r="125" spans="18:23" x14ac:dyDescent="0.2">
      <c r="R125" s="146"/>
      <c r="S125" s="146"/>
      <c r="T125" s="146"/>
      <c r="U125" s="146"/>
      <c r="V125" s="146"/>
      <c r="W125" s="146"/>
    </row>
    <row r="126" spans="18:23" x14ac:dyDescent="0.2">
      <c r="R126" s="146"/>
      <c r="S126" s="146"/>
      <c r="T126" s="146"/>
      <c r="U126" s="146"/>
      <c r="V126" s="146"/>
      <c r="W126" s="146"/>
    </row>
    <row r="127" spans="18:23" x14ac:dyDescent="0.2">
      <c r="R127" s="146"/>
      <c r="S127" s="146"/>
      <c r="T127" s="146"/>
      <c r="U127" s="146"/>
      <c r="V127" s="146"/>
      <c r="W127" s="146"/>
    </row>
    <row r="128" spans="18:23" x14ac:dyDescent="0.2">
      <c r="R128" s="146"/>
      <c r="S128" s="146"/>
      <c r="T128" s="146"/>
      <c r="U128" s="146"/>
      <c r="V128" s="146"/>
      <c r="W128" s="146"/>
    </row>
    <row r="129" spans="18:23" x14ac:dyDescent="0.2">
      <c r="R129" s="146"/>
      <c r="S129" s="146"/>
      <c r="T129" s="146"/>
      <c r="U129" s="146"/>
      <c r="V129" s="146"/>
      <c r="W129" s="146"/>
    </row>
    <row r="130" spans="18:23" x14ac:dyDescent="0.2">
      <c r="R130" s="146"/>
      <c r="S130" s="146"/>
      <c r="T130" s="146"/>
      <c r="U130" s="146"/>
      <c r="V130" s="146"/>
      <c r="W130" s="146"/>
    </row>
    <row r="131" spans="18:23" x14ac:dyDescent="0.2">
      <c r="R131" s="146"/>
      <c r="S131" s="146"/>
      <c r="T131" s="146"/>
      <c r="U131" s="146"/>
      <c r="V131" s="146"/>
      <c r="W131" s="146"/>
    </row>
    <row r="132" spans="18:23" x14ac:dyDescent="0.2">
      <c r="R132" s="146"/>
      <c r="S132" s="146"/>
      <c r="T132" s="146"/>
      <c r="U132" s="146"/>
      <c r="V132" s="146"/>
      <c r="W132" s="146"/>
    </row>
    <row r="133" spans="18:23" x14ac:dyDescent="0.2">
      <c r="R133" s="146"/>
      <c r="S133" s="146"/>
      <c r="T133" s="146"/>
      <c r="U133" s="146"/>
      <c r="V133" s="146"/>
      <c r="W133" s="146"/>
    </row>
    <row r="134" spans="18:23" x14ac:dyDescent="0.2">
      <c r="R134" s="146"/>
      <c r="S134" s="146"/>
      <c r="T134" s="146"/>
      <c r="U134" s="146"/>
      <c r="V134" s="146"/>
      <c r="W134" s="146"/>
    </row>
    <row r="135" spans="18:23" x14ac:dyDescent="0.2">
      <c r="R135" s="146"/>
      <c r="S135" s="146"/>
      <c r="T135" s="146"/>
      <c r="U135" s="146"/>
      <c r="V135" s="146"/>
      <c r="W135" s="146"/>
    </row>
    <row r="136" spans="18:23" x14ac:dyDescent="0.2">
      <c r="R136" s="146"/>
      <c r="S136" s="146"/>
      <c r="T136" s="146"/>
      <c r="U136" s="146"/>
      <c r="V136" s="146"/>
      <c r="W136" s="146"/>
    </row>
    <row r="137" spans="18:23" x14ac:dyDescent="0.2">
      <c r="R137" s="146"/>
      <c r="S137" s="146"/>
      <c r="T137" s="146"/>
      <c r="U137" s="146"/>
      <c r="V137" s="146"/>
      <c r="W137" s="146"/>
    </row>
    <row r="138" spans="18:23" x14ac:dyDescent="0.2">
      <c r="R138" s="146"/>
      <c r="S138" s="146"/>
      <c r="T138" s="146"/>
      <c r="U138" s="146"/>
      <c r="V138" s="146"/>
      <c r="W138" s="146"/>
    </row>
    <row r="139" spans="18:23" x14ac:dyDescent="0.2">
      <c r="R139" s="146"/>
      <c r="S139" s="146"/>
      <c r="T139" s="146"/>
      <c r="U139" s="146"/>
      <c r="V139" s="146"/>
      <c r="W139" s="146"/>
    </row>
    <row r="140" spans="18:23" x14ac:dyDescent="0.2">
      <c r="R140" s="146"/>
      <c r="S140" s="146"/>
      <c r="T140" s="146"/>
      <c r="U140" s="146"/>
      <c r="V140" s="146"/>
      <c r="W140" s="146"/>
    </row>
    <row r="141" spans="18:23" x14ac:dyDescent="0.2">
      <c r="R141" s="146"/>
      <c r="S141" s="146"/>
      <c r="T141" s="146"/>
      <c r="U141" s="146"/>
      <c r="V141" s="146"/>
      <c r="W141" s="146"/>
    </row>
    <row r="142" spans="18:23" x14ac:dyDescent="0.2">
      <c r="R142" s="146"/>
      <c r="S142" s="146"/>
      <c r="T142" s="146"/>
      <c r="U142" s="146"/>
      <c r="V142" s="146"/>
      <c r="W142" s="146"/>
    </row>
    <row r="143" spans="18:23" x14ac:dyDescent="0.2">
      <c r="R143" s="146"/>
      <c r="S143" s="146"/>
      <c r="T143" s="146"/>
      <c r="U143" s="146"/>
      <c r="V143" s="146"/>
      <c r="W143" s="146"/>
    </row>
    <row r="144" spans="18:23" x14ac:dyDescent="0.2">
      <c r="R144" s="146"/>
      <c r="S144" s="146"/>
      <c r="T144" s="146"/>
      <c r="U144" s="146"/>
      <c r="V144" s="146"/>
      <c r="W144" s="146"/>
    </row>
    <row r="145" spans="18:23" x14ac:dyDescent="0.2">
      <c r="R145" s="146"/>
      <c r="S145" s="146"/>
      <c r="T145" s="146"/>
      <c r="U145" s="146"/>
      <c r="V145" s="146"/>
      <c r="W145" s="146"/>
    </row>
    <row r="146" spans="18:23" x14ac:dyDescent="0.2">
      <c r="R146" s="146"/>
      <c r="S146" s="146"/>
      <c r="T146" s="146"/>
      <c r="U146" s="146"/>
      <c r="V146" s="146"/>
      <c r="W146" s="146"/>
    </row>
    <row r="147" spans="18:23" x14ac:dyDescent="0.2">
      <c r="R147" s="146"/>
      <c r="S147" s="146"/>
      <c r="T147" s="146"/>
      <c r="U147" s="146"/>
      <c r="V147" s="146"/>
      <c r="W147" s="146"/>
    </row>
    <row r="148" spans="18:23" x14ac:dyDescent="0.2">
      <c r="R148" s="146"/>
      <c r="S148" s="146"/>
      <c r="T148" s="146"/>
      <c r="U148" s="146"/>
      <c r="V148" s="146"/>
      <c r="W148" s="146"/>
    </row>
    <row r="149" spans="18:23" x14ac:dyDescent="0.2">
      <c r="R149" s="146"/>
      <c r="S149" s="146"/>
      <c r="T149" s="146"/>
      <c r="U149" s="146"/>
      <c r="V149" s="146"/>
      <c r="W149" s="146"/>
    </row>
    <row r="150" spans="18:23" x14ac:dyDescent="0.2">
      <c r="R150" s="146"/>
      <c r="S150" s="146"/>
      <c r="T150" s="146"/>
      <c r="U150" s="146"/>
      <c r="V150" s="146"/>
      <c r="W150" s="146"/>
    </row>
    <row r="151" spans="18:23" x14ac:dyDescent="0.2">
      <c r="R151" s="146"/>
      <c r="S151" s="146"/>
      <c r="T151" s="146"/>
      <c r="U151" s="146"/>
      <c r="V151" s="146"/>
      <c r="W151" s="146"/>
    </row>
    <row r="152" spans="18:23" x14ac:dyDescent="0.2">
      <c r="R152" s="146"/>
      <c r="S152" s="146"/>
      <c r="T152" s="146"/>
      <c r="U152" s="146"/>
      <c r="V152" s="146"/>
      <c r="W152" s="146"/>
    </row>
    <row r="153" spans="18:23" x14ac:dyDescent="0.2">
      <c r="R153" s="146"/>
      <c r="S153" s="146"/>
      <c r="T153" s="146"/>
      <c r="U153" s="146"/>
      <c r="V153" s="146"/>
      <c r="W153" s="146"/>
    </row>
    <row r="154" spans="18:23" x14ac:dyDescent="0.2">
      <c r="R154" s="146"/>
      <c r="S154" s="146"/>
      <c r="T154" s="146"/>
      <c r="U154" s="146"/>
      <c r="V154" s="146"/>
      <c r="W154" s="146"/>
    </row>
    <row r="155" spans="18:23" x14ac:dyDescent="0.2">
      <c r="R155" s="146"/>
      <c r="S155" s="146"/>
      <c r="T155" s="146"/>
      <c r="U155" s="146"/>
      <c r="V155" s="146"/>
      <c r="W155" s="146"/>
    </row>
    <row r="156" spans="18:23" x14ac:dyDescent="0.2">
      <c r="R156" s="146"/>
      <c r="S156" s="146"/>
      <c r="T156" s="146"/>
      <c r="U156" s="146"/>
      <c r="V156" s="146"/>
      <c r="W156" s="146"/>
    </row>
    <row r="157" spans="18:23" x14ac:dyDescent="0.2">
      <c r="R157" s="146"/>
      <c r="S157" s="146"/>
      <c r="T157" s="146"/>
      <c r="U157" s="146"/>
      <c r="V157" s="146"/>
      <c r="W157" s="146"/>
    </row>
    <row r="158" spans="18:23" x14ac:dyDescent="0.2">
      <c r="R158" s="146"/>
      <c r="S158" s="146"/>
      <c r="T158" s="146"/>
      <c r="U158" s="146"/>
      <c r="V158" s="146"/>
      <c r="W158" s="146"/>
    </row>
    <row r="159" spans="18:23" x14ac:dyDescent="0.2">
      <c r="R159" s="146"/>
      <c r="S159" s="146"/>
      <c r="T159" s="146"/>
      <c r="U159" s="146"/>
      <c r="V159" s="146"/>
      <c r="W159" s="146"/>
    </row>
    <row r="160" spans="18:23" x14ac:dyDescent="0.2">
      <c r="R160" s="146"/>
      <c r="S160" s="146"/>
      <c r="T160" s="146"/>
      <c r="U160" s="146"/>
      <c r="V160" s="146"/>
      <c r="W160" s="146"/>
    </row>
    <row r="161" spans="18:23" x14ac:dyDescent="0.2">
      <c r="R161" s="146"/>
      <c r="S161" s="146"/>
      <c r="T161" s="146"/>
      <c r="U161" s="146"/>
      <c r="V161" s="146"/>
      <c r="W161" s="146"/>
    </row>
    <row r="162" spans="18:23" x14ac:dyDescent="0.2">
      <c r="R162" s="146"/>
      <c r="S162" s="146"/>
      <c r="T162" s="146"/>
      <c r="U162" s="146"/>
      <c r="V162" s="146"/>
      <c r="W162" s="146"/>
    </row>
    <row r="163" spans="18:23" x14ac:dyDescent="0.2">
      <c r="R163" s="146"/>
      <c r="S163" s="146"/>
      <c r="T163" s="146"/>
      <c r="U163" s="146"/>
      <c r="V163" s="146"/>
      <c r="W163" s="146"/>
    </row>
    <row r="164" spans="18:23" x14ac:dyDescent="0.2">
      <c r="R164" s="146"/>
      <c r="S164" s="146"/>
      <c r="T164" s="146"/>
      <c r="U164" s="146"/>
      <c r="V164" s="146"/>
      <c r="W164" s="146"/>
    </row>
    <row r="165" spans="18:23" x14ac:dyDescent="0.2">
      <c r="R165" s="146"/>
      <c r="S165" s="146"/>
      <c r="T165" s="146"/>
      <c r="U165" s="146"/>
      <c r="V165" s="146"/>
      <c r="W165" s="146"/>
    </row>
    <row r="166" spans="18:23" x14ac:dyDescent="0.2">
      <c r="R166" s="146"/>
      <c r="S166" s="146"/>
      <c r="T166" s="146"/>
      <c r="U166" s="146"/>
      <c r="V166" s="146"/>
      <c r="W166" s="146"/>
    </row>
    <row r="167" spans="18:23" x14ac:dyDescent="0.2">
      <c r="R167" s="146"/>
      <c r="S167" s="146"/>
      <c r="T167" s="146"/>
      <c r="U167" s="146"/>
      <c r="V167" s="146"/>
      <c r="W167" s="146"/>
    </row>
    <row r="168" spans="18:23" x14ac:dyDescent="0.2">
      <c r="R168" s="146"/>
      <c r="S168" s="146"/>
      <c r="T168" s="146"/>
      <c r="U168" s="146"/>
      <c r="V168" s="146"/>
      <c r="W168" s="146"/>
    </row>
    <row r="169" spans="18:23" x14ac:dyDescent="0.2">
      <c r="R169" s="146"/>
      <c r="S169" s="146"/>
      <c r="T169" s="146"/>
      <c r="U169" s="146"/>
      <c r="V169" s="146"/>
      <c r="W169" s="146"/>
    </row>
    <row r="170" spans="18:23" x14ac:dyDescent="0.2">
      <c r="R170" s="146"/>
      <c r="S170" s="146"/>
      <c r="T170" s="146"/>
      <c r="U170" s="146"/>
      <c r="V170" s="146"/>
      <c r="W170" s="146"/>
    </row>
    <row r="171" spans="18:23" x14ac:dyDescent="0.2">
      <c r="R171" s="146"/>
      <c r="S171" s="146"/>
      <c r="T171" s="146"/>
      <c r="U171" s="146"/>
      <c r="V171" s="146"/>
      <c r="W171" s="146"/>
    </row>
    <row r="172" spans="18:23" x14ac:dyDescent="0.2">
      <c r="R172" s="146"/>
      <c r="S172" s="146"/>
      <c r="T172" s="146"/>
      <c r="U172" s="146"/>
      <c r="V172" s="146"/>
      <c r="W172" s="146"/>
    </row>
    <row r="173" spans="18:23" x14ac:dyDescent="0.2">
      <c r="R173" s="146"/>
      <c r="S173" s="146"/>
      <c r="T173" s="146"/>
      <c r="U173" s="146"/>
      <c r="V173" s="146"/>
      <c r="W173" s="146"/>
    </row>
    <row r="174" spans="18:23" x14ac:dyDescent="0.2">
      <c r="R174" s="146"/>
      <c r="S174" s="146"/>
      <c r="T174" s="146"/>
      <c r="U174" s="146"/>
      <c r="V174" s="146"/>
      <c r="W174" s="146"/>
    </row>
    <row r="175" spans="18:23" x14ac:dyDescent="0.2">
      <c r="R175" s="146"/>
      <c r="S175" s="146"/>
      <c r="T175" s="146"/>
      <c r="U175" s="146"/>
      <c r="V175" s="146"/>
      <c r="W175" s="146"/>
    </row>
    <row r="176" spans="18:23" x14ac:dyDescent="0.2">
      <c r="R176" s="146"/>
      <c r="S176" s="146"/>
      <c r="T176" s="146"/>
      <c r="U176" s="146"/>
      <c r="V176" s="146"/>
      <c r="W176" s="146"/>
    </row>
    <row r="177" spans="18:23" x14ac:dyDescent="0.2">
      <c r="R177" s="146"/>
      <c r="S177" s="146"/>
      <c r="T177" s="146"/>
      <c r="U177" s="146"/>
      <c r="V177" s="146"/>
      <c r="W177" s="146"/>
    </row>
    <row r="178" spans="18:23" x14ac:dyDescent="0.2">
      <c r="R178" s="146"/>
      <c r="S178" s="146"/>
      <c r="T178" s="146"/>
      <c r="U178" s="146"/>
      <c r="V178" s="146"/>
      <c r="W178" s="146"/>
    </row>
    <row r="179" spans="18:23" x14ac:dyDescent="0.2">
      <c r="R179" s="146"/>
      <c r="S179" s="146"/>
      <c r="T179" s="146"/>
      <c r="U179" s="146"/>
      <c r="V179" s="146"/>
      <c r="W179" s="146"/>
    </row>
    <row r="180" spans="18:23" x14ac:dyDescent="0.2">
      <c r="R180" s="146"/>
      <c r="S180" s="146"/>
      <c r="T180" s="146"/>
      <c r="U180" s="146"/>
      <c r="V180" s="146"/>
      <c r="W180" s="146"/>
    </row>
    <row r="181" spans="18:23" x14ac:dyDescent="0.2">
      <c r="R181" s="146"/>
      <c r="S181" s="146"/>
      <c r="T181" s="146"/>
      <c r="U181" s="146"/>
      <c r="V181" s="146"/>
      <c r="W181" s="146"/>
    </row>
    <row r="182" spans="18:23" x14ac:dyDescent="0.2">
      <c r="R182" s="146"/>
      <c r="S182" s="146"/>
      <c r="T182" s="146"/>
      <c r="U182" s="146"/>
      <c r="V182" s="146"/>
      <c r="W182" s="146"/>
    </row>
    <row r="183" spans="18:23" x14ac:dyDescent="0.2">
      <c r="R183" s="146"/>
      <c r="S183" s="146"/>
      <c r="T183" s="146"/>
      <c r="U183" s="146"/>
      <c r="V183" s="146"/>
      <c r="W183" s="146"/>
    </row>
    <row r="184" spans="18:23" x14ac:dyDescent="0.2">
      <c r="R184" s="146"/>
      <c r="S184" s="146"/>
      <c r="T184" s="146"/>
      <c r="U184" s="146"/>
      <c r="V184" s="146"/>
      <c r="W184" s="146"/>
    </row>
    <row r="185" spans="18:23" x14ac:dyDescent="0.2">
      <c r="R185" s="146"/>
      <c r="S185" s="146"/>
      <c r="T185" s="146"/>
      <c r="U185" s="146"/>
      <c r="V185" s="146"/>
      <c r="W185" s="146"/>
    </row>
    <row r="186" spans="18:23" x14ac:dyDescent="0.2">
      <c r="R186" s="146"/>
      <c r="S186" s="146"/>
      <c r="T186" s="146"/>
      <c r="U186" s="146"/>
      <c r="V186" s="146"/>
      <c r="W186" s="146"/>
    </row>
    <row r="187" spans="18:23" x14ac:dyDescent="0.2">
      <c r="R187" s="146"/>
      <c r="S187" s="146"/>
      <c r="T187" s="146"/>
      <c r="U187" s="146"/>
      <c r="V187" s="146"/>
      <c r="W187" s="146"/>
    </row>
    <row r="188" spans="18:23" x14ac:dyDescent="0.2">
      <c r="R188" s="146"/>
      <c r="S188" s="146"/>
      <c r="T188" s="146"/>
      <c r="U188" s="146"/>
      <c r="V188" s="146"/>
      <c r="W188" s="146"/>
    </row>
    <row r="189" spans="18:23" x14ac:dyDescent="0.2">
      <c r="R189" s="146"/>
      <c r="S189" s="146"/>
      <c r="T189" s="146"/>
      <c r="U189" s="146"/>
      <c r="V189" s="146"/>
      <c r="W189" s="146"/>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11:C18">
    <cfRule type="expression" dxfId="782" priority="121" stopIfTrue="1">
      <formula>B11=3</formula>
    </cfRule>
    <cfRule type="expression" dxfId="781" priority="122" stopIfTrue="1">
      <formula>B11=4</formula>
    </cfRule>
    <cfRule type="expression" dxfId="780" priority="123" stopIfTrue="1">
      <formula>B11=5</formula>
    </cfRule>
  </conditionalFormatting>
  <conditionalFormatting sqref="F5:F40">
    <cfRule type="expression" dxfId="779" priority="117">
      <formula>$H5=0</formula>
    </cfRule>
    <cfRule type="expression" dxfId="778" priority="120">
      <formula>$H5=0</formula>
    </cfRule>
  </conditionalFormatting>
  <conditionalFormatting sqref="H5:H40">
    <cfRule type="cellIs" dxfId="777" priority="124" stopIfTrue="1" operator="between">
      <formula>0.1</formula>
      <formula>1.9</formula>
    </cfRule>
    <cfRule type="cellIs" dxfId="776" priority="125" stopIfTrue="1" operator="between">
      <formula>3</formula>
      <formula>3.9</formula>
    </cfRule>
    <cfRule type="cellIs" dxfId="775" priority="126" stopIfTrue="1" operator="between">
      <formula>4</formula>
      <formula>5</formula>
    </cfRule>
  </conditionalFormatting>
  <conditionalFormatting sqref="F5:F40">
    <cfRule type="expression" dxfId="774" priority="118">
      <formula>$H5&lt;#REF!</formula>
    </cfRule>
    <cfRule type="expression" dxfId="773" priority="119">
      <formula>$H5&gt;=#REF!</formula>
    </cfRule>
  </conditionalFormatting>
  <conditionalFormatting sqref="E5:E40">
    <cfRule type="expression" dxfId="772" priority="111">
      <formula>$D5=3</formula>
    </cfRule>
    <cfRule type="expression" dxfId="771" priority="112">
      <formula>$D5=4</formula>
    </cfRule>
    <cfRule type="expression" dxfId="770" priority="113">
      <formula>$D5=5</formula>
    </cfRule>
    <cfRule type="expression" dxfId="769" priority="114">
      <formula>$D5=8</formula>
    </cfRule>
    <cfRule type="expression" dxfId="768" priority="115">
      <formula>$D5=7</formula>
    </cfRule>
    <cfRule type="expression" dxfId="767" priority="116">
      <formula>$D5=6</formula>
    </cfRule>
  </conditionalFormatting>
  <conditionalFormatting sqref="C11:C18">
    <cfRule type="cellIs" dxfId="766" priority="107" operator="equal">
      <formula>""</formula>
    </cfRule>
    <cfRule type="expression" dxfId="765" priority="108" stopIfTrue="1">
      <formula>B11=8</formula>
    </cfRule>
    <cfRule type="expression" dxfId="764" priority="109" stopIfTrue="1">
      <formula>B11=7</formula>
    </cfRule>
    <cfRule type="expression" dxfId="763" priority="110" stopIfTrue="1">
      <formula>B11=6</formula>
    </cfRule>
  </conditionalFormatting>
  <conditionalFormatting sqref="C29:C40">
    <cfRule type="expression" dxfId="762" priority="104" stopIfTrue="1">
      <formula>B29=3</formula>
    </cfRule>
    <cfRule type="expression" dxfId="761" priority="105" stopIfTrue="1">
      <formula>B29=4</formula>
    </cfRule>
    <cfRule type="expression" dxfId="760" priority="106" stopIfTrue="1">
      <formula>B29=5</formula>
    </cfRule>
  </conditionalFormatting>
  <conditionalFormatting sqref="C29:C40">
    <cfRule type="cellIs" dxfId="759" priority="100" operator="equal">
      <formula>""</formula>
    </cfRule>
    <cfRule type="expression" dxfId="758" priority="101" stopIfTrue="1">
      <formula>B29=8</formula>
    </cfRule>
    <cfRule type="expression" dxfId="757" priority="102" stopIfTrue="1">
      <formula>B29=7</formula>
    </cfRule>
    <cfRule type="expression" dxfId="756" priority="103" stopIfTrue="1">
      <formula>B29=6</formula>
    </cfRule>
  </conditionalFormatting>
  <conditionalFormatting sqref="G42:G46">
    <cfRule type="cellIs" dxfId="755" priority="99" operator="notEqual">
      <formula>""</formula>
    </cfRule>
  </conditionalFormatting>
  <conditionalFormatting sqref="S7:U7 S9:U9 S11:U11">
    <cfRule type="cellIs" dxfId="754" priority="98" operator="equal">
      <formula>0</formula>
    </cfRule>
  </conditionalFormatting>
  <conditionalFormatting sqref="V13 V15">
    <cfRule type="cellIs" dxfId="753" priority="97" operator="equal">
      <formula>0</formula>
    </cfRule>
  </conditionalFormatting>
  <conditionalFormatting sqref="R7">
    <cfRule type="cellIs" dxfId="752" priority="95" operator="equal">
      <formula>0</formula>
    </cfRule>
  </conditionalFormatting>
  <conditionalFormatting sqref="V7 V9 V11">
    <cfRule type="cellIs" dxfId="751" priority="94" operator="equal">
      <formula>0</formula>
    </cfRule>
  </conditionalFormatting>
  <conditionalFormatting sqref="S13:U13 S15:U15">
    <cfRule type="cellIs" dxfId="750" priority="93" operator="equal">
      <formula>0</formula>
    </cfRule>
  </conditionalFormatting>
  <conditionalFormatting sqref="R6">
    <cfRule type="cellIs" dxfId="749" priority="92" operator="equal">
      <formula>0</formula>
    </cfRule>
  </conditionalFormatting>
  <conditionalFormatting sqref="V6">
    <cfRule type="cellIs" dxfId="748" priority="91" operator="equal">
      <formula>0</formula>
    </cfRule>
  </conditionalFormatting>
  <conditionalFormatting sqref="I5:I40">
    <cfRule type="cellIs" dxfId="747" priority="88" stopIfTrue="1" operator="between">
      <formula>"D-3"</formula>
      <formula>"E-5"</formula>
    </cfRule>
    <cfRule type="cellIs" dxfId="746" priority="89" stopIfTrue="1" operator="between">
      <formula>"B-2"</formula>
      <formula>"B-3"</formula>
    </cfRule>
    <cfRule type="cellIs" dxfId="745" priority="90" stopIfTrue="1" operator="between">
      <formula>"A-1"</formula>
      <formula>"A-2"</formula>
    </cfRule>
  </conditionalFormatting>
  <conditionalFormatting sqref="I5:I40">
    <cfRule type="cellIs" dxfId="744" priority="86" operator="equal">
      <formula>"E-5-"</formula>
    </cfRule>
    <cfRule type="cellIs" dxfId="743" priority="87" operator="equal">
      <formula>"A-1+"</formula>
    </cfRule>
  </conditionalFormatting>
  <conditionalFormatting sqref="C42:C46">
    <cfRule type="cellIs" dxfId="742" priority="78" operator="notEqual">
      <formula>""</formula>
    </cfRule>
  </conditionalFormatting>
  <conditionalFormatting sqref="L34:L40">
    <cfRule type="cellIs" dxfId="741" priority="75" stopIfTrue="1" operator="between">
      <formula>0.1</formula>
      <formula>1.9</formula>
    </cfRule>
    <cfRule type="cellIs" dxfId="740" priority="76" stopIfTrue="1" operator="between">
      <formula>3</formula>
      <formula>3.9</formula>
    </cfRule>
    <cfRule type="cellIs" dxfId="739" priority="77" stopIfTrue="1" operator="between">
      <formula>4</formula>
      <formula>5</formula>
    </cfRule>
  </conditionalFormatting>
  <conditionalFormatting sqref="L31:L33">
    <cfRule type="cellIs" dxfId="738" priority="72" stopIfTrue="1" operator="between">
      <formula>0.1</formula>
      <formula>1.9</formula>
    </cfRule>
    <cfRule type="cellIs" dxfId="737" priority="73" stopIfTrue="1" operator="between">
      <formula>3</formula>
      <formula>3.9</formula>
    </cfRule>
    <cfRule type="cellIs" dxfId="736" priority="74" stopIfTrue="1" operator="between">
      <formula>4</formula>
      <formula>5</formula>
    </cfRule>
  </conditionalFormatting>
  <conditionalFormatting sqref="L29:L30">
    <cfRule type="cellIs" dxfId="735" priority="69" stopIfTrue="1" operator="between">
      <formula>0.1</formula>
      <formula>1.9</formula>
    </cfRule>
    <cfRule type="cellIs" dxfId="734" priority="70" stopIfTrue="1" operator="between">
      <formula>3</formula>
      <formula>3.9</formula>
    </cfRule>
    <cfRule type="cellIs" dxfId="733" priority="71" stopIfTrue="1" operator="between">
      <formula>4</formula>
      <formula>5</formula>
    </cfRule>
  </conditionalFormatting>
  <conditionalFormatting sqref="L25:L28">
    <cfRule type="cellIs" dxfId="732" priority="66" stopIfTrue="1" operator="between">
      <formula>0.1</formula>
      <formula>1.9</formula>
    </cfRule>
    <cfRule type="cellIs" dxfId="731" priority="67" stopIfTrue="1" operator="between">
      <formula>3</formula>
      <formula>3.9</formula>
    </cfRule>
    <cfRule type="cellIs" dxfId="730" priority="68" stopIfTrue="1" operator="between">
      <formula>4</formula>
      <formula>5</formula>
    </cfRule>
  </conditionalFormatting>
  <conditionalFormatting sqref="L20:L23">
    <cfRule type="cellIs" dxfId="729" priority="63" stopIfTrue="1" operator="between">
      <formula>0.1</formula>
      <formula>1.9</formula>
    </cfRule>
    <cfRule type="cellIs" dxfId="728" priority="64" stopIfTrue="1" operator="between">
      <formula>3</formula>
      <formula>3.9</formula>
    </cfRule>
    <cfRule type="cellIs" dxfId="727" priority="65" stopIfTrue="1" operator="between">
      <formula>4</formula>
      <formula>5</formula>
    </cfRule>
  </conditionalFormatting>
  <conditionalFormatting sqref="L21:L24">
    <cfRule type="cellIs" dxfId="726" priority="60" stopIfTrue="1" operator="between">
      <formula>0.1</formula>
      <formula>1.9</formula>
    </cfRule>
    <cfRule type="cellIs" dxfId="725" priority="61" stopIfTrue="1" operator="between">
      <formula>3</formula>
      <formula>3.9</formula>
    </cfRule>
    <cfRule type="cellIs" dxfId="724" priority="62" stopIfTrue="1" operator="between">
      <formula>4</formula>
      <formula>5</formula>
    </cfRule>
  </conditionalFormatting>
  <conditionalFormatting sqref="L20:L40">
    <cfRule type="cellIs" dxfId="723" priority="55" operator="equal">
      <formula>""</formula>
    </cfRule>
  </conditionalFormatting>
  <conditionalFormatting sqref="L5:L19">
    <cfRule type="cellIs" dxfId="722" priority="51" stopIfTrue="1" operator="between">
      <formula>0.1</formula>
      <formula>1.9</formula>
    </cfRule>
    <cfRule type="cellIs" dxfId="721" priority="52" stopIfTrue="1" operator="between">
      <formula>3</formula>
      <formula>3.9</formula>
    </cfRule>
    <cfRule type="cellIs" dxfId="720" priority="53" stopIfTrue="1" operator="between">
      <formula>4</formula>
      <formula>5</formula>
    </cfRule>
  </conditionalFormatting>
  <conditionalFormatting sqref="J5:J40">
    <cfRule type="cellIs" dxfId="719" priority="49" operator="equal">
      <formula>"*"</formula>
    </cfRule>
    <cfRule type="cellIs" dxfId="718" priority="50" operator="equal">
      <formula>"!"</formula>
    </cfRule>
  </conditionalFormatting>
  <conditionalFormatting sqref="N5:N40">
    <cfRule type="cellIs" dxfId="717" priority="47" operator="equal">
      <formula>"*"</formula>
    </cfRule>
    <cfRule type="cellIs" dxfId="716" priority="48" operator="equal">
      <formula>"!"</formula>
    </cfRule>
  </conditionalFormatting>
  <conditionalFormatting sqref="M5:M40">
    <cfRule type="cellIs" dxfId="715" priority="44" stopIfTrue="1" operator="between">
      <formula>"D-3"</formula>
      <formula>"E-5"</formula>
    </cfRule>
    <cfRule type="cellIs" dxfId="714" priority="45" stopIfTrue="1" operator="between">
      <formula>"B-2"</formula>
      <formula>"B-3"</formula>
    </cfRule>
    <cfRule type="cellIs" dxfId="713" priority="46" stopIfTrue="1" operator="between">
      <formula>"A-1"</formula>
      <formula>"A-2"</formula>
    </cfRule>
  </conditionalFormatting>
  <conditionalFormatting sqref="M5:M40">
    <cfRule type="cellIs" dxfId="712" priority="42" operator="equal">
      <formula>"E-5-"</formula>
    </cfRule>
    <cfRule type="cellIs" dxfId="711" priority="43" operator="equal">
      <formula>"A-1+"</formula>
    </cfRule>
  </conditionalFormatting>
  <conditionalFormatting sqref="C9:C10">
    <cfRule type="expression" dxfId="710" priority="39" stopIfTrue="1">
      <formula>B9=3</formula>
    </cfRule>
    <cfRule type="expression" dxfId="709" priority="40" stopIfTrue="1">
      <formula>B9=4</formula>
    </cfRule>
    <cfRule type="expression" dxfId="708" priority="41" stopIfTrue="1">
      <formula>B9=5</formula>
    </cfRule>
  </conditionalFormatting>
  <conditionalFormatting sqref="C9:C10">
    <cfRule type="cellIs" dxfId="707" priority="35" operator="equal">
      <formula>""</formula>
    </cfRule>
    <cfRule type="expression" dxfId="706" priority="36" stopIfTrue="1">
      <formula>B9=8</formula>
    </cfRule>
    <cfRule type="expression" dxfId="705" priority="37" stopIfTrue="1">
      <formula>B9=7</formula>
    </cfRule>
    <cfRule type="expression" dxfId="704" priority="38" stopIfTrue="1">
      <formula>B9=6</formula>
    </cfRule>
  </conditionalFormatting>
  <conditionalFormatting sqref="C7:C8">
    <cfRule type="expression" dxfId="703" priority="32" stopIfTrue="1">
      <formula>B7=3</formula>
    </cfRule>
    <cfRule type="expression" dxfId="702" priority="33" stopIfTrue="1">
      <formula>B7=4</formula>
    </cfRule>
    <cfRule type="expression" dxfId="701" priority="34" stopIfTrue="1">
      <formula>B7=5</formula>
    </cfRule>
  </conditionalFormatting>
  <conditionalFormatting sqref="C7:C8">
    <cfRule type="cellIs" dxfId="700" priority="28" operator="equal">
      <formula>""</formula>
    </cfRule>
    <cfRule type="expression" dxfId="699" priority="29" stopIfTrue="1">
      <formula>B7=8</formula>
    </cfRule>
    <cfRule type="expression" dxfId="698" priority="30" stopIfTrue="1">
      <formula>B7=7</formula>
    </cfRule>
    <cfRule type="expression" dxfId="697" priority="31" stopIfTrue="1">
      <formula>B7=6</formula>
    </cfRule>
  </conditionalFormatting>
  <dataValidations count="10">
    <dataValidation allowBlank="1" showInputMessage="1" showErrorMessage="1" promptTitle="Nieuwe regel:" prompt="druk op Alt-Enter" sqref="P15 P28 P17 P26 P37 P39" xr:uid="{00000000-0002-0000-2800-000000000000}"/>
    <dataValidation allowBlank="1" showInputMessage="1" showErrorMessage="1" promptTitle="Pulldown menu" prompt="groeps  HP: -_x000a_indiv.    HP:#_x000a_hele groep: $" sqref="C18 C40" xr:uid="{00000000-0002-0000-2800-000001000000}"/>
    <dataValidation allowBlank="1" showInputMessage="1" showErrorMessage="1" promptTitle="Pulldown venster" prompt="groeps  HP: -_x000a_indiv.    HP:#_x000a_hele groep: $" sqref="C7:C17 C29:C39" xr:uid="{00000000-0002-0000-28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800-000003000000}">
      <formula1>2</formula1>
    </dataValidation>
    <dataValidation type="list" allowBlank="1" showInputMessage="1" showErrorMessage="1" sqref="B7:B18 B29:B40" xr:uid="{00000000-0002-0000-2800-000004000000}">
      <formula1>"3,4,5,6,7,8,"</formula1>
    </dataValidation>
    <dataValidation type="list" allowBlank="1" showInputMessage="1" showErrorMessage="1" sqref="C42 G42" xr:uid="{00000000-0002-0000-2800-000005000000}">
      <formula1>"maandag,"</formula1>
    </dataValidation>
    <dataValidation type="list" allowBlank="1" showInputMessage="1" showErrorMessage="1" sqref="C43 G43" xr:uid="{00000000-0002-0000-2800-000006000000}">
      <formula1>"dinsdag,"</formula1>
    </dataValidation>
    <dataValidation type="list" allowBlank="1" showInputMessage="1" showErrorMessage="1" sqref="C44 G44" xr:uid="{00000000-0002-0000-2800-000007000000}">
      <formula1>"woensdag,"</formula1>
    </dataValidation>
    <dataValidation type="list" allowBlank="1" showInputMessage="1" showErrorMessage="1" sqref="C45 G45" xr:uid="{00000000-0002-0000-2800-000008000000}">
      <formula1>"donderdag,"</formula1>
    </dataValidation>
    <dataValidation type="list" allowBlank="1" showInputMessage="1" showErrorMessage="1" sqref="C46 G46" xr:uid="{00000000-0002-0000-28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CCCCFF"/>
    <pageSetUpPr fitToPage="1"/>
  </sheetPr>
  <dimension ref="A1:AA189"/>
  <sheetViews>
    <sheetView showGridLines="0" showRowColHeaders="0" zoomScale="90" zoomScaleNormal="90" workbookViewId="0">
      <selection activeCell="C32" sqref="C32"/>
    </sheetView>
  </sheetViews>
  <sheetFormatPr defaultColWidth="9.140625" defaultRowHeight="12.75" x14ac:dyDescent="0.2"/>
  <cols>
    <col min="1" max="1" width="3.140625" style="69" customWidth="1"/>
    <col min="2" max="2" width="3.140625" style="70" bestFit="1" customWidth="1"/>
    <col min="3" max="3" width="11.85546875" style="74" bestFit="1" customWidth="1"/>
    <col min="4" max="4" width="3.140625" style="75" customWidth="1"/>
    <col min="5" max="5" width="5.85546875" style="74" customWidth="1"/>
    <col min="6" max="6" width="20.85546875" style="74" customWidth="1"/>
    <col min="7" max="7" width="5.85546875" style="74" customWidth="1"/>
    <col min="8" max="9" width="5.85546875" style="76" customWidth="1"/>
    <col min="10" max="10" width="3.140625" style="76" customWidth="1"/>
    <col min="11" max="11" width="5.85546875" style="76" customWidth="1"/>
    <col min="12" max="12" width="5.85546875" style="74" customWidth="1"/>
    <col min="13" max="13" width="5.85546875" style="69" customWidth="1"/>
    <col min="14" max="14" width="3.140625" style="69" customWidth="1"/>
    <col min="15" max="15" width="4.85546875" style="69" bestFit="1" customWidth="1"/>
    <col min="16" max="16" width="60.85546875" style="69" customWidth="1"/>
    <col min="17" max="17" width="6.85546875" style="69" customWidth="1"/>
    <col min="18" max="22" width="7.140625" style="73" customWidth="1"/>
    <col min="23" max="25" width="6.85546875" style="73" customWidth="1"/>
    <col min="26" max="26" width="6.140625" style="73" customWidth="1"/>
    <col min="27" max="27" width="9.140625" style="73"/>
    <col min="28" max="16384" width="9.140625" style="69"/>
  </cols>
  <sheetData>
    <row r="1" spans="1:24" s="66" customFormat="1" ht="30" customHeight="1" thickBot="1" x14ac:dyDescent="0.45">
      <c r="B1" s="615"/>
      <c r="C1" s="1128" t="s">
        <v>310</v>
      </c>
      <c r="D1" s="1129"/>
      <c r="E1" s="1129"/>
      <c r="F1" s="1129"/>
      <c r="G1" s="1129"/>
      <c r="H1" s="1129"/>
      <c r="I1" s="1129"/>
      <c r="J1" s="1129"/>
      <c r="K1" s="1230">
        <f>BEGINBLAD!$I$2</f>
        <v>0</v>
      </c>
      <c r="L1" s="1230"/>
      <c r="M1" s="1230"/>
      <c r="N1" s="1230"/>
      <c r="O1" s="1230"/>
      <c r="P1" s="239"/>
      <c r="X1" s="68"/>
    </row>
    <row r="2" spans="1:24" ht="24" customHeight="1" x14ac:dyDescent="0.2">
      <c r="C2" s="1130" t="str">
        <f>BEGINBLAD!$N$2</f>
        <v>nov.</v>
      </c>
      <c r="D2" s="1130"/>
      <c r="E2" s="241"/>
      <c r="F2" s="691" t="str">
        <f>BEGINBLAD!$O$2</f>
        <v>apr.</v>
      </c>
      <c r="G2" s="1131">
        <f>BEGINBLAD!$P$2</f>
        <v>2021</v>
      </c>
      <c r="H2" s="1131"/>
      <c r="I2" s="1131"/>
      <c r="M2" s="71"/>
      <c r="N2" s="72"/>
      <c r="O2" s="72"/>
    </row>
    <row r="3" spans="1:24" ht="13.5" thickBot="1" x14ac:dyDescent="0.25">
      <c r="M3" s="77"/>
      <c r="N3" s="77"/>
      <c r="O3" s="77"/>
      <c r="P3" s="77"/>
    </row>
    <row r="4" spans="1:24" ht="140.1" customHeight="1" x14ac:dyDescent="0.2">
      <c r="C4" s="78"/>
      <c r="D4" s="79"/>
      <c r="E4" s="80"/>
      <c r="F4" s="81" t="s">
        <v>44</v>
      </c>
      <c r="G4" s="82" t="s">
        <v>266</v>
      </c>
      <c r="H4" s="83" t="s">
        <v>311</v>
      </c>
      <c r="I4" s="84" t="s">
        <v>268</v>
      </c>
      <c r="J4" s="235"/>
      <c r="K4" s="82" t="s">
        <v>266</v>
      </c>
      <c r="L4" s="86" t="s">
        <v>312</v>
      </c>
      <c r="M4" s="84" t="s">
        <v>268</v>
      </c>
      <c r="N4" s="235"/>
      <c r="O4" s="88"/>
    </row>
    <row r="5" spans="1:24" ht="19.5" customHeight="1" x14ac:dyDescent="0.2">
      <c r="A5" s="89"/>
      <c r="B5" s="1132" t="s">
        <v>43</v>
      </c>
      <c r="C5" s="90" t="s">
        <v>198</v>
      </c>
      <c r="D5" s="91">
        <v>0</v>
      </c>
      <c r="E5" s="92">
        <v>1</v>
      </c>
      <c r="F5" s="165" t="str">
        <f>BEGINBLAD!C4</f>
        <v>leelring 1</v>
      </c>
      <c r="G5" s="94">
        <f>'NIVEAU WAARDE - vorig jaar'!G9</f>
        <v>4.8</v>
      </c>
      <c r="H5" s="95">
        <f>'NIVEAU WAARDE - 1e toetsperiode'!G9</f>
        <v>4.5999999999999996</v>
      </c>
      <c r="I5" s="96" t="str">
        <f>IF(H5=0,"",IF(H5&gt;4.5,"A-1+",IF(H5&gt;4,"A-1",IF(H5&gt;=4,"A-2",IF(H5&gt;3.4,"B-2",IF(H5&gt;=3,"B-3",IF(H5&gt;2.5,"C-3",IF(H5&gt;=2,"C-4",IF(H5&gt;1.6,"D-4",IF(H5&gt;=1,"D-5",IF(H5&gt;0.5,"E-5",IF(H5&gt;=0,"E-5-"))))))))))))</f>
        <v>A-1+</v>
      </c>
      <c r="J5" s="236" t="str">
        <f>IF(H5=0,"",IF(G5-H5&gt;0.5,"!",IF(H5-G5&gt;0.5,"*",IF(H5-G5&lt;=0.5,""))))</f>
        <v/>
      </c>
      <c r="K5" s="243">
        <f>'NIVEAU WAARDE - vorig jaar'!H9</f>
        <v>2.1</v>
      </c>
      <c r="L5" s="97">
        <f>'NIVEAU WAARDE - 1e toetsperiode'!H9</f>
        <v>2</v>
      </c>
      <c r="M5" s="96" t="str">
        <f>IF(L5=0,"",IF(L5&gt;4.5,"A-1+",IF(L5&gt;4,"A-1",IF(L5&gt;=4,"A-2",IF(L5&gt;3.4,"B-2",IF(L5&gt;=3,"B-3",IF(L5&gt;2.5,"C-3",IF(L5&gt;=2,"C-4",IF(L5&gt;1.6,"D-4",IF(L5&gt;=1,"D-5",IF(L5&gt;0.5,"E-5",IF(L5&gt;=0,"E-5-"))))))))))))</f>
        <v>C-4</v>
      </c>
      <c r="N5" s="236" t="str">
        <f>IF(L5=0,"",IF(K5-L5&gt;0.5,"!",IF(L5-K5&gt;0.5,"*",IF(L5-K5&lt;=0.5,""))))</f>
        <v/>
      </c>
      <c r="O5" s="100"/>
    </row>
    <row r="6" spans="1:24" ht="19.5" customHeight="1" x14ac:dyDescent="0.2">
      <c r="A6" s="89"/>
      <c r="B6" s="1132"/>
      <c r="C6" s="101" t="s">
        <v>200</v>
      </c>
      <c r="D6" s="91">
        <v>0</v>
      </c>
      <c r="E6" s="92">
        <v>2</v>
      </c>
      <c r="F6" s="93" t="str">
        <f>BEGINBLAD!C5</f>
        <v>leerling 2</v>
      </c>
      <c r="G6" s="94">
        <f>'NIVEAU WAARDE - vorig jaar'!G10</f>
        <v>4.5999999999999996</v>
      </c>
      <c r="H6" s="95">
        <f>'NIVEAU WAARDE - 1e toetsperiode'!G10</f>
        <v>4.8</v>
      </c>
      <c r="I6" s="96" t="str">
        <f t="shared" ref="I6:I40" si="0">IF(H6=0,"",IF(H6&gt;4.5,"A-1+",IF(H6&gt;4,"A-1",IF(H6&gt;=4,"A-2",IF(H6&gt;3.4,"B-2",IF(H6&gt;=3,"B-3",IF(H6&gt;2.5,"C-3",IF(H6&gt;=2,"C-4",IF(H6&gt;1.6,"D-4",IF(H6&gt;=1,"D-5",IF(H6&gt;0.5,"E-5",IF(H6&gt;=0,"E-5-"))))))))))))</f>
        <v>A-1+</v>
      </c>
      <c r="J6" s="236" t="str">
        <f t="shared" ref="J6:J40" si="1">IF(H6=0,"",IF(G6-H6&gt;0.5,"!",IF(H6-G6&gt;0.5,"*",IF(H6-G6&lt;=0.5,""))))</f>
        <v/>
      </c>
      <c r="K6" s="243">
        <f>'NIVEAU WAARDE - vorig jaar'!H10</f>
        <v>2.8</v>
      </c>
      <c r="L6" s="97">
        <f>'NIVEAU WAARDE - 1e toetsperiode'!H10</f>
        <v>2.9</v>
      </c>
      <c r="M6" s="96" t="str">
        <f>IF(L6=0,"",IF(L6&gt;4.5,"A-1+",IF(L6&gt;4,"A-1",IF(L6&gt;=4,"A-2",IF(L6&gt;3.4,"B-2",IF(L6&gt;=3,"B-3",IF(L6&gt;2.5,"C-3",IF(L6&gt;=2,"C-4",IF(L6&gt;1.6,"D-4",IF(L6&gt;=1,"D-5",IF(L6&gt;0.5,"E-5",IF(L6&gt;=0,"E-5-"))))))))))))</f>
        <v>C-3</v>
      </c>
      <c r="N6" s="236" t="str">
        <f>IF(L6=0,"",IF(K6-L6&gt;0.5,"!",IF(L6-K6&gt;0.5,"*",IF(L6-K6&lt;=0.5,""))))</f>
        <v/>
      </c>
      <c r="O6" s="100"/>
      <c r="R6" s="147"/>
      <c r="S6" s="147"/>
      <c r="T6" s="147"/>
      <c r="U6" s="147"/>
      <c r="V6" s="147"/>
    </row>
    <row r="7" spans="1:24" ht="19.5" customHeight="1" x14ac:dyDescent="0.2">
      <c r="A7" s="102"/>
      <c r="B7" s="326">
        <v>7</v>
      </c>
      <c r="C7" s="328" t="s">
        <v>225</v>
      </c>
      <c r="D7" s="91">
        <v>0</v>
      </c>
      <c r="E7" s="92">
        <v>3</v>
      </c>
      <c r="F7" s="93" t="str">
        <f>BEGINBLAD!C6</f>
        <v>leerling 3</v>
      </c>
      <c r="G7" s="94">
        <f>'NIVEAU WAARDE - vorig jaar'!G11</f>
        <v>2.2000000000000002</v>
      </c>
      <c r="H7" s="95">
        <f>'NIVEAU WAARDE - 1e toetsperiode'!G11</f>
        <v>2.6</v>
      </c>
      <c r="I7" s="96" t="str">
        <f t="shared" si="0"/>
        <v>C-3</v>
      </c>
      <c r="J7" s="236" t="str">
        <f t="shared" si="1"/>
        <v/>
      </c>
      <c r="K7" s="243">
        <f>'NIVEAU WAARDE - vorig jaar'!H11</f>
        <v>0.6</v>
      </c>
      <c r="L7" s="97">
        <f>'NIVEAU WAARDE - 1e toetsperiode'!H11</f>
        <v>0.4</v>
      </c>
      <c r="M7" s="96" t="str">
        <f t="shared" ref="M7:M40" si="2">IF(L7=0,"",IF(L7&gt;4.5,"A-1+",IF(L7&gt;4,"A-1",IF(L7&gt;=4,"A-2",IF(L7&gt;3.4,"B-2",IF(L7&gt;=3,"B-3",IF(L7&gt;2.5,"C-3",IF(L7&gt;=2,"C-4",IF(L7&gt;1.6,"D-4",IF(L7&gt;=1,"D-5",IF(L7&gt;0.5,"E-5",IF(L7&gt;=0,"E-5-"))))))))))))</f>
        <v>E-5-</v>
      </c>
      <c r="N7" s="236" t="str">
        <f t="shared" ref="N7:N40" si="3">IF(L7=0,"",IF(K7-L7&gt;0.5,"!",IF(L7-K7&gt;0.5,"*",IF(L7-K7&lt;=0.5,""))))</f>
        <v/>
      </c>
      <c r="O7" s="100"/>
      <c r="R7" s="148"/>
      <c r="S7" s="148"/>
      <c r="T7" s="148"/>
      <c r="U7" s="148"/>
      <c r="V7" s="148"/>
    </row>
    <row r="8" spans="1:24" ht="19.5" customHeight="1" x14ac:dyDescent="0.2">
      <c r="A8" s="102"/>
      <c r="B8" s="326"/>
      <c r="C8" s="328"/>
      <c r="D8" s="105">
        <v>0</v>
      </c>
      <c r="E8" s="92">
        <v>4</v>
      </c>
      <c r="F8" s="93" t="str">
        <f>BEGINBLAD!C7</f>
        <v>leerling 4</v>
      </c>
      <c r="G8" s="94">
        <f>'NIVEAU WAARDE - vorig jaar'!G12</f>
        <v>2.2000000000000002</v>
      </c>
      <c r="H8" s="95">
        <f>'NIVEAU WAARDE - 1e toetsperiode'!G12</f>
        <v>2.4</v>
      </c>
      <c r="I8" s="96" t="str">
        <f t="shared" si="0"/>
        <v>C-4</v>
      </c>
      <c r="J8" s="236" t="str">
        <f t="shared" si="1"/>
        <v/>
      </c>
      <c r="K8" s="243">
        <f>'NIVEAU WAARDE - vorig jaar'!H12</f>
        <v>2.1</v>
      </c>
      <c r="L8" s="106">
        <f>'NIVEAU WAARDE - 1e toetsperiode'!H12</f>
        <v>3</v>
      </c>
      <c r="M8" s="96" t="str">
        <f t="shared" si="2"/>
        <v>B-3</v>
      </c>
      <c r="N8" s="236" t="str">
        <f t="shared" si="3"/>
        <v>*</v>
      </c>
      <c r="O8" s="107"/>
      <c r="R8" s="148"/>
      <c r="S8" s="148"/>
      <c r="T8" s="148"/>
      <c r="U8" s="148"/>
      <c r="V8" s="148"/>
    </row>
    <row r="9" spans="1:24" ht="19.5" customHeight="1" x14ac:dyDescent="0.2">
      <c r="A9" s="102"/>
      <c r="B9" s="326"/>
      <c r="C9" s="328"/>
      <c r="D9" s="108">
        <v>0</v>
      </c>
      <c r="E9" s="92">
        <v>5</v>
      </c>
      <c r="F9" s="93" t="str">
        <f>BEGINBLAD!C8</f>
        <v>leerling 5</v>
      </c>
      <c r="G9" s="94">
        <f>'NIVEAU WAARDE - vorig jaar'!G13</f>
        <v>2.8</v>
      </c>
      <c r="H9" s="95">
        <f>'NIVEAU WAARDE - 1e toetsperiode'!G13</f>
        <v>3.6</v>
      </c>
      <c r="I9" s="96" t="str">
        <f t="shared" si="0"/>
        <v>B-2</v>
      </c>
      <c r="J9" s="236" t="str">
        <f t="shared" si="1"/>
        <v>*</v>
      </c>
      <c r="K9" s="243">
        <f>'NIVEAU WAARDE - vorig jaar'!H13</f>
        <v>4</v>
      </c>
      <c r="L9" s="329">
        <f>'NIVEAU WAARDE - 1e toetsperiode'!H13</f>
        <v>4.2</v>
      </c>
      <c r="M9" s="96" t="str">
        <f t="shared" si="2"/>
        <v>A-1</v>
      </c>
      <c r="N9" s="236" t="str">
        <f t="shared" si="3"/>
        <v/>
      </c>
      <c r="O9" s="110"/>
      <c r="R9" s="148"/>
      <c r="S9" s="148"/>
      <c r="T9" s="148"/>
      <c r="U9" s="148"/>
      <c r="V9" s="148"/>
    </row>
    <row r="10" spans="1:24" ht="19.5" customHeight="1" x14ac:dyDescent="0.2">
      <c r="A10" s="102"/>
      <c r="B10" s="326"/>
      <c r="C10" s="328"/>
      <c r="D10" s="111">
        <v>0</v>
      </c>
      <c r="E10" s="92">
        <v>6</v>
      </c>
      <c r="F10" s="93" t="str">
        <f>BEGINBLAD!C9</f>
        <v>leerling 6</v>
      </c>
      <c r="G10" s="94">
        <f>'NIVEAU WAARDE - vorig jaar'!G14</f>
        <v>2.6</v>
      </c>
      <c r="H10" s="95">
        <f>'NIVEAU WAARDE - 1e toetsperiode'!G14</f>
        <v>1.4</v>
      </c>
      <c r="I10" s="96" t="str">
        <f t="shared" si="0"/>
        <v>D-5</v>
      </c>
      <c r="J10" s="236" t="str">
        <f t="shared" si="1"/>
        <v>!</v>
      </c>
      <c r="K10" s="243">
        <f>'NIVEAU WAARDE - vorig jaar'!H14</f>
        <v>0.3</v>
      </c>
      <c r="L10" s="329">
        <f>'NIVEAU WAARDE - 1e toetsperiode'!H14</f>
        <v>0.1</v>
      </c>
      <c r="M10" s="96" t="str">
        <f t="shared" si="2"/>
        <v>E-5-</v>
      </c>
      <c r="N10" s="236" t="str">
        <f t="shared" si="3"/>
        <v/>
      </c>
      <c r="O10" s="112"/>
      <c r="R10" s="148"/>
      <c r="S10" s="148"/>
      <c r="T10" s="148"/>
      <c r="U10" s="148"/>
      <c r="V10" s="148"/>
    </row>
    <row r="11" spans="1:24" ht="19.5" customHeight="1" x14ac:dyDescent="0.2">
      <c r="A11" s="102"/>
      <c r="B11" s="326"/>
      <c r="C11" s="328"/>
      <c r="D11" s="111">
        <v>0</v>
      </c>
      <c r="E11" s="92">
        <v>7</v>
      </c>
      <c r="F11" s="93" t="str">
        <f>BEGINBLAD!C10</f>
        <v>leerling 7</v>
      </c>
      <c r="G11" s="94">
        <f>'NIVEAU WAARDE - vorig jaar'!G15</f>
        <v>1.8</v>
      </c>
      <c r="H11" s="95">
        <f>'NIVEAU WAARDE - 1e toetsperiode'!G15</f>
        <v>1.5</v>
      </c>
      <c r="I11" s="96" t="str">
        <f t="shared" si="0"/>
        <v>D-5</v>
      </c>
      <c r="J11" s="236" t="str">
        <f t="shared" si="1"/>
        <v/>
      </c>
      <c r="K11" s="243">
        <f>'NIVEAU WAARDE - vorig jaar'!H15</f>
        <v>0.8</v>
      </c>
      <c r="L11" s="329">
        <f>'NIVEAU WAARDE - 1e toetsperiode'!H15</f>
        <v>0.4</v>
      </c>
      <c r="M11" s="96" t="str">
        <f t="shared" si="2"/>
        <v>E-5-</v>
      </c>
      <c r="N11" s="236" t="str">
        <f t="shared" si="3"/>
        <v/>
      </c>
      <c r="O11" s="77"/>
      <c r="R11" s="148"/>
      <c r="S11" s="148"/>
      <c r="T11" s="148"/>
      <c r="U11" s="148"/>
      <c r="V11" s="148"/>
    </row>
    <row r="12" spans="1:24" ht="19.5" customHeight="1" x14ac:dyDescent="0.2">
      <c r="A12" s="102"/>
      <c r="B12" s="326"/>
      <c r="C12" s="328"/>
      <c r="D12" s="91">
        <v>0</v>
      </c>
      <c r="E12" s="92">
        <v>8</v>
      </c>
      <c r="F12" s="93" t="str">
        <f>BEGINBLAD!C11</f>
        <v>leerling 8</v>
      </c>
      <c r="G12" s="94">
        <f>'NIVEAU WAARDE - vorig jaar'!G16</f>
        <v>3.7</v>
      </c>
      <c r="H12" s="95">
        <f>'NIVEAU WAARDE - 1e toetsperiode'!G16</f>
        <v>4.2</v>
      </c>
      <c r="I12" s="96" t="str">
        <f t="shared" si="0"/>
        <v>A-1</v>
      </c>
      <c r="J12" s="236" t="str">
        <f t="shared" si="1"/>
        <v/>
      </c>
      <c r="K12" s="243">
        <f>'NIVEAU WAARDE - vorig jaar'!H16</f>
        <v>4.0999999999999996</v>
      </c>
      <c r="L12" s="329">
        <f>'NIVEAU WAARDE - 1e toetsperiode'!H16</f>
        <v>4</v>
      </c>
      <c r="M12" s="96" t="str">
        <f t="shared" si="2"/>
        <v>A-2</v>
      </c>
      <c r="N12" s="236" t="str">
        <f t="shared" si="3"/>
        <v/>
      </c>
      <c r="O12" s="88"/>
      <c r="R12" s="148"/>
      <c r="S12" s="148"/>
      <c r="T12" s="148"/>
      <c r="U12" s="148"/>
      <c r="V12" s="148"/>
    </row>
    <row r="13" spans="1:24" ht="19.5" customHeight="1" x14ac:dyDescent="0.2">
      <c r="A13" s="102"/>
      <c r="B13" s="326"/>
      <c r="C13" s="328"/>
      <c r="D13" s="91">
        <v>0</v>
      </c>
      <c r="E13" s="92">
        <v>9</v>
      </c>
      <c r="F13" s="93" t="str">
        <f>BEGINBLAD!C12</f>
        <v>leerling 9</v>
      </c>
      <c r="G13" s="94">
        <f>'NIVEAU WAARDE - vorig jaar'!G17</f>
        <v>1.1000000000000001</v>
      </c>
      <c r="H13" s="95">
        <f>'NIVEAU WAARDE - 1e toetsperiode'!G17</f>
        <v>3.1</v>
      </c>
      <c r="I13" s="96" t="str">
        <f t="shared" si="0"/>
        <v>B-3</v>
      </c>
      <c r="J13" s="236" t="str">
        <f t="shared" si="1"/>
        <v>*</v>
      </c>
      <c r="K13" s="243">
        <f>'NIVEAU WAARDE - vorig jaar'!H17</f>
        <v>1.2</v>
      </c>
      <c r="L13" s="329">
        <f>'NIVEAU WAARDE - 1e toetsperiode'!H17</f>
        <v>0.6</v>
      </c>
      <c r="M13" s="96" t="str">
        <f t="shared" si="2"/>
        <v>E-5</v>
      </c>
      <c r="N13" s="236" t="str">
        <f t="shared" si="3"/>
        <v>!</v>
      </c>
      <c r="O13" s="100"/>
      <c r="R13" s="149"/>
      <c r="S13" s="149"/>
      <c r="T13" s="149"/>
      <c r="U13" s="149"/>
      <c r="V13" s="149"/>
    </row>
    <row r="14" spans="1:24" ht="19.5" customHeight="1" thickBot="1" x14ac:dyDescent="0.25">
      <c r="A14" s="102"/>
      <c r="B14" s="326"/>
      <c r="C14" s="328"/>
      <c r="D14" s="91">
        <v>0</v>
      </c>
      <c r="E14" s="92">
        <v>10</v>
      </c>
      <c r="F14" s="93" t="str">
        <f>BEGINBLAD!C13</f>
        <v>leerling 10</v>
      </c>
      <c r="G14" s="94">
        <f>'NIVEAU WAARDE - vorig jaar'!G18</f>
        <v>1.7</v>
      </c>
      <c r="H14" s="95">
        <f>'NIVEAU WAARDE - 1e toetsperiode'!G18</f>
        <v>1.9</v>
      </c>
      <c r="I14" s="96" t="str">
        <f t="shared" si="0"/>
        <v>D-4</v>
      </c>
      <c r="J14" s="236" t="str">
        <f t="shared" si="1"/>
        <v/>
      </c>
      <c r="K14" s="243">
        <f>'NIVEAU WAARDE - vorig jaar'!H18</f>
        <v>1.1000000000000001</v>
      </c>
      <c r="L14" s="329">
        <f>'NIVEAU WAARDE - 1e toetsperiode'!H18</f>
        <v>1.4</v>
      </c>
      <c r="M14" s="96" t="str">
        <f t="shared" si="2"/>
        <v>D-5</v>
      </c>
      <c r="N14" s="236" t="str">
        <f t="shared" si="3"/>
        <v/>
      </c>
      <c r="O14" s="107"/>
      <c r="P14" s="113" t="s">
        <v>109</v>
      </c>
      <c r="R14" s="149"/>
      <c r="S14" s="149"/>
      <c r="T14" s="149"/>
      <c r="U14" s="149"/>
      <c r="V14" s="149"/>
    </row>
    <row r="15" spans="1:24" ht="19.5" customHeight="1" x14ac:dyDescent="0.2">
      <c r="A15" s="102"/>
      <c r="B15" s="326"/>
      <c r="C15" s="328"/>
      <c r="D15" s="91">
        <v>0</v>
      </c>
      <c r="E15" s="92">
        <v>11</v>
      </c>
      <c r="F15" s="93" t="str">
        <f>BEGINBLAD!C14</f>
        <v>leerling 11</v>
      </c>
      <c r="G15" s="94">
        <f>'NIVEAU WAARDE - vorig jaar'!G19</f>
        <v>3.2</v>
      </c>
      <c r="H15" s="95">
        <f>'NIVEAU WAARDE - 1e toetsperiode'!G19</f>
        <v>3</v>
      </c>
      <c r="I15" s="96" t="str">
        <f t="shared" si="0"/>
        <v>B-3</v>
      </c>
      <c r="J15" s="236" t="str">
        <f t="shared" si="1"/>
        <v/>
      </c>
      <c r="K15" s="243">
        <f>'NIVEAU WAARDE - vorig jaar'!H19</f>
        <v>0.8</v>
      </c>
      <c r="L15" s="329">
        <f>'NIVEAU WAARDE - 1e toetsperiode'!H19</f>
        <v>1.4</v>
      </c>
      <c r="M15" s="96" t="str">
        <f t="shared" si="2"/>
        <v>D-5</v>
      </c>
      <c r="N15" s="236" t="str">
        <f t="shared" si="3"/>
        <v>*</v>
      </c>
      <c r="O15" s="1191" t="s">
        <v>135</v>
      </c>
      <c r="P15" s="1194" t="str">
        <f>'INTENSIEF - 1e periode'!F17</f>
        <v>Methodetoetsen moeten voldoende scoren
Niet methodetoetsen minimaal B niveau
cijferend rekenen moet voldoende zijn</v>
      </c>
      <c r="R15" s="149"/>
      <c r="S15" s="149"/>
      <c r="T15" s="149"/>
      <c r="U15" s="149"/>
      <c r="V15" s="149"/>
    </row>
    <row r="16" spans="1:24" ht="19.5" customHeight="1" x14ac:dyDescent="0.2">
      <c r="A16" s="102"/>
      <c r="B16" s="103"/>
      <c r="C16" s="689"/>
      <c r="D16" s="91">
        <v>0</v>
      </c>
      <c r="E16" s="92">
        <v>12</v>
      </c>
      <c r="F16" s="93" t="str">
        <f>BEGINBLAD!C15</f>
        <v>leerling 12</v>
      </c>
      <c r="G16" s="94">
        <f>'NIVEAU WAARDE - vorig jaar'!G20</f>
        <v>1.8</v>
      </c>
      <c r="H16" s="95">
        <f>'NIVEAU WAARDE - 1e toetsperiode'!G20</f>
        <v>1.1000000000000001</v>
      </c>
      <c r="I16" s="96" t="str">
        <f t="shared" si="0"/>
        <v>D-5</v>
      </c>
      <c r="J16" s="236" t="str">
        <f t="shared" si="1"/>
        <v>!</v>
      </c>
      <c r="K16" s="243">
        <f>'NIVEAU WAARDE - vorig jaar'!H20</f>
        <v>2.7</v>
      </c>
      <c r="L16" s="329">
        <f>'NIVEAU WAARDE - 1e toetsperiode'!H20</f>
        <v>3.2</v>
      </c>
      <c r="M16" s="96" t="str">
        <f t="shared" si="2"/>
        <v>B-3</v>
      </c>
      <c r="N16" s="236" t="str">
        <f t="shared" si="3"/>
        <v/>
      </c>
      <c r="O16" s="1192"/>
      <c r="P16" s="1195"/>
      <c r="R16" s="149"/>
      <c r="S16" s="149"/>
      <c r="T16" s="149"/>
      <c r="U16" s="149"/>
      <c r="V16" s="149"/>
    </row>
    <row r="17" spans="1:24" ht="19.5" customHeight="1" x14ac:dyDescent="0.2">
      <c r="A17" s="102"/>
      <c r="B17" s="103"/>
      <c r="C17" s="689"/>
      <c r="D17" s="105">
        <v>0</v>
      </c>
      <c r="E17" s="92">
        <v>13</v>
      </c>
      <c r="F17" s="93" t="str">
        <f>BEGINBLAD!C16</f>
        <v>leerling 13</v>
      </c>
      <c r="G17" s="94">
        <f>'NIVEAU WAARDE - vorig jaar'!G21</f>
        <v>2.8</v>
      </c>
      <c r="H17" s="95">
        <f>'NIVEAU WAARDE - 1e toetsperiode'!G21</f>
        <v>2.6</v>
      </c>
      <c r="I17" s="96" t="str">
        <f t="shared" si="0"/>
        <v>C-3</v>
      </c>
      <c r="J17" s="236" t="str">
        <f t="shared" si="1"/>
        <v/>
      </c>
      <c r="K17" s="243">
        <f>'NIVEAU WAARDE - vorig jaar'!H21</f>
        <v>3.1</v>
      </c>
      <c r="L17" s="329">
        <f>'NIVEAU WAARDE - 1e toetsperiode'!H21</f>
        <v>3.3</v>
      </c>
      <c r="M17" s="96" t="str">
        <f t="shared" si="2"/>
        <v>B-3</v>
      </c>
      <c r="N17" s="236" t="str">
        <f t="shared" si="3"/>
        <v/>
      </c>
      <c r="O17" s="1198" t="s">
        <v>137</v>
      </c>
      <c r="P17" s="1196" t="str">
        <f>'INTENSIEF - 1e periode'!F19</f>
        <v xml:space="preserve">Alle dagen rekent --- met groep 6 mee op het niveau van Groep 6. WIG 6 A/B Op woensdag is er veel tijd voor tijd, meten , klokkijken etc.
</v>
      </c>
      <c r="R17" s="120"/>
      <c r="S17" s="120"/>
      <c r="T17" s="120"/>
      <c r="U17" s="120"/>
      <c r="V17" s="120"/>
    </row>
    <row r="18" spans="1:24" ht="19.5" customHeight="1" x14ac:dyDescent="0.2">
      <c r="A18" s="102"/>
      <c r="B18" s="103"/>
      <c r="C18" s="689"/>
      <c r="D18" s="111">
        <v>0</v>
      </c>
      <c r="E18" s="92">
        <v>14</v>
      </c>
      <c r="F18" s="93" t="str">
        <f>BEGINBLAD!C17</f>
        <v>leerling 14</v>
      </c>
      <c r="G18" s="94">
        <f>'NIVEAU WAARDE - vorig jaar'!G22</f>
        <v>2.2999999999999998</v>
      </c>
      <c r="H18" s="95">
        <f>'NIVEAU WAARDE - 1e toetsperiode'!G22</f>
        <v>2.6</v>
      </c>
      <c r="I18" s="96" t="str">
        <f t="shared" si="0"/>
        <v>C-3</v>
      </c>
      <c r="J18" s="236" t="str">
        <f t="shared" si="1"/>
        <v/>
      </c>
      <c r="K18" s="243">
        <f>'NIVEAU WAARDE - vorig jaar'!H22</f>
        <v>4.5</v>
      </c>
      <c r="L18" s="329">
        <f>'NIVEAU WAARDE - 1e toetsperiode'!H22</f>
        <v>4.7</v>
      </c>
      <c r="M18" s="96" t="str">
        <f t="shared" si="2"/>
        <v>A-1+</v>
      </c>
      <c r="N18" s="236" t="str">
        <f t="shared" si="3"/>
        <v/>
      </c>
      <c r="O18" s="1198"/>
      <c r="P18" s="1196"/>
      <c r="Q18" s="89"/>
      <c r="R18" s="114"/>
      <c r="S18" s="114"/>
      <c r="T18" s="114"/>
      <c r="U18" s="114"/>
      <c r="V18" s="114"/>
      <c r="W18" s="114"/>
    </row>
    <row r="19" spans="1:24" ht="19.5" customHeight="1" x14ac:dyDescent="0.2">
      <c r="D19" s="111">
        <v>0</v>
      </c>
      <c r="E19" s="92">
        <v>15</v>
      </c>
      <c r="F19" s="93" t="str">
        <f>BEGINBLAD!C18</f>
        <v>leerling 15</v>
      </c>
      <c r="G19" s="94">
        <f>'NIVEAU WAARDE - vorig jaar'!G23</f>
        <v>2.2000000000000002</v>
      </c>
      <c r="H19" s="95">
        <f>'NIVEAU WAARDE - 1e toetsperiode'!G23</f>
        <v>1.7</v>
      </c>
      <c r="I19" s="96" t="str">
        <f t="shared" si="0"/>
        <v>D-4</v>
      </c>
      <c r="J19" s="236" t="str">
        <f t="shared" si="1"/>
        <v/>
      </c>
      <c r="K19" s="124">
        <f>'NIVEAU WAARDE - vorig jaar'!H23</f>
        <v>1.6</v>
      </c>
      <c r="L19" s="106">
        <f>'NIVEAU WAARDE - 1e toetsperiode'!H23</f>
        <v>2.4</v>
      </c>
      <c r="M19" s="96" t="str">
        <f t="shared" si="2"/>
        <v>C-4</v>
      </c>
      <c r="N19" s="236" t="str">
        <f t="shared" si="3"/>
        <v>*</v>
      </c>
      <c r="O19" s="1198"/>
      <c r="P19" s="1196"/>
      <c r="Q19" s="116"/>
      <c r="R19" s="117"/>
      <c r="S19" s="117"/>
      <c r="T19" s="117"/>
      <c r="U19" s="118"/>
      <c r="V19" s="118"/>
      <c r="W19" s="118"/>
      <c r="X19" s="119"/>
    </row>
    <row r="20" spans="1:24" ht="19.5" customHeight="1" x14ac:dyDescent="0.2">
      <c r="D20" s="111">
        <v>0</v>
      </c>
      <c r="E20" s="92">
        <v>16</v>
      </c>
      <c r="F20" s="93" t="str">
        <f>BEGINBLAD!C19</f>
        <v>leerling 16</v>
      </c>
      <c r="G20" s="94">
        <f>'NIVEAU WAARDE - vorig jaar'!G24</f>
        <v>2.2999999999999998</v>
      </c>
      <c r="H20" s="95">
        <f>'NIVEAU WAARDE - 1e toetsperiode'!G24</f>
        <v>3.6</v>
      </c>
      <c r="I20" s="96" t="str">
        <f t="shared" si="0"/>
        <v>B-2</v>
      </c>
      <c r="J20" s="236" t="str">
        <f t="shared" si="1"/>
        <v>*</v>
      </c>
      <c r="K20" s="124">
        <f>'NIVEAU WAARDE - vorig jaar'!H24</f>
        <v>0</v>
      </c>
      <c r="L20" s="106">
        <f>'NIVEAU WAARDE - 1e toetsperiode'!H24</f>
        <v>3.1</v>
      </c>
      <c r="M20" s="96" t="str">
        <f t="shared" si="2"/>
        <v>B-3</v>
      </c>
      <c r="N20" s="236" t="str">
        <f t="shared" si="3"/>
        <v>*</v>
      </c>
      <c r="O20" s="1198"/>
      <c r="P20" s="1196"/>
      <c r="Q20" s="116"/>
      <c r="R20" s="120"/>
      <c r="S20" s="120"/>
      <c r="T20" s="120"/>
      <c r="U20" s="120"/>
      <c r="V20" s="120"/>
      <c r="W20" s="120"/>
    </row>
    <row r="21" spans="1:24" ht="19.5" customHeight="1" x14ac:dyDescent="0.2">
      <c r="D21" s="111">
        <v>0</v>
      </c>
      <c r="E21" s="92">
        <v>17</v>
      </c>
      <c r="F21" s="93" t="str">
        <f>BEGINBLAD!C20</f>
        <v>leerling 17</v>
      </c>
      <c r="G21" s="94">
        <f>'NIVEAU WAARDE - vorig jaar'!G25</f>
        <v>3.1</v>
      </c>
      <c r="H21" s="95">
        <f>'NIVEAU WAARDE - 1e toetsperiode'!G25</f>
        <v>2.8</v>
      </c>
      <c r="I21" s="96" t="str">
        <f t="shared" si="0"/>
        <v>C-3</v>
      </c>
      <c r="J21" s="236" t="str">
        <f t="shared" si="1"/>
        <v/>
      </c>
      <c r="K21" s="124">
        <f>'NIVEAU WAARDE - vorig jaar'!H25</f>
        <v>4.5</v>
      </c>
      <c r="L21" s="121">
        <f>'NIVEAU WAARDE - 1e toetsperiode'!H25</f>
        <v>4.5999999999999996</v>
      </c>
      <c r="M21" s="96" t="str">
        <f t="shared" si="2"/>
        <v>A-1+</v>
      </c>
      <c r="N21" s="236" t="str">
        <f t="shared" si="3"/>
        <v/>
      </c>
      <c r="O21" s="1198"/>
      <c r="P21" s="1196"/>
      <c r="Q21" s="116"/>
      <c r="R21" s="120"/>
      <c r="S21" s="120"/>
      <c r="T21" s="120"/>
      <c r="U21" s="120"/>
      <c r="V21" s="120"/>
      <c r="W21" s="120"/>
    </row>
    <row r="22" spans="1:24" ht="19.5" customHeight="1" x14ac:dyDescent="0.2">
      <c r="D22" s="111">
        <v>0</v>
      </c>
      <c r="E22" s="92">
        <v>18</v>
      </c>
      <c r="F22" s="93" t="str">
        <f>BEGINBLAD!C21</f>
        <v>leerling 18</v>
      </c>
      <c r="G22" s="94">
        <f>'NIVEAU WAARDE - vorig jaar'!G26</f>
        <v>2.8</v>
      </c>
      <c r="H22" s="95">
        <f>'NIVEAU WAARDE - 1e toetsperiode'!G26</f>
        <v>4</v>
      </c>
      <c r="I22" s="96" t="str">
        <f t="shared" si="0"/>
        <v>A-2</v>
      </c>
      <c r="J22" s="236" t="str">
        <f t="shared" si="1"/>
        <v>*</v>
      </c>
      <c r="K22" s="124">
        <f>'NIVEAU WAARDE - vorig jaar'!H26</f>
        <v>3</v>
      </c>
      <c r="L22" s="97">
        <f>'NIVEAU WAARDE - 1e toetsperiode'!H26</f>
        <v>3</v>
      </c>
      <c r="M22" s="96" t="str">
        <f t="shared" si="2"/>
        <v>B-3</v>
      </c>
      <c r="N22" s="236" t="str">
        <f t="shared" si="3"/>
        <v/>
      </c>
      <c r="O22" s="1198"/>
      <c r="P22" s="1196"/>
      <c r="Q22" s="116"/>
      <c r="R22" s="120"/>
      <c r="S22" s="120"/>
      <c r="T22" s="120"/>
      <c r="U22" s="120"/>
      <c r="V22" s="120"/>
      <c r="W22" s="120"/>
    </row>
    <row r="23" spans="1:24" ht="19.5" customHeight="1" x14ac:dyDescent="0.2">
      <c r="B23" s="122"/>
      <c r="C23" s="122"/>
      <c r="D23" s="111">
        <v>0</v>
      </c>
      <c r="E23" s="92">
        <v>19</v>
      </c>
      <c r="F23" s="93" t="str">
        <f>BEGINBLAD!C22</f>
        <v>leerling 19</v>
      </c>
      <c r="G23" s="94">
        <f>'NIVEAU WAARDE - vorig jaar'!G27</f>
        <v>0.5</v>
      </c>
      <c r="H23" s="95">
        <f>'NIVEAU WAARDE - 1e toetsperiode'!G27</f>
        <v>3.6</v>
      </c>
      <c r="I23" s="96" t="str">
        <f t="shared" si="0"/>
        <v>B-2</v>
      </c>
      <c r="J23" s="236" t="str">
        <f t="shared" si="1"/>
        <v>*</v>
      </c>
      <c r="K23" s="124">
        <f>'NIVEAU WAARDE - vorig jaar'!H27</f>
        <v>1</v>
      </c>
      <c r="L23" s="121">
        <f>'NIVEAU WAARDE - 1e toetsperiode'!H27</f>
        <v>1.4</v>
      </c>
      <c r="M23" s="96" t="str">
        <f t="shared" si="2"/>
        <v>D-5</v>
      </c>
      <c r="N23" s="236" t="str">
        <f t="shared" si="3"/>
        <v/>
      </c>
      <c r="O23" s="1198"/>
      <c r="P23" s="1196"/>
    </row>
    <row r="24" spans="1:24" ht="19.5" customHeight="1" thickBot="1" x14ac:dyDescent="0.25">
      <c r="B24" s="123"/>
      <c r="C24" s="122"/>
      <c r="D24" s="111">
        <v>0</v>
      </c>
      <c r="E24" s="92">
        <v>20</v>
      </c>
      <c r="F24" s="93" t="str">
        <f>BEGINBLAD!C23</f>
        <v>leerling 20</v>
      </c>
      <c r="G24" s="94">
        <f>'NIVEAU WAARDE - vorig jaar'!G28</f>
        <v>3.8</v>
      </c>
      <c r="H24" s="95">
        <f>'NIVEAU WAARDE - 1e toetsperiode'!G28</f>
        <v>3.6</v>
      </c>
      <c r="I24" s="96" t="str">
        <f t="shared" si="0"/>
        <v>B-2</v>
      </c>
      <c r="J24" s="236" t="str">
        <f t="shared" si="1"/>
        <v/>
      </c>
      <c r="K24" s="124">
        <f>'NIVEAU WAARDE - vorig jaar'!H28</f>
        <v>4.5</v>
      </c>
      <c r="L24" s="121">
        <f>'NIVEAU WAARDE - 1e toetsperiode'!H28</f>
        <v>4.2</v>
      </c>
      <c r="M24" s="96" t="str">
        <f t="shared" si="2"/>
        <v>A-1</v>
      </c>
      <c r="N24" s="236" t="str">
        <f t="shared" si="3"/>
        <v/>
      </c>
      <c r="O24" s="1199"/>
      <c r="P24" s="1197"/>
      <c r="Q24" s="116"/>
      <c r="R24" s="120"/>
      <c r="S24" s="120"/>
      <c r="T24" s="120"/>
      <c r="U24" s="120"/>
      <c r="V24" s="120"/>
      <c r="W24" s="120"/>
    </row>
    <row r="25" spans="1:24" ht="19.5" customHeight="1" thickBot="1" x14ac:dyDescent="0.25">
      <c r="B25" s="123"/>
      <c r="C25" s="122"/>
      <c r="D25" s="111">
        <v>0</v>
      </c>
      <c r="E25" s="92">
        <v>21</v>
      </c>
      <c r="F25" s="93" t="str">
        <f>BEGINBLAD!C24</f>
        <v>leerling 21</v>
      </c>
      <c r="G25" s="94">
        <f>'NIVEAU WAARDE - vorig jaar'!G29</f>
        <v>1.5</v>
      </c>
      <c r="H25" s="95">
        <f>'NIVEAU WAARDE - 1e toetsperiode'!G29</f>
        <v>2.2999999999999998</v>
      </c>
      <c r="I25" s="96" t="str">
        <f t="shared" si="0"/>
        <v>C-4</v>
      </c>
      <c r="J25" s="236" t="str">
        <f t="shared" si="1"/>
        <v>*</v>
      </c>
      <c r="K25" s="124">
        <f>'NIVEAU WAARDE - vorig jaar'!H29</f>
        <v>3.6</v>
      </c>
      <c r="L25" s="121">
        <f>'NIVEAU WAARDE - 1e toetsperiode'!H29</f>
        <v>3.3</v>
      </c>
      <c r="M25" s="96" t="str">
        <f t="shared" si="2"/>
        <v>B-3</v>
      </c>
      <c r="N25" s="236" t="str">
        <f t="shared" si="3"/>
        <v/>
      </c>
      <c r="O25" s="107"/>
      <c r="P25" s="113" t="s">
        <v>282</v>
      </c>
      <c r="Q25" s="116"/>
      <c r="R25" s="120"/>
      <c r="S25" s="120"/>
      <c r="T25" s="120"/>
      <c r="U25" s="120"/>
      <c r="V25" s="120"/>
      <c r="W25" s="120"/>
    </row>
    <row r="26" spans="1:24" ht="19.5" customHeight="1" x14ac:dyDescent="0.2">
      <c r="D26" s="111">
        <v>0</v>
      </c>
      <c r="E26" s="92">
        <v>22</v>
      </c>
      <c r="F26" s="93" t="str">
        <f>BEGINBLAD!C25</f>
        <v>leerling 22</v>
      </c>
      <c r="G26" s="94">
        <f>'NIVEAU WAARDE - vorig jaar'!G30</f>
        <v>2.6</v>
      </c>
      <c r="H26" s="95">
        <f>'NIVEAU WAARDE - 1e toetsperiode'!G30</f>
        <v>1.5</v>
      </c>
      <c r="I26" s="96" t="str">
        <f t="shared" si="0"/>
        <v>D-5</v>
      </c>
      <c r="J26" s="236" t="str">
        <f t="shared" si="1"/>
        <v>!</v>
      </c>
      <c r="K26" s="124">
        <f>'NIVEAU WAARDE - vorig jaar'!H30</f>
        <v>1.7</v>
      </c>
      <c r="L26" s="121">
        <f>'NIVEAU WAARDE - 1e toetsperiode'!H30</f>
        <v>1.6</v>
      </c>
      <c r="M26" s="96" t="str">
        <f t="shared" si="2"/>
        <v>D-5</v>
      </c>
      <c r="N26" s="236" t="str">
        <f t="shared" si="3"/>
        <v/>
      </c>
      <c r="O26" s="1191" t="s">
        <v>135</v>
      </c>
      <c r="P26" s="1194" t="str">
        <f>'BASISAANPAK - 1e periode'!F17</f>
        <v>Methodetoetsen moeten voldoende scoren
Niet methodetoetsen minimaal B niveau
cijferend rekenen moet voldoende zijn</v>
      </c>
      <c r="Q26" s="89"/>
      <c r="R26" s="114"/>
      <c r="S26" s="114"/>
      <c r="T26" s="114"/>
      <c r="U26" s="114"/>
      <c r="V26" s="114"/>
      <c r="W26" s="114"/>
    </row>
    <row r="27" spans="1:24" s="126" customFormat="1" ht="19.5" customHeight="1" x14ac:dyDescent="0.4">
      <c r="A27" s="89"/>
      <c r="B27" s="1132" t="s">
        <v>43</v>
      </c>
      <c r="C27" s="90" t="s">
        <v>210</v>
      </c>
      <c r="D27" s="105">
        <v>0</v>
      </c>
      <c r="E27" s="92">
        <v>23</v>
      </c>
      <c r="F27" s="93" t="str">
        <f>BEGINBLAD!C26</f>
        <v>leerling 23</v>
      </c>
      <c r="G27" s="94">
        <f>'NIVEAU WAARDE - vorig jaar'!G31</f>
        <v>3.2</v>
      </c>
      <c r="H27" s="95">
        <f>'NIVEAU WAARDE - 1e toetsperiode'!G31</f>
        <v>3.8</v>
      </c>
      <c r="I27" s="96" t="str">
        <f t="shared" si="0"/>
        <v>B-2</v>
      </c>
      <c r="J27" s="236" t="str">
        <f t="shared" si="1"/>
        <v>*</v>
      </c>
      <c r="K27" s="124">
        <f>'NIVEAU WAARDE - vorig jaar'!H31</f>
        <v>3.8</v>
      </c>
      <c r="L27" s="121">
        <f>'NIVEAU WAARDE - 1e toetsperiode'!H31</f>
        <v>3.9</v>
      </c>
      <c r="M27" s="96" t="str">
        <f t="shared" si="2"/>
        <v>B-2</v>
      </c>
      <c r="N27" s="236" t="str">
        <f t="shared" si="3"/>
        <v/>
      </c>
      <c r="O27" s="1192"/>
      <c r="P27" s="1195"/>
      <c r="Q27" s="125"/>
      <c r="R27" s="125"/>
      <c r="S27" s="125"/>
      <c r="T27" s="125"/>
      <c r="U27" s="125"/>
      <c r="V27" s="125"/>
      <c r="W27" s="125"/>
    </row>
    <row r="28" spans="1:24" ht="19.5" customHeight="1" x14ac:dyDescent="0.4">
      <c r="A28" s="89"/>
      <c r="B28" s="1132"/>
      <c r="C28" s="101" t="s">
        <v>200</v>
      </c>
      <c r="D28" s="105">
        <v>0</v>
      </c>
      <c r="E28" s="92">
        <v>24</v>
      </c>
      <c r="F28" s="93" t="str">
        <f>BEGINBLAD!C27</f>
        <v>leerling 24</v>
      </c>
      <c r="G28" s="94">
        <f>'NIVEAU WAARDE - vorig jaar'!G32</f>
        <v>4.4000000000000004</v>
      </c>
      <c r="H28" s="95">
        <f>'NIVEAU WAARDE - 1e toetsperiode'!G32</f>
        <v>4.8</v>
      </c>
      <c r="I28" s="96" t="str">
        <f t="shared" si="0"/>
        <v>A-1+</v>
      </c>
      <c r="J28" s="236" t="str">
        <f t="shared" si="1"/>
        <v/>
      </c>
      <c r="K28" s="124">
        <f>'NIVEAU WAARDE - vorig jaar'!H32</f>
        <v>4.7</v>
      </c>
      <c r="L28" s="121">
        <f>'NIVEAU WAARDE - 1e toetsperiode'!H32</f>
        <v>4.8</v>
      </c>
      <c r="M28" s="96" t="str">
        <f t="shared" si="2"/>
        <v>A-1+</v>
      </c>
      <c r="N28" s="236" t="str">
        <f t="shared" si="3"/>
        <v/>
      </c>
      <c r="O28" s="1192" t="s">
        <v>137</v>
      </c>
      <c r="P28" s="1200" t="str">
        <f>'BASISAANPAK - 1e periode'!F19</f>
        <v xml:space="preserve">Groep 6: doet basis. 
Groep 7: doet basis 
Groep 8: doet basis - behalve ---                                                                 
Na elke (methode)toets analyseren wat nog niet voldoende scoort en dit intensiveren
Alle kinderen die in basisaanpak zitten moeten in 2 ster-aanpak blijven.
</v>
      </c>
      <c r="Q28" s="77"/>
      <c r="R28" s="127"/>
      <c r="S28" s="88"/>
      <c r="T28" s="88"/>
      <c r="U28" s="88"/>
      <c r="V28" s="88"/>
      <c r="W28" s="88"/>
    </row>
    <row r="29" spans="1:24" ht="19.5" customHeight="1" x14ac:dyDescent="0.2">
      <c r="A29" s="102"/>
      <c r="B29" s="326">
        <v>7</v>
      </c>
      <c r="C29" s="328" t="s">
        <v>489</v>
      </c>
      <c r="D29" s="91">
        <v>0</v>
      </c>
      <c r="E29" s="92">
        <v>25</v>
      </c>
      <c r="F29" s="93" t="str">
        <f>BEGINBLAD!C28</f>
        <v>leerling 25</v>
      </c>
      <c r="G29" s="94">
        <f>'NIVEAU WAARDE - vorig jaar'!G33</f>
        <v>3.3</v>
      </c>
      <c r="H29" s="95">
        <f>'NIVEAU WAARDE - 1e toetsperiode'!G33</f>
        <v>2.5</v>
      </c>
      <c r="I29" s="96" t="str">
        <f t="shared" si="0"/>
        <v>C-4</v>
      </c>
      <c r="J29" s="236" t="str">
        <f t="shared" si="1"/>
        <v>!</v>
      </c>
      <c r="K29" s="124">
        <f>'NIVEAU WAARDE - vorig jaar'!H33</f>
        <v>2.2000000000000002</v>
      </c>
      <c r="L29" s="121">
        <f>'NIVEAU WAARDE - 1e toetsperiode'!H33</f>
        <v>1.7</v>
      </c>
      <c r="M29" s="96" t="str">
        <f t="shared" si="2"/>
        <v>D-4</v>
      </c>
      <c r="N29" s="236" t="str">
        <f t="shared" si="3"/>
        <v/>
      </c>
      <c r="O29" s="1192"/>
      <c r="P29" s="1200"/>
      <c r="Q29" s="128"/>
      <c r="R29" s="117"/>
      <c r="S29" s="117"/>
      <c r="T29" s="117"/>
      <c r="U29" s="117"/>
      <c r="V29" s="117"/>
      <c r="W29" s="117"/>
    </row>
    <row r="30" spans="1:24" ht="19.5" customHeight="1" x14ac:dyDescent="0.2">
      <c r="A30" s="102"/>
      <c r="B30" s="326">
        <v>8</v>
      </c>
      <c r="C30" s="328" t="s">
        <v>499</v>
      </c>
      <c r="D30" s="91">
        <v>0</v>
      </c>
      <c r="E30" s="92">
        <v>26</v>
      </c>
      <c r="F30" s="93" t="str">
        <f>BEGINBLAD!C29</f>
        <v>leerling 26</v>
      </c>
      <c r="G30" s="94">
        <f>'NIVEAU WAARDE - vorig jaar'!G34</f>
        <v>2.6</v>
      </c>
      <c r="H30" s="95">
        <f>'NIVEAU WAARDE - 1e toetsperiode'!G34</f>
        <v>3.1</v>
      </c>
      <c r="I30" s="96" t="str">
        <f t="shared" si="0"/>
        <v>B-3</v>
      </c>
      <c r="J30" s="236" t="str">
        <f t="shared" si="1"/>
        <v/>
      </c>
      <c r="K30" s="124">
        <f>'NIVEAU WAARDE - vorig jaar'!H34</f>
        <v>0.8</v>
      </c>
      <c r="L30" s="121">
        <f>'NIVEAU WAARDE - 1e toetsperiode'!H34</f>
        <v>1.2</v>
      </c>
      <c r="M30" s="96" t="str">
        <f t="shared" si="2"/>
        <v>D-5</v>
      </c>
      <c r="N30" s="236" t="str">
        <f t="shared" si="3"/>
        <v/>
      </c>
      <c r="O30" s="1192"/>
      <c r="P30" s="1200"/>
      <c r="Q30" s="116"/>
      <c r="R30" s="120"/>
      <c r="S30" s="120"/>
      <c r="T30" s="120"/>
      <c r="U30" s="120"/>
      <c r="V30" s="120"/>
      <c r="W30" s="120"/>
    </row>
    <row r="31" spans="1:24" ht="19.5" customHeight="1" x14ac:dyDescent="0.2">
      <c r="A31" s="102"/>
      <c r="B31" s="326">
        <v>8</v>
      </c>
      <c r="C31" s="328" t="s">
        <v>500</v>
      </c>
      <c r="D31" s="91">
        <v>0</v>
      </c>
      <c r="E31" s="92">
        <v>27</v>
      </c>
      <c r="F31" s="93">
        <f>BEGINBLAD!C30</f>
        <v>0</v>
      </c>
      <c r="G31" s="94">
        <f>'NIVEAU WAARDE - vorig jaar'!G35</f>
        <v>0</v>
      </c>
      <c r="H31" s="95">
        <f>'NIVEAU WAARDE - 1e toetsperiode'!G35</f>
        <v>0</v>
      </c>
      <c r="I31" s="96" t="str">
        <f t="shared" si="0"/>
        <v/>
      </c>
      <c r="J31" s="236" t="str">
        <f t="shared" si="1"/>
        <v/>
      </c>
      <c r="K31" s="124">
        <f>'NIVEAU WAARDE - vorig jaar'!H35</f>
        <v>0</v>
      </c>
      <c r="L31" s="121">
        <f>'NIVEAU WAARDE - 1e toetsperiode'!H35</f>
        <v>0</v>
      </c>
      <c r="M31" s="96" t="str">
        <f t="shared" si="2"/>
        <v/>
      </c>
      <c r="N31" s="236" t="str">
        <f t="shared" si="3"/>
        <v/>
      </c>
      <c r="O31" s="1192"/>
      <c r="P31" s="1200"/>
      <c r="Q31" s="116"/>
      <c r="R31" s="120"/>
      <c r="S31" s="120"/>
      <c r="T31" s="120"/>
      <c r="U31" s="120"/>
      <c r="V31" s="120"/>
      <c r="W31" s="120"/>
    </row>
    <row r="32" spans="1:24" ht="19.5" customHeight="1" x14ac:dyDescent="0.2">
      <c r="A32" s="102"/>
      <c r="B32" s="326"/>
      <c r="C32" s="328"/>
      <c r="D32" s="91">
        <v>0</v>
      </c>
      <c r="E32" s="92">
        <v>28</v>
      </c>
      <c r="F32" s="93">
        <f>BEGINBLAD!C31</f>
        <v>0</v>
      </c>
      <c r="G32" s="94">
        <f>'NIVEAU WAARDE - vorig jaar'!G36</f>
        <v>0</v>
      </c>
      <c r="H32" s="95">
        <f>'NIVEAU WAARDE - 1e toetsperiode'!G36</f>
        <v>0</v>
      </c>
      <c r="I32" s="96" t="str">
        <f t="shared" si="0"/>
        <v/>
      </c>
      <c r="J32" s="236" t="str">
        <f t="shared" si="1"/>
        <v/>
      </c>
      <c r="K32" s="124">
        <f>'NIVEAU WAARDE - vorig jaar'!H36</f>
        <v>0</v>
      </c>
      <c r="L32" s="121">
        <f>'NIVEAU WAARDE - 1e toetsperiode'!H36</f>
        <v>0</v>
      </c>
      <c r="M32" s="96" t="str">
        <f t="shared" si="2"/>
        <v/>
      </c>
      <c r="N32" s="236" t="str">
        <f t="shared" si="3"/>
        <v/>
      </c>
      <c r="O32" s="1192"/>
      <c r="P32" s="1200"/>
      <c r="Q32" s="116"/>
      <c r="R32" s="120"/>
      <c r="S32" s="120"/>
      <c r="T32" s="120"/>
      <c r="U32" s="120"/>
      <c r="V32" s="120"/>
      <c r="W32" s="120"/>
    </row>
    <row r="33" spans="1:27" ht="19.5" customHeight="1" x14ac:dyDescent="0.2">
      <c r="A33" s="102"/>
      <c r="B33" s="326"/>
      <c r="C33" s="328"/>
      <c r="D33" s="91">
        <v>0</v>
      </c>
      <c r="E33" s="92">
        <v>29</v>
      </c>
      <c r="F33" s="93">
        <f>BEGINBLAD!C32</f>
        <v>0</v>
      </c>
      <c r="G33" s="94">
        <f>'NIVEAU WAARDE - vorig jaar'!G37</f>
        <v>0</v>
      </c>
      <c r="H33" s="95">
        <f>'NIVEAU WAARDE - 1e toetsperiode'!G37</f>
        <v>0</v>
      </c>
      <c r="I33" s="96" t="str">
        <f t="shared" si="0"/>
        <v/>
      </c>
      <c r="J33" s="236" t="str">
        <f t="shared" si="1"/>
        <v/>
      </c>
      <c r="K33" s="124">
        <f>'NIVEAU WAARDE - vorig jaar'!H37</f>
        <v>0</v>
      </c>
      <c r="L33" s="121">
        <f>'NIVEAU WAARDE - 1e toetsperiode'!H37</f>
        <v>0</v>
      </c>
      <c r="M33" s="96" t="str">
        <f t="shared" si="2"/>
        <v/>
      </c>
      <c r="N33" s="236" t="str">
        <f t="shared" si="3"/>
        <v/>
      </c>
      <c r="O33" s="1192"/>
      <c r="P33" s="1200"/>
      <c r="Q33" s="116"/>
      <c r="R33" s="120"/>
      <c r="S33" s="120"/>
      <c r="T33" s="120"/>
      <c r="U33" s="120"/>
      <c r="V33" s="120"/>
      <c r="W33" s="120"/>
    </row>
    <row r="34" spans="1:27" ht="19.5" customHeight="1" x14ac:dyDescent="0.2">
      <c r="A34" s="102"/>
      <c r="B34" s="326"/>
      <c r="C34" s="328"/>
      <c r="D34" s="91">
        <v>0</v>
      </c>
      <c r="E34" s="92">
        <v>30</v>
      </c>
      <c r="F34" s="93">
        <f>BEGINBLAD!C33</f>
        <v>0</v>
      </c>
      <c r="G34" s="94">
        <f>'NIVEAU WAARDE - vorig jaar'!G38</f>
        <v>0</v>
      </c>
      <c r="H34" s="95">
        <f>'NIVEAU WAARDE - 1e toetsperiode'!G38</f>
        <v>0</v>
      </c>
      <c r="I34" s="96" t="str">
        <f t="shared" si="0"/>
        <v/>
      </c>
      <c r="J34" s="236" t="str">
        <f t="shared" si="1"/>
        <v/>
      </c>
      <c r="K34" s="124">
        <f>'NIVEAU WAARDE - vorig jaar'!H38</f>
        <v>0</v>
      </c>
      <c r="L34" s="121">
        <f>'NIVEAU WAARDE - 1e toetsperiode'!H38</f>
        <v>0</v>
      </c>
      <c r="M34" s="96" t="str">
        <f t="shared" si="2"/>
        <v/>
      </c>
      <c r="N34" s="236" t="str">
        <f t="shared" si="3"/>
        <v/>
      </c>
      <c r="O34" s="1192"/>
      <c r="P34" s="1200"/>
      <c r="Q34" s="116"/>
      <c r="R34" s="120"/>
      <c r="S34" s="120"/>
      <c r="T34" s="120"/>
      <c r="U34" s="120"/>
      <c r="V34" s="120"/>
      <c r="W34" s="120"/>
    </row>
    <row r="35" spans="1:27" ht="19.5" customHeight="1" thickBot="1" x14ac:dyDescent="0.25">
      <c r="A35" s="102"/>
      <c r="B35" s="326"/>
      <c r="C35" s="328"/>
      <c r="D35" s="91">
        <v>0</v>
      </c>
      <c r="E35" s="92">
        <v>31</v>
      </c>
      <c r="F35" s="93">
        <f>BEGINBLAD!C34</f>
        <v>0</v>
      </c>
      <c r="G35" s="94">
        <f>'NIVEAU WAARDE - vorig jaar'!G39</f>
        <v>0</v>
      </c>
      <c r="H35" s="95">
        <f>'NIVEAU WAARDE - 1e toetsperiode'!G39</f>
        <v>0</v>
      </c>
      <c r="I35" s="96" t="str">
        <f t="shared" si="0"/>
        <v/>
      </c>
      <c r="J35" s="236" t="str">
        <f t="shared" si="1"/>
        <v/>
      </c>
      <c r="K35" s="124">
        <f>'NIVEAU WAARDE - vorig jaar'!H39</f>
        <v>0</v>
      </c>
      <c r="L35" s="121">
        <f>'NIVEAU WAARDE - 1e toetsperiode'!H39</f>
        <v>0</v>
      </c>
      <c r="M35" s="96" t="str">
        <f t="shared" si="2"/>
        <v/>
      </c>
      <c r="N35" s="236" t="str">
        <f t="shared" si="3"/>
        <v/>
      </c>
      <c r="O35" s="1193"/>
      <c r="P35" s="1201"/>
      <c r="Q35" s="116"/>
      <c r="R35" s="120"/>
      <c r="S35" s="120"/>
      <c r="T35" s="120"/>
      <c r="U35" s="120"/>
      <c r="V35" s="120"/>
      <c r="W35" s="120"/>
    </row>
    <row r="36" spans="1:27" ht="19.5" customHeight="1" thickBot="1" x14ac:dyDescent="0.25">
      <c r="A36" s="102"/>
      <c r="B36" s="326"/>
      <c r="C36" s="328"/>
      <c r="D36" s="91">
        <v>0</v>
      </c>
      <c r="E36" s="92">
        <v>32</v>
      </c>
      <c r="F36" s="93">
        <f>BEGINBLAD!C35</f>
        <v>0</v>
      </c>
      <c r="G36" s="94">
        <f>'NIVEAU WAARDE - vorig jaar'!G40</f>
        <v>0</v>
      </c>
      <c r="H36" s="95">
        <f>'NIVEAU WAARDE - 1e toetsperiode'!G40</f>
        <v>0</v>
      </c>
      <c r="I36" s="96" t="str">
        <f t="shared" si="0"/>
        <v/>
      </c>
      <c r="J36" s="236" t="str">
        <f t="shared" si="1"/>
        <v/>
      </c>
      <c r="K36" s="124">
        <f>'NIVEAU WAARDE - vorig jaar'!H40</f>
        <v>0</v>
      </c>
      <c r="L36" s="121">
        <f>'NIVEAU WAARDE - 1e toetsperiode'!H40</f>
        <v>0</v>
      </c>
      <c r="M36" s="96" t="str">
        <f t="shared" si="2"/>
        <v/>
      </c>
      <c r="N36" s="236" t="str">
        <f t="shared" si="3"/>
        <v/>
      </c>
      <c r="O36" s="107"/>
      <c r="P36" s="113" t="s">
        <v>108</v>
      </c>
      <c r="Q36" s="116"/>
      <c r="R36" s="120"/>
      <c r="S36" s="120"/>
      <c r="T36" s="120"/>
      <c r="U36" s="120"/>
      <c r="V36" s="120"/>
      <c r="W36" s="120"/>
    </row>
    <row r="37" spans="1:27" ht="19.5" customHeight="1" x14ac:dyDescent="0.2">
      <c r="A37" s="102"/>
      <c r="B37" s="103"/>
      <c r="C37" s="689"/>
      <c r="D37" s="91">
        <v>0</v>
      </c>
      <c r="E37" s="92">
        <v>33</v>
      </c>
      <c r="F37" s="93">
        <f>BEGINBLAD!C36</f>
        <v>0</v>
      </c>
      <c r="G37" s="94">
        <f>'NIVEAU WAARDE - vorig jaar'!G41</f>
        <v>0</v>
      </c>
      <c r="H37" s="95">
        <f>'NIVEAU WAARDE - 1e toetsperiode'!G41</f>
        <v>0</v>
      </c>
      <c r="I37" s="96" t="str">
        <f t="shared" si="0"/>
        <v/>
      </c>
      <c r="J37" s="236" t="str">
        <f t="shared" si="1"/>
        <v/>
      </c>
      <c r="K37" s="124">
        <f>'NIVEAU WAARDE - vorig jaar'!H41</f>
        <v>0</v>
      </c>
      <c r="L37" s="121">
        <f>'NIVEAU WAARDE - 1e toetsperiode'!H41</f>
        <v>0</v>
      </c>
      <c r="M37" s="96" t="str">
        <f t="shared" si="2"/>
        <v/>
      </c>
      <c r="N37" s="236" t="str">
        <f t="shared" si="3"/>
        <v/>
      </c>
      <c r="O37" s="1191" t="s">
        <v>135</v>
      </c>
      <c r="P37" s="1194" t="str">
        <f>'VERRIJKT - 1e periode'!F17</f>
        <v xml:space="preserve"> - gemotiveerd blijven
 - eigen initiatief ontwikkelen = zelf verantwoordelijk zijn
 - leren plannen</v>
      </c>
      <c r="Q37" s="116"/>
      <c r="R37" s="120"/>
      <c r="S37" s="120"/>
      <c r="T37" s="120"/>
      <c r="U37" s="120"/>
      <c r="V37" s="120"/>
      <c r="W37" s="120"/>
    </row>
    <row r="38" spans="1:27" ht="19.5" customHeight="1" x14ac:dyDescent="0.2">
      <c r="A38" s="102"/>
      <c r="B38" s="103"/>
      <c r="C38" s="689"/>
      <c r="D38" s="91">
        <v>0</v>
      </c>
      <c r="E38" s="92">
        <v>34</v>
      </c>
      <c r="F38" s="93">
        <f>BEGINBLAD!C37</f>
        <v>0</v>
      </c>
      <c r="G38" s="94">
        <f>'NIVEAU WAARDE - vorig jaar'!G42</f>
        <v>0</v>
      </c>
      <c r="H38" s="95">
        <f>'NIVEAU WAARDE - 1e toetsperiode'!G42</f>
        <v>0</v>
      </c>
      <c r="I38" s="96" t="str">
        <f t="shared" si="0"/>
        <v/>
      </c>
      <c r="J38" s="236" t="str">
        <f t="shared" si="1"/>
        <v/>
      </c>
      <c r="K38" s="124">
        <f>'NIVEAU WAARDE - vorig jaar'!H42</f>
        <v>0</v>
      </c>
      <c r="L38" s="121">
        <f>'NIVEAU WAARDE - 1e toetsperiode'!H42</f>
        <v>0</v>
      </c>
      <c r="M38" s="96" t="str">
        <f t="shared" si="2"/>
        <v/>
      </c>
      <c r="N38" s="236" t="str">
        <f t="shared" si="3"/>
        <v/>
      </c>
      <c r="O38" s="1192"/>
      <c r="P38" s="1195"/>
      <c r="Q38" s="116"/>
      <c r="R38" s="120"/>
      <c r="S38" s="120"/>
      <c r="T38" s="120"/>
      <c r="U38" s="120"/>
      <c r="V38" s="120"/>
      <c r="W38" s="120"/>
    </row>
    <row r="39" spans="1:27" ht="19.5" customHeight="1" x14ac:dyDescent="0.2">
      <c r="A39" s="102"/>
      <c r="B39" s="103"/>
      <c r="C39" s="689"/>
      <c r="D39" s="91">
        <v>0</v>
      </c>
      <c r="E39" s="92">
        <v>35</v>
      </c>
      <c r="F39" s="93">
        <f>BEGINBLAD!C38</f>
        <v>0</v>
      </c>
      <c r="G39" s="94">
        <f>'NIVEAU WAARDE - vorig jaar'!G43</f>
        <v>0</v>
      </c>
      <c r="H39" s="95">
        <f>'NIVEAU WAARDE - 1e toetsperiode'!G43</f>
        <v>0</v>
      </c>
      <c r="I39" s="96" t="str">
        <f t="shared" si="0"/>
        <v/>
      </c>
      <c r="J39" s="236" t="str">
        <f t="shared" si="1"/>
        <v/>
      </c>
      <c r="K39" s="124">
        <f>'NIVEAU WAARDE - vorig jaar'!H43</f>
        <v>0</v>
      </c>
      <c r="L39" s="121">
        <f>'NIVEAU WAARDE - 1e toetsperiode'!H43</f>
        <v>0</v>
      </c>
      <c r="M39" s="96" t="str">
        <f t="shared" si="2"/>
        <v/>
      </c>
      <c r="N39" s="236" t="str">
        <f t="shared" si="3"/>
        <v/>
      </c>
      <c r="O39" s="1192" t="s">
        <v>137</v>
      </c>
      <c r="P39" s="1189" t="str">
        <f>'VERRIJKT - 1e periode'!F19</f>
        <v xml:space="preserve"> - --- (gr.8) en --- (gr.7) werken  met Levelwerk
 - --- krijgt instructie door de IB-er op woensdag
 - --- op maandag - om de week.
 - --- werkt op *** niveau (pluswerkboek)</v>
      </c>
      <c r="Q39" s="116"/>
      <c r="R39" s="120"/>
      <c r="S39" s="120"/>
      <c r="T39" s="120"/>
      <c r="U39" s="120"/>
      <c r="V39" s="120"/>
      <c r="W39" s="120"/>
    </row>
    <row r="40" spans="1:27" s="89" customFormat="1" ht="19.5" customHeight="1" thickBot="1" x14ac:dyDescent="0.25">
      <c r="A40" s="102"/>
      <c r="B40" s="103"/>
      <c r="C40" s="689"/>
      <c r="D40" s="91">
        <v>0</v>
      </c>
      <c r="E40" s="130">
        <v>36</v>
      </c>
      <c r="F40" s="131">
        <f>BEGINBLAD!C39</f>
        <v>0</v>
      </c>
      <c r="G40" s="132">
        <f>'NIVEAU WAARDE - vorig jaar'!G44</f>
        <v>0</v>
      </c>
      <c r="H40" s="133">
        <f>'NIVEAU WAARDE - 1e toetsperiode'!G44</f>
        <v>0</v>
      </c>
      <c r="I40" s="134" t="str">
        <f t="shared" si="0"/>
        <v/>
      </c>
      <c r="J40" s="236" t="str">
        <f t="shared" si="1"/>
        <v/>
      </c>
      <c r="K40" s="244">
        <f>'NIVEAU WAARDE - vorig jaar'!H44</f>
        <v>0</v>
      </c>
      <c r="L40" s="135">
        <f>'NIVEAU WAARDE - 1e toetsperiode'!H44</f>
        <v>0</v>
      </c>
      <c r="M40" s="134" t="str">
        <f t="shared" si="2"/>
        <v/>
      </c>
      <c r="N40" s="236" t="str">
        <f t="shared" si="3"/>
        <v/>
      </c>
      <c r="O40" s="1192"/>
      <c r="P40" s="1189"/>
      <c r="Q40" s="116"/>
      <c r="R40" s="120"/>
      <c r="S40" s="120"/>
      <c r="T40" s="120"/>
      <c r="U40" s="120"/>
      <c r="V40" s="120"/>
      <c r="W40" s="120"/>
      <c r="X40" s="114"/>
      <c r="Y40" s="114"/>
      <c r="Z40" s="114"/>
      <c r="AA40" s="114"/>
    </row>
    <row r="41" spans="1:27" ht="19.5" customHeight="1" thickBot="1" x14ac:dyDescent="0.25">
      <c r="A41" s="137"/>
      <c r="B41" s="138"/>
      <c r="C41" s="1202" t="s">
        <v>109</v>
      </c>
      <c r="D41" s="1202"/>
      <c r="E41" s="1202"/>
      <c r="F41" s="1202"/>
      <c r="G41" s="1203" t="s">
        <v>108</v>
      </c>
      <c r="H41" s="1203"/>
      <c r="I41" s="1203"/>
      <c r="J41" s="1203"/>
      <c r="K41" s="1203"/>
      <c r="L41" s="1203"/>
      <c r="M41" s="1203"/>
      <c r="O41" s="1192"/>
      <c r="P41" s="1189"/>
      <c r="Q41" s="116"/>
      <c r="R41" s="139"/>
      <c r="S41" s="139"/>
      <c r="T41" s="139"/>
      <c r="U41" s="139"/>
      <c r="V41" s="139"/>
      <c r="W41" s="139"/>
    </row>
    <row r="42" spans="1:27" ht="19.5" customHeight="1" x14ac:dyDescent="0.2">
      <c r="A42" s="116"/>
      <c r="B42" s="159"/>
      <c r="C42" s="166" t="s">
        <v>214</v>
      </c>
      <c r="D42" s="1204"/>
      <c r="E42" s="1205"/>
      <c r="F42" s="1206"/>
      <c r="G42" s="1207" t="s">
        <v>214</v>
      </c>
      <c r="H42" s="1208"/>
      <c r="I42" s="1220" t="s">
        <v>313</v>
      </c>
      <c r="J42" s="1220"/>
      <c r="K42" s="1220"/>
      <c r="L42" s="1220"/>
      <c r="M42" s="1221"/>
      <c r="O42" s="1192"/>
      <c r="P42" s="1189"/>
      <c r="Q42" s="116"/>
      <c r="R42" s="139"/>
      <c r="S42" s="139"/>
      <c r="T42" s="139"/>
      <c r="U42" s="139"/>
      <c r="V42" s="139"/>
      <c r="W42" s="139"/>
    </row>
    <row r="43" spans="1:27" ht="19.5" customHeight="1" x14ac:dyDescent="0.2">
      <c r="A43" s="116"/>
      <c r="B43" s="160"/>
      <c r="C43" s="167" t="s">
        <v>215</v>
      </c>
      <c r="D43" s="1210"/>
      <c r="E43" s="1211"/>
      <c r="F43" s="1212"/>
      <c r="G43" s="1213" t="s">
        <v>215</v>
      </c>
      <c r="H43" s="1214"/>
      <c r="I43" s="1216"/>
      <c r="J43" s="1216"/>
      <c r="K43" s="1216"/>
      <c r="L43" s="1216"/>
      <c r="M43" s="1217"/>
      <c r="O43" s="1192"/>
      <c r="P43" s="1189"/>
      <c r="Q43" s="116"/>
      <c r="R43" s="139"/>
      <c r="S43" s="139"/>
      <c r="T43" s="139"/>
      <c r="U43" s="139"/>
      <c r="V43" s="139"/>
      <c r="W43" s="139"/>
    </row>
    <row r="44" spans="1:27" ht="19.5" customHeight="1" x14ac:dyDescent="0.2">
      <c r="A44" s="116"/>
      <c r="B44" s="160"/>
      <c r="C44" s="167" t="s">
        <v>216</v>
      </c>
      <c r="D44" s="1210"/>
      <c r="E44" s="1211"/>
      <c r="F44" s="1212"/>
      <c r="G44" s="1213" t="s">
        <v>216</v>
      </c>
      <c r="H44" s="1214"/>
      <c r="I44" s="1216" t="s">
        <v>314</v>
      </c>
      <c r="J44" s="1216"/>
      <c r="K44" s="1216"/>
      <c r="L44" s="1216"/>
      <c r="M44" s="1217"/>
      <c r="O44" s="1192"/>
      <c r="P44" s="1189"/>
      <c r="Q44" s="116"/>
      <c r="R44" s="139"/>
      <c r="S44" s="139"/>
      <c r="T44" s="139"/>
      <c r="U44" s="139"/>
      <c r="V44" s="139"/>
      <c r="W44" s="139"/>
    </row>
    <row r="45" spans="1:27" ht="19.5" customHeight="1" x14ac:dyDescent="0.2">
      <c r="A45" s="116"/>
      <c r="B45" s="160"/>
      <c r="C45" s="167" t="s">
        <v>217</v>
      </c>
      <c r="D45" s="1210"/>
      <c r="E45" s="1211"/>
      <c r="F45" s="1212"/>
      <c r="G45" s="1213" t="s">
        <v>217</v>
      </c>
      <c r="H45" s="1214"/>
      <c r="I45" s="1216"/>
      <c r="J45" s="1216"/>
      <c r="K45" s="1216"/>
      <c r="L45" s="1216"/>
      <c r="M45" s="1217"/>
      <c r="O45" s="1192"/>
      <c r="P45" s="1189"/>
      <c r="Q45" s="116"/>
      <c r="R45" s="139"/>
      <c r="S45" s="139"/>
      <c r="T45" s="139"/>
      <c r="U45" s="139"/>
      <c r="V45" s="139"/>
      <c r="W45" s="139"/>
    </row>
    <row r="46" spans="1:27" ht="19.5" customHeight="1" thickBot="1" x14ac:dyDescent="0.25">
      <c r="A46" s="116"/>
      <c r="B46" s="160"/>
      <c r="C46" s="168" t="s">
        <v>218</v>
      </c>
      <c r="D46" s="1222"/>
      <c r="E46" s="1223"/>
      <c r="F46" s="1224"/>
      <c r="G46" s="1225" t="s">
        <v>218</v>
      </c>
      <c r="H46" s="1226"/>
      <c r="I46" s="1228"/>
      <c r="J46" s="1228"/>
      <c r="K46" s="1228"/>
      <c r="L46" s="1228"/>
      <c r="M46" s="1229"/>
      <c r="O46" s="1193"/>
      <c r="P46" s="1190"/>
      <c r="Q46" s="116"/>
      <c r="R46" s="120"/>
      <c r="S46" s="120"/>
      <c r="T46" s="120"/>
      <c r="U46" s="120"/>
      <c r="V46" s="120"/>
      <c r="W46" s="120"/>
    </row>
    <row r="47" spans="1:27" x14ac:dyDescent="0.2">
      <c r="B47" s="140"/>
      <c r="C47" s="145"/>
      <c r="D47" s="499"/>
      <c r="E47" s="500"/>
      <c r="F47" s="500"/>
      <c r="G47" s="500"/>
      <c r="H47" s="197"/>
      <c r="I47" s="142"/>
      <c r="J47" s="142"/>
      <c r="K47" s="1235" t="s">
        <v>213</v>
      </c>
      <c r="L47" s="1235"/>
      <c r="M47" s="1235"/>
      <c r="N47" s="141"/>
      <c r="O47" s="151"/>
      <c r="P47" s="151"/>
      <c r="Q47" s="116"/>
      <c r="R47" s="120"/>
      <c r="S47" s="120"/>
      <c r="T47" s="120"/>
      <c r="U47" s="120"/>
      <c r="V47" s="120"/>
      <c r="W47" s="120"/>
    </row>
    <row r="48" spans="1:27" x14ac:dyDescent="0.2">
      <c r="B48" s="161"/>
      <c r="C48" s="154"/>
      <c r="D48" s="208">
        <f>BEGINBLAD!$D$40</f>
        <v>26</v>
      </c>
      <c r="E48" s="199"/>
      <c r="F48" s="200" t="s">
        <v>288</v>
      </c>
      <c r="G48" s="207">
        <f>H48/$D$49</f>
        <v>0.11538461538461539</v>
      </c>
      <c r="H48" s="111">
        <f>COUNTIF($I$5:$I$40,"A-1+")</f>
        <v>3</v>
      </c>
      <c r="I48" s="111"/>
      <c r="J48" s="198" t="s">
        <v>289</v>
      </c>
      <c r="K48" s="198"/>
      <c r="L48" s="198"/>
      <c r="M48" s="222">
        <f>G48+G49+G50+G51+G52</f>
        <v>0.65384615384615385</v>
      </c>
      <c r="N48" s="222">
        <v>1</v>
      </c>
      <c r="O48" s="223"/>
      <c r="P48" s="141"/>
      <c r="Q48" s="116"/>
      <c r="R48" s="120"/>
      <c r="S48" s="120"/>
      <c r="T48" s="120"/>
      <c r="U48" s="120"/>
      <c r="V48" s="120"/>
      <c r="W48" s="120"/>
    </row>
    <row r="49" spans="2:23" x14ac:dyDescent="0.2">
      <c r="B49" s="161"/>
      <c r="C49" s="154"/>
      <c r="D49" s="205">
        <f>COUNTIF(H5:H40,"&gt;0")</f>
        <v>26</v>
      </c>
      <c r="E49" s="199"/>
      <c r="F49" s="200" t="s">
        <v>290</v>
      </c>
      <c r="G49" s="207">
        <f>H49/$D$49</f>
        <v>3.8461538461538464E-2</v>
      </c>
      <c r="H49" s="111">
        <f>COUNTIF($I$5:$I$40,"A-1")</f>
        <v>1</v>
      </c>
      <c r="I49" s="111"/>
      <c r="J49" s="198"/>
      <c r="K49" s="198"/>
      <c r="L49" s="198"/>
      <c r="M49" s="222"/>
      <c r="N49" s="222">
        <v>0.7</v>
      </c>
      <c r="O49" s="224"/>
      <c r="P49" s="153"/>
      <c r="Q49" s="116"/>
      <c r="R49" s="120"/>
      <c r="S49" s="120"/>
      <c r="T49" s="120"/>
      <c r="U49" s="120"/>
      <c r="V49" s="120"/>
      <c r="W49" s="120"/>
    </row>
    <row r="50" spans="2:23" x14ac:dyDescent="0.2">
      <c r="B50" s="161"/>
      <c r="C50" s="154"/>
      <c r="D50" s="201"/>
      <c r="E50" s="199"/>
      <c r="F50" s="202" t="s">
        <v>291</v>
      </c>
      <c r="G50" s="207">
        <f>(H50+I50)/$D$49</f>
        <v>0.23076923076923078</v>
      </c>
      <c r="H50" s="111">
        <f>COUNTIF($I$5:$I$40,"A-2")</f>
        <v>1</v>
      </c>
      <c r="I50" s="111">
        <f>COUNTIF($I$5:$I$40,"B-2")</f>
        <v>5</v>
      </c>
      <c r="J50" s="198"/>
      <c r="K50" s="198"/>
      <c r="L50" s="198"/>
      <c r="M50" s="222"/>
      <c r="N50" s="222">
        <v>0.6</v>
      </c>
      <c r="O50" s="224"/>
      <c r="P50" s="153"/>
      <c r="Q50" s="116"/>
      <c r="R50" s="120"/>
      <c r="S50" s="120"/>
      <c r="T50" s="120"/>
      <c r="U50" s="120"/>
      <c r="V50" s="120"/>
      <c r="W50" s="120"/>
    </row>
    <row r="51" spans="2:23" x14ac:dyDescent="0.2">
      <c r="B51" s="161"/>
      <c r="C51" s="154"/>
      <c r="D51" s="201"/>
      <c r="E51" s="199"/>
      <c r="F51" s="200" t="s">
        <v>292</v>
      </c>
      <c r="G51" s="207">
        <f>H51/$D$49</f>
        <v>0.11538461538461539</v>
      </c>
      <c r="H51" s="111">
        <f>COUNTIF($I$5:$I$40,"B-3")</f>
        <v>3</v>
      </c>
      <c r="I51" s="111"/>
      <c r="J51" s="198"/>
      <c r="K51" s="198"/>
      <c r="L51" s="198"/>
      <c r="M51" s="222"/>
      <c r="N51" s="222">
        <f>$M$48</f>
        <v>0.65384615384615385</v>
      </c>
      <c r="O51" s="224"/>
      <c r="P51" s="153"/>
      <c r="Q51" s="116"/>
      <c r="R51" s="120"/>
      <c r="S51" s="120"/>
      <c r="T51" s="120"/>
      <c r="U51" s="120"/>
      <c r="V51" s="120"/>
      <c r="W51" s="120"/>
    </row>
    <row r="52" spans="2:23" x14ac:dyDescent="0.2">
      <c r="B52" s="161"/>
      <c r="C52" s="154"/>
      <c r="D52" s="201"/>
      <c r="E52" s="199"/>
      <c r="F52" s="200" t="s">
        <v>293</v>
      </c>
      <c r="G52" s="207">
        <f>H52/$D$49</f>
        <v>0.15384615384615385</v>
      </c>
      <c r="H52" s="111">
        <f>COUNTIF($I$5:$I$40,"c-3")</f>
        <v>4</v>
      </c>
      <c r="I52" s="111"/>
      <c r="J52" s="198" t="s">
        <v>294</v>
      </c>
      <c r="K52" s="198"/>
      <c r="L52" s="198"/>
      <c r="M52" s="222">
        <f>G53+G54+G55+G57</f>
        <v>0.34615384615384615</v>
      </c>
      <c r="N52" s="225"/>
      <c r="O52" s="224"/>
      <c r="P52" s="153"/>
      <c r="Q52" s="116"/>
      <c r="R52" s="120"/>
      <c r="S52" s="120"/>
      <c r="T52" s="120"/>
      <c r="U52" s="120"/>
      <c r="V52" s="120"/>
      <c r="W52" s="120"/>
    </row>
    <row r="53" spans="2:23" x14ac:dyDescent="0.2">
      <c r="B53" s="161"/>
      <c r="C53" s="154"/>
      <c r="D53" s="201"/>
      <c r="E53" s="199"/>
      <c r="F53" s="202" t="s">
        <v>295</v>
      </c>
      <c r="G53" s="207">
        <f>H53/$D$49</f>
        <v>0.11538461538461539</v>
      </c>
      <c r="H53" s="111">
        <f>COUNTIF($I$5:$I$40,"c-4")</f>
        <v>3</v>
      </c>
      <c r="I53" s="208"/>
      <c r="J53" s="198"/>
      <c r="K53" s="198"/>
      <c r="L53" s="198"/>
      <c r="M53" s="222"/>
      <c r="N53" s="225"/>
      <c r="O53" s="224"/>
      <c r="P53" s="153"/>
      <c r="Q53" s="116"/>
      <c r="R53" s="120"/>
      <c r="S53" s="120"/>
      <c r="T53" s="120"/>
      <c r="U53" s="120"/>
      <c r="V53" s="120"/>
      <c r="W53" s="120"/>
    </row>
    <row r="54" spans="2:23" x14ac:dyDescent="0.2">
      <c r="B54" s="161"/>
      <c r="C54" s="154"/>
      <c r="D54" s="201"/>
      <c r="E54" s="199"/>
      <c r="F54" s="199" t="s">
        <v>296</v>
      </c>
      <c r="G54" s="207">
        <f>H54/$D$49</f>
        <v>7.6923076923076927E-2</v>
      </c>
      <c r="H54" s="111">
        <f>COUNTIF($I$5:$I$40,"d-4")</f>
        <v>2</v>
      </c>
      <c r="I54" s="208"/>
      <c r="J54" s="198"/>
      <c r="K54" s="198"/>
      <c r="L54" s="198"/>
      <c r="M54" s="222"/>
      <c r="N54" s="225"/>
      <c r="O54" s="224"/>
      <c r="P54" s="153"/>
      <c r="Q54" s="116"/>
      <c r="R54" s="120"/>
      <c r="S54" s="120"/>
      <c r="T54" s="120"/>
      <c r="U54" s="120"/>
      <c r="V54" s="120"/>
      <c r="W54" s="120"/>
    </row>
    <row r="55" spans="2:23" x14ac:dyDescent="0.2">
      <c r="B55" s="161"/>
      <c r="C55" s="154"/>
      <c r="D55" s="201"/>
      <c r="E55" s="199"/>
      <c r="F55" s="200" t="s">
        <v>297</v>
      </c>
      <c r="G55" s="207">
        <f>(H55+I55)/$D$49</f>
        <v>0.15384615384615385</v>
      </c>
      <c r="H55" s="111">
        <f>COUNTIF($I$5:$I$40,"d-5")</f>
        <v>4</v>
      </c>
      <c r="I55" s="111">
        <f>COUNTIF($I$5:$I$40,"e-5")</f>
        <v>0</v>
      </c>
      <c r="J55" s="198"/>
      <c r="K55" s="198"/>
      <c r="L55" s="198"/>
      <c r="M55" s="222"/>
      <c r="N55" s="225"/>
      <c r="O55" s="224"/>
      <c r="P55" s="153"/>
      <c r="Q55" s="116"/>
      <c r="R55" s="120"/>
      <c r="S55" s="120"/>
      <c r="T55" s="120"/>
      <c r="U55" s="120"/>
      <c r="V55" s="120"/>
      <c r="W55" s="120"/>
    </row>
    <row r="56" spans="2:23" x14ac:dyDescent="0.2">
      <c r="B56" s="161"/>
      <c r="C56" s="154"/>
      <c r="D56" s="201"/>
      <c r="E56" s="199"/>
      <c r="F56" s="200"/>
      <c r="G56" s="207"/>
      <c r="H56" s="111"/>
      <c r="I56" s="111"/>
      <c r="J56" s="198" t="s">
        <v>50</v>
      </c>
      <c r="K56" s="198"/>
      <c r="L56" s="198"/>
      <c r="M56" s="222">
        <f>M48+M52</f>
        <v>1</v>
      </c>
      <c r="N56" s="1209"/>
      <c r="O56" s="224"/>
      <c r="P56" s="153"/>
      <c r="Q56" s="116"/>
      <c r="R56" s="120"/>
      <c r="S56" s="120"/>
      <c r="T56" s="120"/>
      <c r="U56" s="120"/>
      <c r="V56" s="120"/>
      <c r="W56" s="120"/>
    </row>
    <row r="57" spans="2:23" x14ac:dyDescent="0.2">
      <c r="B57" s="161"/>
      <c r="C57" s="154"/>
      <c r="D57" s="201"/>
      <c r="E57" s="199"/>
      <c r="F57" s="203" t="s">
        <v>298</v>
      </c>
      <c r="G57" s="207">
        <f>H57/$D$49</f>
        <v>0</v>
      </c>
      <c r="H57" s="111">
        <f>COUNTIF($I$5:$I$40,"e-5-")</f>
        <v>0</v>
      </c>
      <c r="I57" s="111"/>
      <c r="J57" s="198"/>
      <c r="K57" s="198"/>
      <c r="L57" s="198"/>
      <c r="M57" s="222"/>
      <c r="N57" s="1209"/>
      <c r="O57" s="224"/>
      <c r="P57" s="153"/>
      <c r="Q57" s="116"/>
      <c r="R57" s="120"/>
      <c r="S57" s="120"/>
      <c r="T57" s="120"/>
      <c r="U57" s="120"/>
      <c r="V57" s="120"/>
      <c r="W57" s="120"/>
    </row>
    <row r="58" spans="2:23" x14ac:dyDescent="0.2">
      <c r="B58" s="161"/>
      <c r="C58" s="145"/>
      <c r="D58" s="201"/>
      <c r="E58" s="199"/>
      <c r="F58" s="200" t="s">
        <v>50</v>
      </c>
      <c r="G58" s="204">
        <f>SUM(G48:G57)</f>
        <v>1</v>
      </c>
      <c r="H58" s="693">
        <f>SUM(H48:H57)</f>
        <v>21</v>
      </c>
      <c r="I58" s="693">
        <f>SUM(I48:I57)</f>
        <v>5</v>
      </c>
      <c r="J58" s="208"/>
      <c r="K58" s="208"/>
      <c r="L58" s="223"/>
      <c r="M58" s="223"/>
      <c r="N58" s="223"/>
      <c r="O58" s="223"/>
      <c r="P58" s="151"/>
      <c r="Q58" s="116"/>
      <c r="R58" s="120"/>
      <c r="S58" s="120"/>
      <c r="T58" s="120"/>
      <c r="U58" s="120"/>
      <c r="V58" s="120"/>
      <c r="W58" s="120"/>
    </row>
    <row r="59" spans="2:23" x14ac:dyDescent="0.2">
      <c r="B59" s="161"/>
      <c r="C59" s="145"/>
      <c r="D59" s="201"/>
      <c r="E59" s="199"/>
      <c r="F59" s="196"/>
      <c r="G59" s="196"/>
      <c r="H59" s="208">
        <f>SUM(H58+I58)</f>
        <v>26</v>
      </c>
      <c r="I59" s="208"/>
      <c r="J59" s="208"/>
      <c r="K59" s="208"/>
      <c r="L59" s="223"/>
      <c r="M59" s="223"/>
      <c r="N59" s="223"/>
      <c r="O59" s="223"/>
      <c r="P59" s="151"/>
      <c r="Q59" s="116"/>
      <c r="R59" s="120"/>
      <c r="S59" s="120"/>
      <c r="T59" s="120"/>
      <c r="U59" s="120"/>
      <c r="V59" s="120"/>
      <c r="W59" s="120"/>
    </row>
    <row r="60" spans="2:23" x14ac:dyDescent="0.2">
      <c r="B60" s="161"/>
      <c r="C60" s="145"/>
      <c r="D60" s="205"/>
      <c r="E60" s="196"/>
      <c r="F60" s="199"/>
      <c r="G60" s="207"/>
      <c r="H60" s="197"/>
      <c r="I60" s="197"/>
      <c r="J60" s="197"/>
      <c r="K60" s="197"/>
      <c r="L60" s="223"/>
      <c r="M60" s="223"/>
      <c r="N60" s="223"/>
      <c r="O60" s="223"/>
      <c r="P60" s="151"/>
      <c r="Q60" s="116"/>
      <c r="R60" s="120"/>
      <c r="S60" s="120"/>
      <c r="T60" s="120"/>
      <c r="U60" s="120"/>
      <c r="V60" s="120"/>
      <c r="W60" s="120"/>
    </row>
    <row r="61" spans="2:23" x14ac:dyDescent="0.2">
      <c r="B61" s="161"/>
      <c r="C61" s="145"/>
      <c r="D61" s="205"/>
      <c r="E61" s="196"/>
      <c r="F61" s="206"/>
      <c r="G61" s="207"/>
      <c r="H61" s="197"/>
      <c r="I61" s="197"/>
      <c r="J61" s="197"/>
      <c r="K61" s="197"/>
      <c r="L61" s="223"/>
      <c r="M61" s="223"/>
      <c r="N61" s="223"/>
      <c r="O61" s="223"/>
      <c r="P61" s="151"/>
      <c r="Q61" s="116"/>
      <c r="R61" s="120"/>
      <c r="S61" s="120"/>
      <c r="T61" s="120"/>
      <c r="U61" s="120"/>
      <c r="V61" s="120"/>
      <c r="W61" s="120"/>
    </row>
    <row r="62" spans="2:23" x14ac:dyDescent="0.2">
      <c r="B62" s="162"/>
      <c r="C62" s="169"/>
      <c r="D62" s="144"/>
      <c r="E62" s="145"/>
      <c r="F62" s="170"/>
      <c r="G62" s="171"/>
      <c r="H62" s="142"/>
      <c r="I62" s="142"/>
      <c r="J62" s="142"/>
      <c r="K62" s="142"/>
      <c r="L62" s="141"/>
      <c r="M62" s="141"/>
      <c r="N62" s="141"/>
      <c r="O62" s="141"/>
      <c r="P62" s="151"/>
      <c r="Q62" s="116"/>
      <c r="R62" s="120"/>
      <c r="S62" s="120"/>
      <c r="T62" s="120"/>
      <c r="U62" s="120"/>
      <c r="V62" s="120"/>
      <c r="W62" s="120"/>
    </row>
    <row r="63" spans="2:23" x14ac:dyDescent="0.2">
      <c r="B63" s="161"/>
      <c r="C63" s="145"/>
      <c r="D63" s="144"/>
      <c r="E63" s="145"/>
      <c r="F63" s="145"/>
      <c r="G63" s="145"/>
      <c r="H63" s="142"/>
      <c r="I63" s="142"/>
      <c r="J63" s="142"/>
      <c r="K63" s="142"/>
      <c r="L63" s="141"/>
      <c r="M63" s="141"/>
      <c r="N63" s="141"/>
      <c r="O63" s="141"/>
      <c r="P63" s="151"/>
      <c r="Q63" s="116"/>
      <c r="R63" s="120"/>
      <c r="S63" s="120"/>
      <c r="T63" s="120"/>
      <c r="U63" s="120"/>
      <c r="V63" s="120"/>
      <c r="W63" s="120"/>
    </row>
    <row r="64" spans="2:23" x14ac:dyDescent="0.2">
      <c r="B64" s="161"/>
      <c r="C64" s="143"/>
      <c r="D64" s="144"/>
      <c r="E64" s="145"/>
      <c r="F64" s="145"/>
      <c r="G64" s="145"/>
      <c r="H64" s="142"/>
      <c r="I64" s="142"/>
      <c r="J64" s="142"/>
      <c r="K64" s="142"/>
      <c r="L64" s="143"/>
      <c r="M64" s="141"/>
      <c r="N64" s="141"/>
      <c r="O64" s="141"/>
      <c r="P64" s="141"/>
      <c r="Q64" s="116"/>
      <c r="R64" s="120"/>
      <c r="S64" s="120"/>
      <c r="T64" s="120"/>
      <c r="U64" s="120"/>
      <c r="V64" s="120"/>
      <c r="W64" s="120"/>
    </row>
    <row r="65" spans="3:24" x14ac:dyDescent="0.2">
      <c r="C65" s="143"/>
      <c r="D65" s="144"/>
      <c r="E65" s="145"/>
      <c r="F65" s="145"/>
      <c r="G65" s="145"/>
      <c r="H65" s="142"/>
      <c r="I65" s="142"/>
      <c r="J65" s="142"/>
      <c r="K65" s="142"/>
      <c r="L65" s="143"/>
      <c r="M65" s="141"/>
      <c r="N65" s="141"/>
      <c r="O65" s="141"/>
      <c r="P65" s="141"/>
      <c r="Q65" s="116"/>
      <c r="R65" s="120"/>
      <c r="S65" s="120"/>
      <c r="T65" s="120"/>
      <c r="U65" s="120"/>
      <c r="V65" s="120"/>
      <c r="W65" s="120"/>
    </row>
    <row r="66" spans="3:24" x14ac:dyDescent="0.2">
      <c r="C66" s="143"/>
      <c r="D66" s="144"/>
      <c r="E66" s="145"/>
      <c r="F66" s="145"/>
      <c r="G66" s="145"/>
      <c r="H66" s="142"/>
      <c r="I66" s="142"/>
      <c r="J66" s="142"/>
      <c r="K66" s="142"/>
      <c r="L66" s="143"/>
      <c r="M66" s="141"/>
      <c r="N66" s="155"/>
      <c r="O66" s="141"/>
      <c r="P66" s="141"/>
      <c r="Q66" s="116"/>
      <c r="R66" s="120"/>
      <c r="S66" s="120"/>
      <c r="T66" s="120"/>
      <c r="U66" s="120"/>
      <c r="V66" s="120"/>
      <c r="W66" s="120"/>
      <c r="X66" s="146"/>
    </row>
    <row r="67" spans="3:24" ht="20.25" x14ac:dyDescent="0.2">
      <c r="C67" s="145"/>
      <c r="D67" s="154"/>
      <c r="E67" s="145"/>
      <c r="F67" s="145"/>
      <c r="G67" s="145"/>
      <c r="H67" s="142"/>
      <c r="I67" s="142"/>
      <c r="J67" s="156"/>
      <c r="K67" s="142"/>
      <c r="L67" s="145"/>
      <c r="M67" s="141"/>
      <c r="N67" s="141"/>
      <c r="O67" s="155"/>
      <c r="P67" s="155"/>
      <c r="Q67" s="116"/>
      <c r="R67" s="117"/>
      <c r="S67" s="117"/>
      <c r="T67" s="117"/>
      <c r="U67" s="118"/>
      <c r="V67" s="118"/>
      <c r="W67" s="118"/>
      <c r="X67" s="119"/>
    </row>
    <row r="68" spans="3:24" ht="20.25" x14ac:dyDescent="0.2">
      <c r="C68" s="145"/>
      <c r="D68" s="154"/>
      <c r="E68" s="145"/>
      <c r="F68" s="145"/>
      <c r="G68" s="145"/>
      <c r="H68" s="142"/>
      <c r="I68" s="142"/>
      <c r="J68" s="156"/>
      <c r="K68" s="142"/>
      <c r="L68" s="145"/>
      <c r="M68" s="141"/>
      <c r="N68" s="141"/>
      <c r="O68" s="141"/>
      <c r="P68" s="141"/>
      <c r="Q68" s="116"/>
      <c r="R68" s="120"/>
      <c r="S68" s="120"/>
      <c r="T68" s="120"/>
      <c r="U68" s="120"/>
      <c r="V68" s="120"/>
      <c r="W68" s="120"/>
    </row>
    <row r="69" spans="3:24" ht="20.25" x14ac:dyDescent="0.2">
      <c r="C69" s="143"/>
      <c r="D69" s="154"/>
      <c r="E69" s="143"/>
      <c r="F69" s="143"/>
      <c r="G69" s="143"/>
      <c r="H69" s="142"/>
      <c r="I69" s="142"/>
      <c r="J69" s="156"/>
      <c r="K69" s="142"/>
      <c r="L69" s="143"/>
      <c r="M69" s="141"/>
      <c r="N69" s="141"/>
      <c r="O69" s="141"/>
      <c r="P69" s="141"/>
      <c r="Q69" s="116"/>
      <c r="R69" s="120"/>
      <c r="S69" s="120"/>
      <c r="T69" s="120"/>
      <c r="U69" s="120"/>
      <c r="V69" s="120"/>
      <c r="W69" s="120"/>
    </row>
    <row r="70" spans="3:24" ht="20.25" x14ac:dyDescent="0.2">
      <c r="C70" s="143"/>
      <c r="D70" s="154"/>
      <c r="E70" s="143"/>
      <c r="F70" s="143"/>
      <c r="G70" s="143"/>
      <c r="H70" s="142"/>
      <c r="I70" s="142"/>
      <c r="J70" s="156"/>
      <c r="K70" s="142"/>
      <c r="L70" s="143"/>
      <c r="M70" s="141"/>
      <c r="N70" s="141"/>
      <c r="O70" s="141"/>
      <c r="P70" s="141"/>
      <c r="Q70" s="116"/>
      <c r="R70" s="120"/>
      <c r="S70" s="120"/>
      <c r="T70" s="120"/>
      <c r="U70" s="120"/>
      <c r="V70" s="120"/>
      <c r="W70" s="120"/>
    </row>
    <row r="71" spans="3:24" ht="20.25" x14ac:dyDescent="0.2">
      <c r="C71" s="143"/>
      <c r="D71" s="154"/>
      <c r="E71" s="143"/>
      <c r="F71" s="143"/>
      <c r="G71" s="143"/>
      <c r="H71" s="142"/>
      <c r="I71" s="142"/>
      <c r="J71" s="156"/>
      <c r="K71" s="142"/>
      <c r="L71" s="143"/>
      <c r="M71" s="141"/>
      <c r="N71" s="141"/>
      <c r="O71" s="141"/>
      <c r="P71" s="141"/>
      <c r="Q71" s="116"/>
      <c r="R71" s="120"/>
      <c r="S71" s="120"/>
      <c r="T71" s="120"/>
      <c r="U71" s="120"/>
      <c r="V71" s="120"/>
      <c r="W71" s="120"/>
    </row>
    <row r="72" spans="3:24" x14ac:dyDescent="0.2">
      <c r="C72" s="143"/>
      <c r="D72" s="144"/>
      <c r="E72" s="143"/>
      <c r="F72" s="143"/>
      <c r="G72" s="143"/>
      <c r="H72" s="142"/>
      <c r="I72" s="142"/>
      <c r="J72" s="142"/>
      <c r="K72" s="142"/>
      <c r="L72" s="143"/>
      <c r="M72" s="141"/>
      <c r="N72" s="141"/>
      <c r="O72" s="141"/>
      <c r="P72" s="141"/>
      <c r="Q72" s="116"/>
      <c r="R72" s="120"/>
      <c r="S72" s="120"/>
      <c r="T72" s="120"/>
      <c r="U72" s="120"/>
      <c r="V72" s="120"/>
      <c r="W72" s="120"/>
    </row>
    <row r="73" spans="3:24" x14ac:dyDescent="0.2">
      <c r="C73" s="143"/>
      <c r="D73" s="144"/>
      <c r="E73" s="143"/>
      <c r="F73" s="143"/>
      <c r="G73" s="143"/>
      <c r="H73" s="142"/>
      <c r="I73" s="142"/>
      <c r="J73" s="142"/>
      <c r="K73" s="142"/>
      <c r="L73" s="143"/>
      <c r="M73" s="141"/>
      <c r="N73" s="141"/>
      <c r="O73" s="141"/>
      <c r="P73" s="141"/>
      <c r="Q73" s="116"/>
      <c r="R73" s="120"/>
      <c r="S73" s="120"/>
      <c r="T73" s="120"/>
      <c r="U73" s="120"/>
      <c r="V73" s="120"/>
      <c r="W73" s="120"/>
    </row>
    <row r="74" spans="3:24" x14ac:dyDescent="0.2">
      <c r="C74" s="143"/>
      <c r="D74" s="144"/>
      <c r="E74" s="143"/>
      <c r="F74" s="143"/>
      <c r="G74" s="143"/>
      <c r="H74" s="142"/>
      <c r="I74" s="142"/>
      <c r="J74" s="142"/>
      <c r="K74" s="142"/>
      <c r="L74" s="143"/>
      <c r="M74" s="141"/>
      <c r="N74" s="141"/>
      <c r="O74" s="141"/>
      <c r="P74" s="141"/>
      <c r="Q74" s="116"/>
      <c r="R74" s="120"/>
      <c r="S74" s="120"/>
      <c r="T74" s="120"/>
      <c r="U74" s="120"/>
      <c r="V74" s="120"/>
      <c r="W74" s="120"/>
    </row>
    <row r="75" spans="3:24" x14ac:dyDescent="0.2">
      <c r="C75" s="143"/>
      <c r="D75" s="144"/>
      <c r="E75" s="143"/>
      <c r="F75" s="143"/>
      <c r="G75" s="143"/>
      <c r="H75" s="142"/>
      <c r="I75" s="142"/>
      <c r="J75" s="142"/>
      <c r="K75" s="142"/>
      <c r="L75" s="143"/>
      <c r="M75" s="141"/>
      <c r="N75" s="141"/>
      <c r="O75" s="141"/>
      <c r="P75" s="141"/>
      <c r="Q75" s="116"/>
      <c r="R75" s="120"/>
      <c r="S75" s="120"/>
      <c r="T75" s="120"/>
      <c r="U75" s="120"/>
      <c r="V75" s="120"/>
      <c r="W75" s="120"/>
    </row>
    <row r="76" spans="3:24" x14ac:dyDescent="0.2">
      <c r="C76" s="143"/>
      <c r="D76" s="144"/>
      <c r="E76" s="143"/>
      <c r="F76" s="143"/>
      <c r="G76" s="143"/>
      <c r="H76" s="142"/>
      <c r="I76" s="142"/>
      <c r="J76" s="142"/>
      <c r="K76" s="142"/>
      <c r="L76" s="143"/>
      <c r="M76" s="141"/>
      <c r="N76" s="141"/>
      <c r="O76" s="141"/>
      <c r="P76" s="141"/>
      <c r="Q76" s="116"/>
      <c r="R76" s="120"/>
      <c r="S76" s="120"/>
      <c r="T76" s="120"/>
      <c r="U76" s="120"/>
      <c r="V76" s="120"/>
      <c r="W76" s="120"/>
    </row>
    <row r="77" spans="3:24" x14ac:dyDescent="0.2">
      <c r="C77" s="143"/>
      <c r="D77" s="144"/>
      <c r="E77" s="143"/>
      <c r="F77" s="143"/>
      <c r="G77" s="143"/>
      <c r="H77" s="142"/>
      <c r="I77" s="142"/>
      <c r="J77" s="142"/>
      <c r="K77" s="142"/>
      <c r="L77" s="143"/>
      <c r="M77" s="141"/>
      <c r="N77" s="141"/>
      <c r="O77" s="141"/>
      <c r="P77" s="141"/>
      <c r="Q77" s="116"/>
      <c r="R77" s="120"/>
      <c r="S77" s="120"/>
      <c r="T77" s="120"/>
      <c r="U77" s="120"/>
      <c r="V77" s="120"/>
      <c r="W77" s="120"/>
    </row>
    <row r="78" spans="3:24" x14ac:dyDescent="0.2">
      <c r="C78" s="143"/>
      <c r="D78" s="144"/>
      <c r="E78" s="143"/>
      <c r="F78" s="143"/>
      <c r="G78" s="143"/>
      <c r="H78" s="142"/>
      <c r="I78" s="142"/>
      <c r="J78" s="142"/>
      <c r="K78" s="142"/>
      <c r="L78" s="143"/>
      <c r="M78" s="141"/>
      <c r="N78" s="141"/>
      <c r="O78" s="141"/>
      <c r="P78" s="141"/>
      <c r="Q78" s="116"/>
      <c r="R78" s="120"/>
      <c r="S78" s="120"/>
      <c r="T78" s="120"/>
      <c r="U78" s="120"/>
      <c r="V78" s="120"/>
      <c r="W78" s="120"/>
    </row>
    <row r="79" spans="3:24" x14ac:dyDescent="0.2">
      <c r="C79" s="143"/>
      <c r="D79" s="144"/>
      <c r="E79" s="143"/>
      <c r="F79" s="143"/>
      <c r="G79" s="143"/>
      <c r="H79" s="142"/>
      <c r="I79" s="142"/>
      <c r="J79" s="142"/>
      <c r="K79" s="142"/>
      <c r="L79" s="143"/>
      <c r="M79" s="141"/>
      <c r="N79" s="141"/>
      <c r="O79" s="141"/>
      <c r="P79" s="141"/>
      <c r="Q79" s="116"/>
      <c r="R79" s="120"/>
      <c r="S79" s="120"/>
      <c r="T79" s="120"/>
      <c r="U79" s="120"/>
      <c r="V79" s="120"/>
      <c r="W79" s="120"/>
    </row>
    <row r="80" spans="3:24" x14ac:dyDescent="0.2">
      <c r="C80" s="143"/>
      <c r="D80" s="144"/>
      <c r="E80" s="143"/>
      <c r="F80" s="143"/>
      <c r="G80" s="143"/>
      <c r="H80" s="142"/>
      <c r="I80" s="142"/>
      <c r="J80" s="142"/>
      <c r="K80" s="142"/>
      <c r="L80" s="143"/>
      <c r="M80" s="141"/>
      <c r="N80" s="141"/>
      <c r="O80" s="141"/>
      <c r="P80" s="141"/>
      <c r="Q80" s="116"/>
      <c r="R80" s="120"/>
      <c r="S80" s="120"/>
      <c r="T80" s="120"/>
      <c r="U80" s="120"/>
      <c r="V80" s="120"/>
      <c r="W80" s="120"/>
    </row>
    <row r="81" spans="3:23" x14ac:dyDescent="0.2">
      <c r="C81" s="143"/>
      <c r="D81" s="144"/>
      <c r="E81" s="143"/>
      <c r="F81" s="143"/>
      <c r="G81" s="143"/>
      <c r="H81" s="142"/>
      <c r="I81" s="142"/>
      <c r="J81" s="142"/>
      <c r="K81" s="142"/>
      <c r="L81" s="143"/>
      <c r="M81" s="141"/>
      <c r="N81" s="141"/>
      <c r="O81" s="141"/>
      <c r="P81" s="141"/>
      <c r="Q81" s="116"/>
      <c r="R81" s="120"/>
      <c r="S81" s="120"/>
      <c r="T81" s="120"/>
      <c r="U81" s="120"/>
      <c r="V81" s="120"/>
      <c r="W81" s="120"/>
    </row>
    <row r="82" spans="3:23" x14ac:dyDescent="0.2">
      <c r="C82" s="143"/>
      <c r="D82" s="144"/>
      <c r="E82" s="143"/>
      <c r="F82" s="143"/>
      <c r="G82" s="143"/>
      <c r="H82" s="142"/>
      <c r="I82" s="142"/>
      <c r="J82" s="142"/>
      <c r="K82" s="142"/>
      <c r="L82" s="143"/>
      <c r="M82" s="141"/>
      <c r="N82" s="141"/>
      <c r="O82" s="141"/>
      <c r="P82" s="141"/>
      <c r="Q82" s="116"/>
      <c r="R82" s="120"/>
      <c r="S82" s="120"/>
      <c r="T82" s="120"/>
      <c r="U82" s="120"/>
      <c r="V82" s="120"/>
      <c r="W82" s="120"/>
    </row>
    <row r="83" spans="3:23" x14ac:dyDescent="0.2">
      <c r="C83" s="143"/>
      <c r="D83" s="144"/>
      <c r="E83" s="143"/>
      <c r="F83" s="143"/>
      <c r="G83" s="143"/>
      <c r="H83" s="142"/>
      <c r="I83" s="142"/>
      <c r="J83" s="142"/>
      <c r="K83" s="142"/>
      <c r="L83" s="143"/>
      <c r="M83" s="141"/>
      <c r="N83" s="141"/>
      <c r="O83" s="141"/>
      <c r="P83" s="141"/>
      <c r="Q83" s="116"/>
      <c r="R83" s="120"/>
      <c r="S83" s="120"/>
      <c r="T83" s="120"/>
      <c r="U83" s="120"/>
      <c r="V83" s="120"/>
      <c r="W83" s="120"/>
    </row>
    <row r="84" spans="3:23" x14ac:dyDescent="0.2">
      <c r="C84" s="143"/>
      <c r="D84" s="144"/>
      <c r="E84" s="143"/>
      <c r="F84" s="143"/>
      <c r="G84" s="143"/>
      <c r="H84" s="142"/>
      <c r="I84" s="142"/>
      <c r="J84" s="142"/>
      <c r="K84" s="142"/>
      <c r="L84" s="143"/>
      <c r="M84" s="141"/>
      <c r="N84" s="141"/>
      <c r="O84" s="141"/>
      <c r="P84" s="141"/>
      <c r="Q84" s="116"/>
      <c r="R84" s="120"/>
      <c r="S84" s="120"/>
      <c r="T84" s="120"/>
      <c r="U84" s="120"/>
      <c r="V84" s="120"/>
      <c r="W84" s="120"/>
    </row>
    <row r="85" spans="3:23" x14ac:dyDescent="0.2">
      <c r="C85" s="143"/>
      <c r="D85" s="152"/>
      <c r="E85" s="157"/>
      <c r="F85" s="157"/>
      <c r="G85" s="157"/>
      <c r="H85" s="158"/>
      <c r="I85" s="158"/>
      <c r="J85" s="158"/>
      <c r="K85" s="158"/>
      <c r="L85" s="143"/>
      <c r="M85" s="141"/>
      <c r="N85" s="141"/>
      <c r="O85" s="141"/>
      <c r="P85" s="141"/>
      <c r="Q85" s="116"/>
      <c r="R85" s="120"/>
      <c r="S85" s="120"/>
      <c r="T85" s="120"/>
      <c r="U85" s="120"/>
      <c r="V85" s="120"/>
      <c r="W85" s="120"/>
    </row>
    <row r="86" spans="3:23" x14ac:dyDescent="0.2">
      <c r="M86" s="89"/>
      <c r="N86" s="89"/>
      <c r="O86" s="89"/>
      <c r="P86" s="89"/>
      <c r="Q86" s="116"/>
      <c r="R86" s="120"/>
      <c r="S86" s="120"/>
      <c r="T86" s="120"/>
      <c r="U86" s="120"/>
      <c r="V86" s="120"/>
      <c r="W86" s="120"/>
    </row>
    <row r="87" spans="3:23" x14ac:dyDescent="0.2">
      <c r="M87" s="89"/>
      <c r="N87" s="89"/>
      <c r="O87" s="89"/>
      <c r="P87" s="89"/>
      <c r="Q87" s="116"/>
      <c r="R87" s="120"/>
      <c r="S87" s="120"/>
      <c r="T87" s="120"/>
      <c r="U87" s="120"/>
      <c r="V87" s="120"/>
      <c r="W87" s="120"/>
    </row>
    <row r="88" spans="3:23" x14ac:dyDescent="0.2">
      <c r="M88" s="89"/>
      <c r="N88" s="89"/>
      <c r="O88" s="89"/>
      <c r="P88" s="89"/>
      <c r="Q88" s="89"/>
      <c r="R88" s="120"/>
      <c r="S88" s="120"/>
      <c r="T88" s="120"/>
      <c r="U88" s="120"/>
      <c r="V88" s="120"/>
      <c r="W88" s="120"/>
    </row>
    <row r="89" spans="3:23" x14ac:dyDescent="0.2">
      <c r="M89" s="89"/>
      <c r="N89" s="89"/>
      <c r="O89" s="89"/>
      <c r="P89" s="89"/>
      <c r="Q89" s="89"/>
      <c r="R89" s="120"/>
      <c r="S89" s="120"/>
      <c r="T89" s="120"/>
      <c r="U89" s="120"/>
      <c r="V89" s="120"/>
      <c r="W89" s="120"/>
    </row>
    <row r="90" spans="3:23" x14ac:dyDescent="0.2">
      <c r="M90" s="89"/>
      <c r="N90" s="89"/>
      <c r="O90" s="89"/>
      <c r="P90" s="89"/>
      <c r="Q90" s="89"/>
      <c r="R90" s="120"/>
      <c r="S90" s="120"/>
      <c r="T90" s="120"/>
      <c r="U90" s="120"/>
      <c r="V90" s="120"/>
      <c r="W90" s="120"/>
    </row>
    <row r="91" spans="3:23" x14ac:dyDescent="0.2">
      <c r="M91" s="89"/>
      <c r="N91" s="89"/>
      <c r="O91" s="89"/>
      <c r="P91" s="89"/>
      <c r="Q91" s="89"/>
      <c r="R91" s="120"/>
      <c r="S91" s="120"/>
      <c r="T91" s="120"/>
      <c r="U91" s="120"/>
      <c r="V91" s="120"/>
      <c r="W91" s="120"/>
    </row>
    <row r="92" spans="3:23" x14ac:dyDescent="0.2">
      <c r="R92" s="146"/>
      <c r="S92" s="146"/>
      <c r="T92" s="146"/>
      <c r="U92" s="146"/>
      <c r="V92" s="146"/>
      <c r="W92" s="146"/>
    </row>
    <row r="93" spans="3:23" x14ac:dyDescent="0.2">
      <c r="R93" s="146"/>
      <c r="S93" s="146"/>
      <c r="T93" s="146"/>
      <c r="U93" s="146"/>
      <c r="V93" s="146"/>
      <c r="W93" s="146"/>
    </row>
    <row r="94" spans="3:23" x14ac:dyDescent="0.2">
      <c r="R94" s="146"/>
      <c r="S94" s="146"/>
      <c r="T94" s="146"/>
      <c r="U94" s="146"/>
      <c r="V94" s="146"/>
      <c r="W94" s="146"/>
    </row>
    <row r="95" spans="3:23" x14ac:dyDescent="0.2">
      <c r="R95" s="146"/>
      <c r="S95" s="146"/>
      <c r="T95" s="146"/>
      <c r="U95" s="146"/>
      <c r="V95" s="146"/>
      <c r="W95" s="146"/>
    </row>
    <row r="96" spans="3:23" x14ac:dyDescent="0.2">
      <c r="R96" s="146"/>
      <c r="S96" s="146"/>
      <c r="T96" s="146"/>
      <c r="U96" s="146"/>
      <c r="V96" s="146"/>
      <c r="W96" s="146"/>
    </row>
    <row r="97" spans="18:23" x14ac:dyDescent="0.2">
      <c r="R97" s="146"/>
      <c r="S97" s="146"/>
      <c r="T97" s="146"/>
      <c r="U97" s="146"/>
      <c r="V97" s="146"/>
      <c r="W97" s="146"/>
    </row>
    <row r="98" spans="18:23" x14ac:dyDescent="0.2">
      <c r="R98" s="146"/>
      <c r="S98" s="146"/>
      <c r="T98" s="146"/>
      <c r="U98" s="146"/>
      <c r="V98" s="146"/>
      <c r="W98" s="146"/>
    </row>
    <row r="99" spans="18:23" x14ac:dyDescent="0.2">
      <c r="R99" s="146"/>
      <c r="S99" s="146"/>
      <c r="T99" s="146"/>
      <c r="U99" s="146"/>
      <c r="V99" s="146"/>
      <c r="W99" s="146"/>
    </row>
    <row r="100" spans="18:23" x14ac:dyDescent="0.2">
      <c r="R100" s="146"/>
      <c r="S100" s="146"/>
      <c r="T100" s="146"/>
      <c r="U100" s="146"/>
      <c r="V100" s="146"/>
      <c r="W100" s="146"/>
    </row>
    <row r="101" spans="18:23" x14ac:dyDescent="0.2">
      <c r="R101" s="146"/>
      <c r="S101" s="146"/>
      <c r="T101" s="146"/>
      <c r="U101" s="146"/>
      <c r="V101" s="146"/>
      <c r="W101" s="146"/>
    </row>
    <row r="102" spans="18:23" x14ac:dyDescent="0.2">
      <c r="R102" s="146"/>
      <c r="S102" s="146"/>
      <c r="T102" s="146"/>
      <c r="U102" s="146"/>
      <c r="V102" s="146"/>
      <c r="W102" s="146"/>
    </row>
    <row r="103" spans="18:23" x14ac:dyDescent="0.2">
      <c r="R103" s="146"/>
      <c r="S103" s="146"/>
      <c r="T103" s="146"/>
      <c r="U103" s="146"/>
      <c r="V103" s="146"/>
      <c r="W103" s="146"/>
    </row>
    <row r="104" spans="18:23" x14ac:dyDescent="0.2">
      <c r="R104" s="146"/>
      <c r="S104" s="146"/>
      <c r="T104" s="146"/>
      <c r="U104" s="146"/>
      <c r="V104" s="146"/>
      <c r="W104" s="146"/>
    </row>
    <row r="105" spans="18:23" x14ac:dyDescent="0.2">
      <c r="R105" s="146"/>
      <c r="S105" s="146"/>
      <c r="T105" s="146"/>
      <c r="U105" s="146"/>
      <c r="V105" s="146"/>
      <c r="W105" s="146"/>
    </row>
    <row r="106" spans="18:23" x14ac:dyDescent="0.2">
      <c r="R106" s="146"/>
      <c r="S106" s="146"/>
      <c r="T106" s="146"/>
      <c r="U106" s="146"/>
      <c r="V106" s="146"/>
      <c r="W106" s="146"/>
    </row>
    <row r="107" spans="18:23" x14ac:dyDescent="0.2">
      <c r="R107" s="146"/>
      <c r="S107" s="146"/>
      <c r="T107" s="146"/>
      <c r="U107" s="146"/>
      <c r="V107" s="146"/>
      <c r="W107" s="146"/>
    </row>
    <row r="108" spans="18:23" x14ac:dyDescent="0.2">
      <c r="R108" s="146"/>
      <c r="S108" s="146"/>
      <c r="T108" s="146"/>
      <c r="U108" s="146"/>
      <c r="V108" s="146"/>
      <c r="W108" s="146"/>
    </row>
    <row r="109" spans="18:23" x14ac:dyDescent="0.2">
      <c r="R109" s="146"/>
      <c r="S109" s="146"/>
      <c r="T109" s="146"/>
      <c r="U109" s="146"/>
      <c r="V109" s="146"/>
      <c r="W109" s="146"/>
    </row>
    <row r="110" spans="18:23" x14ac:dyDescent="0.2">
      <c r="R110" s="146"/>
      <c r="S110" s="146"/>
      <c r="T110" s="146"/>
      <c r="U110" s="146"/>
      <c r="V110" s="146"/>
      <c r="W110" s="146"/>
    </row>
    <row r="111" spans="18:23" x14ac:dyDescent="0.2">
      <c r="R111" s="146"/>
      <c r="S111" s="146"/>
      <c r="T111" s="146"/>
      <c r="U111" s="146"/>
      <c r="V111" s="146"/>
      <c r="W111" s="146"/>
    </row>
    <row r="112" spans="18:23" x14ac:dyDescent="0.2">
      <c r="R112" s="146"/>
      <c r="S112" s="146"/>
      <c r="T112" s="146"/>
      <c r="U112" s="146"/>
      <c r="V112" s="146"/>
      <c r="W112" s="146"/>
    </row>
    <row r="113" spans="18:23" x14ac:dyDescent="0.2">
      <c r="R113" s="146"/>
      <c r="S113" s="146"/>
      <c r="T113" s="146"/>
      <c r="U113" s="146"/>
      <c r="V113" s="146"/>
      <c r="W113" s="146"/>
    </row>
    <row r="114" spans="18:23" x14ac:dyDescent="0.2">
      <c r="R114" s="146"/>
      <c r="S114" s="146"/>
      <c r="T114" s="146"/>
      <c r="U114" s="146"/>
      <c r="V114" s="146"/>
      <c r="W114" s="146"/>
    </row>
    <row r="115" spans="18:23" x14ac:dyDescent="0.2">
      <c r="R115" s="146"/>
      <c r="S115" s="146"/>
      <c r="T115" s="146"/>
      <c r="U115" s="146"/>
      <c r="V115" s="146"/>
      <c r="W115" s="146"/>
    </row>
    <row r="116" spans="18:23" x14ac:dyDescent="0.2">
      <c r="R116" s="146"/>
      <c r="S116" s="146"/>
      <c r="T116" s="146"/>
      <c r="U116" s="146"/>
      <c r="V116" s="146"/>
      <c r="W116" s="146"/>
    </row>
    <row r="117" spans="18:23" x14ac:dyDescent="0.2">
      <c r="R117" s="146"/>
      <c r="S117" s="146"/>
      <c r="T117" s="146"/>
      <c r="U117" s="146"/>
      <c r="V117" s="146"/>
      <c r="W117" s="146"/>
    </row>
    <row r="118" spans="18:23" x14ac:dyDescent="0.2">
      <c r="R118" s="146"/>
      <c r="S118" s="146"/>
      <c r="T118" s="146"/>
      <c r="U118" s="146"/>
      <c r="V118" s="146"/>
      <c r="W118" s="146"/>
    </row>
    <row r="119" spans="18:23" x14ac:dyDescent="0.2">
      <c r="R119" s="146"/>
      <c r="S119" s="146"/>
      <c r="T119" s="146"/>
      <c r="U119" s="146"/>
      <c r="V119" s="146"/>
      <c r="W119" s="146"/>
    </row>
    <row r="120" spans="18:23" x14ac:dyDescent="0.2">
      <c r="R120" s="146"/>
      <c r="S120" s="146"/>
      <c r="T120" s="146"/>
      <c r="U120" s="146"/>
      <c r="V120" s="146"/>
      <c r="W120" s="146"/>
    </row>
    <row r="121" spans="18:23" x14ac:dyDescent="0.2">
      <c r="R121" s="146"/>
      <c r="S121" s="146"/>
      <c r="T121" s="146"/>
      <c r="U121" s="146"/>
      <c r="V121" s="146"/>
      <c r="W121" s="146"/>
    </row>
    <row r="122" spans="18:23" x14ac:dyDescent="0.2">
      <c r="R122" s="146"/>
      <c r="S122" s="146"/>
      <c r="T122" s="146"/>
      <c r="U122" s="146"/>
      <c r="V122" s="146"/>
      <c r="W122" s="146"/>
    </row>
    <row r="123" spans="18:23" x14ac:dyDescent="0.2">
      <c r="R123" s="146"/>
      <c r="S123" s="146"/>
      <c r="T123" s="146"/>
      <c r="U123" s="146"/>
      <c r="V123" s="146"/>
      <c r="W123" s="146"/>
    </row>
    <row r="124" spans="18:23" x14ac:dyDescent="0.2">
      <c r="R124" s="146"/>
      <c r="S124" s="146"/>
      <c r="T124" s="146"/>
      <c r="U124" s="146"/>
      <c r="V124" s="146"/>
      <c r="W124" s="146"/>
    </row>
    <row r="125" spans="18:23" x14ac:dyDescent="0.2">
      <c r="R125" s="146"/>
      <c r="S125" s="146"/>
      <c r="T125" s="146"/>
      <c r="U125" s="146"/>
      <c r="V125" s="146"/>
      <c r="W125" s="146"/>
    </row>
    <row r="126" spans="18:23" x14ac:dyDescent="0.2">
      <c r="R126" s="146"/>
      <c r="S126" s="146"/>
      <c r="T126" s="146"/>
      <c r="U126" s="146"/>
      <c r="V126" s="146"/>
      <c r="W126" s="146"/>
    </row>
    <row r="127" spans="18:23" x14ac:dyDescent="0.2">
      <c r="R127" s="146"/>
      <c r="S127" s="146"/>
      <c r="T127" s="146"/>
      <c r="U127" s="146"/>
      <c r="V127" s="146"/>
      <c r="W127" s="146"/>
    </row>
    <row r="128" spans="18:23" x14ac:dyDescent="0.2">
      <c r="R128" s="146"/>
      <c r="S128" s="146"/>
      <c r="T128" s="146"/>
      <c r="U128" s="146"/>
      <c r="V128" s="146"/>
      <c r="W128" s="146"/>
    </row>
    <row r="129" spans="18:23" x14ac:dyDescent="0.2">
      <c r="R129" s="146"/>
      <c r="S129" s="146"/>
      <c r="T129" s="146"/>
      <c r="U129" s="146"/>
      <c r="V129" s="146"/>
      <c r="W129" s="146"/>
    </row>
    <row r="130" spans="18:23" x14ac:dyDescent="0.2">
      <c r="R130" s="146"/>
      <c r="S130" s="146"/>
      <c r="T130" s="146"/>
      <c r="U130" s="146"/>
      <c r="V130" s="146"/>
      <c r="W130" s="146"/>
    </row>
    <row r="131" spans="18:23" x14ac:dyDescent="0.2">
      <c r="R131" s="146"/>
      <c r="S131" s="146"/>
      <c r="T131" s="146"/>
      <c r="U131" s="146"/>
      <c r="V131" s="146"/>
      <c r="W131" s="146"/>
    </row>
    <row r="132" spans="18:23" x14ac:dyDescent="0.2">
      <c r="R132" s="146"/>
      <c r="S132" s="146"/>
      <c r="T132" s="146"/>
      <c r="U132" s="146"/>
      <c r="V132" s="146"/>
      <c r="W132" s="146"/>
    </row>
    <row r="133" spans="18:23" x14ac:dyDescent="0.2">
      <c r="R133" s="146"/>
      <c r="S133" s="146"/>
      <c r="T133" s="146"/>
      <c r="U133" s="146"/>
      <c r="V133" s="146"/>
      <c r="W133" s="146"/>
    </row>
    <row r="134" spans="18:23" x14ac:dyDescent="0.2">
      <c r="R134" s="146"/>
      <c r="S134" s="146"/>
      <c r="T134" s="146"/>
      <c r="U134" s="146"/>
      <c r="V134" s="146"/>
      <c r="W134" s="146"/>
    </row>
    <row r="135" spans="18:23" x14ac:dyDescent="0.2">
      <c r="R135" s="146"/>
      <c r="S135" s="146"/>
      <c r="T135" s="146"/>
      <c r="U135" s="146"/>
      <c r="V135" s="146"/>
      <c r="W135" s="146"/>
    </row>
    <row r="136" spans="18:23" x14ac:dyDescent="0.2">
      <c r="R136" s="146"/>
      <c r="S136" s="146"/>
      <c r="T136" s="146"/>
      <c r="U136" s="146"/>
      <c r="V136" s="146"/>
      <c r="W136" s="146"/>
    </row>
    <row r="137" spans="18:23" x14ac:dyDescent="0.2">
      <c r="R137" s="146"/>
      <c r="S137" s="146"/>
      <c r="T137" s="146"/>
      <c r="U137" s="146"/>
      <c r="V137" s="146"/>
      <c r="W137" s="146"/>
    </row>
    <row r="138" spans="18:23" x14ac:dyDescent="0.2">
      <c r="R138" s="146"/>
      <c r="S138" s="146"/>
      <c r="T138" s="146"/>
      <c r="U138" s="146"/>
      <c r="V138" s="146"/>
      <c r="W138" s="146"/>
    </row>
    <row r="139" spans="18:23" x14ac:dyDescent="0.2">
      <c r="R139" s="146"/>
      <c r="S139" s="146"/>
      <c r="T139" s="146"/>
      <c r="U139" s="146"/>
      <c r="V139" s="146"/>
      <c r="W139" s="146"/>
    </row>
    <row r="140" spans="18:23" x14ac:dyDescent="0.2">
      <c r="R140" s="146"/>
      <c r="S140" s="146"/>
      <c r="T140" s="146"/>
      <c r="U140" s="146"/>
      <c r="V140" s="146"/>
      <c r="W140" s="146"/>
    </row>
    <row r="141" spans="18:23" x14ac:dyDescent="0.2">
      <c r="R141" s="146"/>
      <c r="S141" s="146"/>
      <c r="T141" s="146"/>
      <c r="U141" s="146"/>
      <c r="V141" s="146"/>
      <c r="W141" s="146"/>
    </row>
    <row r="142" spans="18:23" x14ac:dyDescent="0.2">
      <c r="R142" s="146"/>
      <c r="S142" s="146"/>
      <c r="T142" s="146"/>
      <c r="U142" s="146"/>
      <c r="V142" s="146"/>
      <c r="W142" s="146"/>
    </row>
    <row r="143" spans="18:23" x14ac:dyDescent="0.2">
      <c r="R143" s="146"/>
      <c r="S143" s="146"/>
      <c r="T143" s="146"/>
      <c r="U143" s="146"/>
      <c r="V143" s="146"/>
      <c r="W143" s="146"/>
    </row>
    <row r="144" spans="18:23" x14ac:dyDescent="0.2">
      <c r="R144" s="146"/>
      <c r="S144" s="146"/>
      <c r="T144" s="146"/>
      <c r="U144" s="146"/>
      <c r="V144" s="146"/>
      <c r="W144" s="146"/>
    </row>
    <row r="145" spans="18:23" x14ac:dyDescent="0.2">
      <c r="R145" s="146"/>
      <c r="S145" s="146"/>
      <c r="T145" s="146"/>
      <c r="U145" s="146"/>
      <c r="V145" s="146"/>
      <c r="W145" s="146"/>
    </row>
    <row r="146" spans="18:23" x14ac:dyDescent="0.2">
      <c r="R146" s="146"/>
      <c r="S146" s="146"/>
      <c r="T146" s="146"/>
      <c r="U146" s="146"/>
      <c r="V146" s="146"/>
      <c r="W146" s="146"/>
    </row>
    <row r="147" spans="18:23" x14ac:dyDescent="0.2">
      <c r="R147" s="146"/>
      <c r="S147" s="146"/>
      <c r="T147" s="146"/>
      <c r="U147" s="146"/>
      <c r="V147" s="146"/>
      <c r="W147" s="146"/>
    </row>
    <row r="148" spans="18:23" x14ac:dyDescent="0.2">
      <c r="R148" s="146"/>
      <c r="S148" s="146"/>
      <c r="T148" s="146"/>
      <c r="U148" s="146"/>
      <c r="V148" s="146"/>
      <c r="W148" s="146"/>
    </row>
    <row r="149" spans="18:23" x14ac:dyDescent="0.2">
      <c r="R149" s="146"/>
      <c r="S149" s="146"/>
      <c r="T149" s="146"/>
      <c r="U149" s="146"/>
      <c r="V149" s="146"/>
      <c r="W149" s="146"/>
    </row>
    <row r="150" spans="18:23" x14ac:dyDescent="0.2">
      <c r="R150" s="146"/>
      <c r="S150" s="146"/>
      <c r="T150" s="146"/>
      <c r="U150" s="146"/>
      <c r="V150" s="146"/>
      <c r="W150" s="146"/>
    </row>
    <row r="151" spans="18:23" x14ac:dyDescent="0.2">
      <c r="R151" s="146"/>
      <c r="S151" s="146"/>
      <c r="T151" s="146"/>
      <c r="U151" s="146"/>
      <c r="V151" s="146"/>
      <c r="W151" s="146"/>
    </row>
    <row r="152" spans="18:23" x14ac:dyDescent="0.2">
      <c r="R152" s="146"/>
      <c r="S152" s="146"/>
      <c r="T152" s="146"/>
      <c r="U152" s="146"/>
      <c r="V152" s="146"/>
      <c r="W152" s="146"/>
    </row>
    <row r="153" spans="18:23" x14ac:dyDescent="0.2">
      <c r="R153" s="146"/>
      <c r="S153" s="146"/>
      <c r="T153" s="146"/>
      <c r="U153" s="146"/>
      <c r="V153" s="146"/>
      <c r="W153" s="146"/>
    </row>
    <row r="154" spans="18:23" x14ac:dyDescent="0.2">
      <c r="R154" s="146"/>
      <c r="S154" s="146"/>
      <c r="T154" s="146"/>
      <c r="U154" s="146"/>
      <c r="V154" s="146"/>
      <c r="W154" s="146"/>
    </row>
    <row r="155" spans="18:23" x14ac:dyDescent="0.2">
      <c r="R155" s="146"/>
      <c r="S155" s="146"/>
      <c r="T155" s="146"/>
      <c r="U155" s="146"/>
      <c r="V155" s="146"/>
      <c r="W155" s="146"/>
    </row>
    <row r="156" spans="18:23" x14ac:dyDescent="0.2">
      <c r="R156" s="146"/>
      <c r="S156" s="146"/>
      <c r="T156" s="146"/>
      <c r="U156" s="146"/>
      <c r="V156" s="146"/>
      <c r="W156" s="146"/>
    </row>
    <row r="157" spans="18:23" x14ac:dyDescent="0.2">
      <c r="R157" s="146"/>
      <c r="S157" s="146"/>
      <c r="T157" s="146"/>
      <c r="U157" s="146"/>
      <c r="V157" s="146"/>
      <c r="W157" s="146"/>
    </row>
    <row r="158" spans="18:23" x14ac:dyDescent="0.2">
      <c r="R158" s="146"/>
      <c r="S158" s="146"/>
      <c r="T158" s="146"/>
      <c r="U158" s="146"/>
      <c r="V158" s="146"/>
      <c r="W158" s="146"/>
    </row>
    <row r="159" spans="18:23" x14ac:dyDescent="0.2">
      <c r="R159" s="146"/>
      <c r="S159" s="146"/>
      <c r="T159" s="146"/>
      <c r="U159" s="146"/>
      <c r="V159" s="146"/>
      <c r="W159" s="146"/>
    </row>
    <row r="160" spans="18:23" x14ac:dyDescent="0.2">
      <c r="R160" s="146"/>
      <c r="S160" s="146"/>
      <c r="T160" s="146"/>
      <c r="U160" s="146"/>
      <c r="V160" s="146"/>
      <c r="W160" s="146"/>
    </row>
    <row r="161" spans="18:23" x14ac:dyDescent="0.2">
      <c r="R161" s="146"/>
      <c r="S161" s="146"/>
      <c r="T161" s="146"/>
      <c r="U161" s="146"/>
      <c r="V161" s="146"/>
      <c r="W161" s="146"/>
    </row>
    <row r="162" spans="18:23" x14ac:dyDescent="0.2">
      <c r="R162" s="146"/>
      <c r="S162" s="146"/>
      <c r="T162" s="146"/>
      <c r="U162" s="146"/>
      <c r="V162" s="146"/>
      <c r="W162" s="146"/>
    </row>
    <row r="163" spans="18:23" x14ac:dyDescent="0.2">
      <c r="R163" s="146"/>
      <c r="S163" s="146"/>
      <c r="T163" s="146"/>
      <c r="U163" s="146"/>
      <c r="V163" s="146"/>
      <c r="W163" s="146"/>
    </row>
    <row r="164" spans="18:23" x14ac:dyDescent="0.2">
      <c r="R164" s="146"/>
      <c r="S164" s="146"/>
      <c r="T164" s="146"/>
      <c r="U164" s="146"/>
      <c r="V164" s="146"/>
      <c r="W164" s="146"/>
    </row>
    <row r="165" spans="18:23" x14ac:dyDescent="0.2">
      <c r="R165" s="146"/>
      <c r="S165" s="146"/>
      <c r="T165" s="146"/>
      <c r="U165" s="146"/>
      <c r="V165" s="146"/>
      <c r="W165" s="146"/>
    </row>
    <row r="166" spans="18:23" x14ac:dyDescent="0.2">
      <c r="R166" s="146"/>
      <c r="S166" s="146"/>
      <c r="T166" s="146"/>
      <c r="U166" s="146"/>
      <c r="V166" s="146"/>
      <c r="W166" s="146"/>
    </row>
    <row r="167" spans="18:23" x14ac:dyDescent="0.2">
      <c r="R167" s="146"/>
      <c r="S167" s="146"/>
      <c r="T167" s="146"/>
      <c r="U167" s="146"/>
      <c r="V167" s="146"/>
      <c r="W167" s="146"/>
    </row>
    <row r="168" spans="18:23" x14ac:dyDescent="0.2">
      <c r="R168" s="146"/>
      <c r="S168" s="146"/>
      <c r="T168" s="146"/>
      <c r="U168" s="146"/>
      <c r="V168" s="146"/>
      <c r="W168" s="146"/>
    </row>
    <row r="169" spans="18:23" x14ac:dyDescent="0.2">
      <c r="R169" s="146"/>
      <c r="S169" s="146"/>
      <c r="T169" s="146"/>
      <c r="U169" s="146"/>
      <c r="V169" s="146"/>
      <c r="W169" s="146"/>
    </row>
    <row r="170" spans="18:23" x14ac:dyDescent="0.2">
      <c r="R170" s="146"/>
      <c r="S170" s="146"/>
      <c r="T170" s="146"/>
      <c r="U170" s="146"/>
      <c r="V170" s="146"/>
      <c r="W170" s="146"/>
    </row>
    <row r="171" spans="18:23" x14ac:dyDescent="0.2">
      <c r="R171" s="146"/>
      <c r="S171" s="146"/>
      <c r="T171" s="146"/>
      <c r="U171" s="146"/>
      <c r="V171" s="146"/>
      <c r="W171" s="146"/>
    </row>
    <row r="172" spans="18:23" x14ac:dyDescent="0.2">
      <c r="R172" s="146"/>
      <c r="S172" s="146"/>
      <c r="T172" s="146"/>
      <c r="U172" s="146"/>
      <c r="V172" s="146"/>
      <c r="W172" s="146"/>
    </row>
    <row r="173" spans="18:23" x14ac:dyDescent="0.2">
      <c r="R173" s="146"/>
      <c r="S173" s="146"/>
      <c r="T173" s="146"/>
      <c r="U173" s="146"/>
      <c r="V173" s="146"/>
      <c r="W173" s="146"/>
    </row>
    <row r="174" spans="18:23" x14ac:dyDescent="0.2">
      <c r="R174" s="146"/>
      <c r="S174" s="146"/>
      <c r="T174" s="146"/>
      <c r="U174" s="146"/>
      <c r="V174" s="146"/>
      <c r="W174" s="146"/>
    </row>
    <row r="175" spans="18:23" x14ac:dyDescent="0.2">
      <c r="R175" s="146"/>
      <c r="S175" s="146"/>
      <c r="T175" s="146"/>
      <c r="U175" s="146"/>
      <c r="V175" s="146"/>
      <c r="W175" s="146"/>
    </row>
    <row r="176" spans="18:23" x14ac:dyDescent="0.2">
      <c r="R176" s="146"/>
      <c r="S176" s="146"/>
      <c r="T176" s="146"/>
      <c r="U176" s="146"/>
      <c r="V176" s="146"/>
      <c r="W176" s="146"/>
    </row>
    <row r="177" spans="18:23" x14ac:dyDescent="0.2">
      <c r="R177" s="146"/>
      <c r="S177" s="146"/>
      <c r="T177" s="146"/>
      <c r="U177" s="146"/>
      <c r="V177" s="146"/>
      <c r="W177" s="146"/>
    </row>
    <row r="178" spans="18:23" x14ac:dyDescent="0.2">
      <c r="R178" s="146"/>
      <c r="S178" s="146"/>
      <c r="T178" s="146"/>
      <c r="U178" s="146"/>
      <c r="V178" s="146"/>
      <c r="W178" s="146"/>
    </row>
    <row r="179" spans="18:23" x14ac:dyDescent="0.2">
      <c r="R179" s="146"/>
      <c r="S179" s="146"/>
      <c r="T179" s="146"/>
      <c r="U179" s="146"/>
      <c r="V179" s="146"/>
      <c r="W179" s="146"/>
    </row>
    <row r="180" spans="18:23" x14ac:dyDescent="0.2">
      <c r="R180" s="146"/>
      <c r="S180" s="146"/>
      <c r="T180" s="146"/>
      <c r="U180" s="146"/>
      <c r="V180" s="146"/>
      <c r="W180" s="146"/>
    </row>
    <row r="181" spans="18:23" x14ac:dyDescent="0.2">
      <c r="R181" s="146"/>
      <c r="S181" s="146"/>
      <c r="T181" s="146"/>
      <c r="U181" s="146"/>
      <c r="V181" s="146"/>
      <c r="W181" s="146"/>
    </row>
    <row r="182" spans="18:23" x14ac:dyDescent="0.2">
      <c r="R182" s="146"/>
      <c r="S182" s="146"/>
      <c r="T182" s="146"/>
      <c r="U182" s="146"/>
      <c r="V182" s="146"/>
      <c r="W182" s="146"/>
    </row>
    <row r="183" spans="18:23" x14ac:dyDescent="0.2">
      <c r="R183" s="146"/>
      <c r="S183" s="146"/>
      <c r="T183" s="146"/>
      <c r="U183" s="146"/>
      <c r="V183" s="146"/>
      <c r="W183" s="146"/>
    </row>
    <row r="184" spans="18:23" x14ac:dyDescent="0.2">
      <c r="R184" s="146"/>
      <c r="S184" s="146"/>
      <c r="T184" s="146"/>
      <c r="U184" s="146"/>
      <c r="V184" s="146"/>
      <c r="W184" s="146"/>
    </row>
    <row r="185" spans="18:23" x14ac:dyDescent="0.2">
      <c r="R185" s="146"/>
      <c r="S185" s="146"/>
      <c r="T185" s="146"/>
      <c r="U185" s="146"/>
      <c r="V185" s="146"/>
      <c r="W185" s="146"/>
    </row>
    <row r="186" spans="18:23" x14ac:dyDescent="0.2">
      <c r="R186" s="146"/>
      <c r="S186" s="146"/>
      <c r="T186" s="146"/>
      <c r="U186" s="146"/>
      <c r="V186" s="146"/>
      <c r="W186" s="146"/>
    </row>
    <row r="187" spans="18:23" x14ac:dyDescent="0.2">
      <c r="R187" s="146"/>
      <c r="S187" s="146"/>
      <c r="T187" s="146"/>
      <c r="U187" s="146"/>
      <c r="V187" s="146"/>
      <c r="W187" s="146"/>
    </row>
    <row r="188" spans="18:23" x14ac:dyDescent="0.2">
      <c r="R188" s="146"/>
      <c r="S188" s="146"/>
      <c r="T188" s="146"/>
      <c r="U188" s="146"/>
      <c r="V188" s="146"/>
      <c r="W188" s="146"/>
    </row>
    <row r="189" spans="18:23" x14ac:dyDescent="0.2">
      <c r="R189" s="146"/>
      <c r="S189" s="146"/>
      <c r="T189" s="146"/>
      <c r="U189" s="146"/>
      <c r="V189" s="146"/>
      <c r="W189" s="146"/>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16:C18">
    <cfRule type="expression" dxfId="696" priority="157" stopIfTrue="1">
      <formula>B16=3</formula>
    </cfRule>
    <cfRule type="expression" dxfId="695" priority="158" stopIfTrue="1">
      <formula>B16=4</formula>
    </cfRule>
    <cfRule type="expression" dxfId="694" priority="159" stopIfTrue="1">
      <formula>B16=5</formula>
    </cfRule>
  </conditionalFormatting>
  <conditionalFormatting sqref="F5:F40">
    <cfRule type="expression" dxfId="693" priority="153">
      <formula>$H5=0</formula>
    </cfRule>
    <cfRule type="expression" dxfId="692" priority="156">
      <formula>$H5=0</formula>
    </cfRule>
  </conditionalFormatting>
  <conditionalFormatting sqref="H5:H40">
    <cfRule type="cellIs" dxfId="691" priority="160" stopIfTrue="1" operator="between">
      <formula>0.1</formula>
      <formula>1.9</formula>
    </cfRule>
    <cfRule type="cellIs" dxfId="690" priority="161" stopIfTrue="1" operator="between">
      <formula>3</formula>
      <formula>3.9</formula>
    </cfRule>
    <cfRule type="cellIs" dxfId="689" priority="162" stopIfTrue="1" operator="between">
      <formula>4</formula>
      <formula>5</formula>
    </cfRule>
  </conditionalFormatting>
  <conditionalFormatting sqref="F5:F40">
    <cfRule type="expression" dxfId="688" priority="154">
      <formula>$H5&lt;#REF!</formula>
    </cfRule>
    <cfRule type="expression" dxfId="687" priority="155">
      <formula>$H5&gt;=#REF!</formula>
    </cfRule>
  </conditionalFormatting>
  <conditionalFormatting sqref="E5:E40">
    <cfRule type="expression" dxfId="686" priority="147">
      <formula>$D5=3</formula>
    </cfRule>
    <cfRule type="expression" dxfId="685" priority="148">
      <formula>$D5=4</formula>
    </cfRule>
    <cfRule type="expression" dxfId="684" priority="149">
      <formula>$D5=5</formula>
    </cfRule>
    <cfRule type="expression" dxfId="683" priority="150">
      <formula>$D5=8</formula>
    </cfRule>
    <cfRule type="expression" dxfId="682" priority="151">
      <formula>$D5=7</formula>
    </cfRule>
    <cfRule type="expression" dxfId="681" priority="152">
      <formula>$D5=6</formula>
    </cfRule>
  </conditionalFormatting>
  <conditionalFormatting sqref="C16:C18">
    <cfRule type="cellIs" dxfId="680" priority="143" operator="equal">
      <formula>""</formula>
    </cfRule>
    <cfRule type="expression" dxfId="679" priority="144" stopIfTrue="1">
      <formula>B16=8</formula>
    </cfRule>
    <cfRule type="expression" dxfId="678" priority="145" stopIfTrue="1">
      <formula>B16=7</formula>
    </cfRule>
    <cfRule type="expression" dxfId="677" priority="146" stopIfTrue="1">
      <formula>B16=6</formula>
    </cfRule>
  </conditionalFormatting>
  <conditionalFormatting sqref="C37:C40">
    <cfRule type="expression" dxfId="676" priority="140" stopIfTrue="1">
      <formula>B37=3</formula>
    </cfRule>
    <cfRule type="expression" dxfId="675" priority="141" stopIfTrue="1">
      <formula>B37=4</formula>
    </cfRule>
    <cfRule type="expression" dxfId="674" priority="142" stopIfTrue="1">
      <formula>B37=5</formula>
    </cfRule>
  </conditionalFormatting>
  <conditionalFormatting sqref="C37:C40">
    <cfRule type="cellIs" dxfId="673" priority="136" operator="equal">
      <formula>""</formula>
    </cfRule>
    <cfRule type="expression" dxfId="672" priority="137" stopIfTrue="1">
      <formula>B37=8</formula>
    </cfRule>
    <cfRule type="expression" dxfId="671" priority="138" stopIfTrue="1">
      <formula>B37=7</formula>
    </cfRule>
    <cfRule type="expression" dxfId="670" priority="139" stopIfTrue="1">
      <formula>B37=6</formula>
    </cfRule>
  </conditionalFormatting>
  <conditionalFormatting sqref="G42:G46">
    <cfRule type="cellIs" dxfId="669" priority="135" operator="notEqual">
      <formula>""</formula>
    </cfRule>
  </conditionalFormatting>
  <conditionalFormatting sqref="S7:U7 S9:U9 S11:U11">
    <cfRule type="cellIs" dxfId="668" priority="134" operator="equal">
      <formula>0</formula>
    </cfRule>
  </conditionalFormatting>
  <conditionalFormatting sqref="V13 V15">
    <cfRule type="cellIs" dxfId="667" priority="133" operator="equal">
      <formula>0</formula>
    </cfRule>
  </conditionalFormatting>
  <conditionalFormatting sqref="R13 R15">
    <cfRule type="cellIs" dxfId="666" priority="132" operator="equal">
      <formula>0</formula>
    </cfRule>
  </conditionalFormatting>
  <conditionalFormatting sqref="R7 R9 R11">
    <cfRule type="cellIs" dxfId="665" priority="131" operator="equal">
      <formula>0</formula>
    </cfRule>
  </conditionalFormatting>
  <conditionalFormatting sqref="V7 V9 V11">
    <cfRule type="cellIs" dxfId="664" priority="130" operator="equal">
      <formula>0</formula>
    </cfRule>
  </conditionalFormatting>
  <conditionalFormatting sqref="S13:U13 S15:U15">
    <cfRule type="cellIs" dxfId="663" priority="129" operator="equal">
      <formula>0</formula>
    </cfRule>
  </conditionalFormatting>
  <conditionalFormatting sqref="R6">
    <cfRule type="cellIs" dxfId="662" priority="128" operator="equal">
      <formula>0</formula>
    </cfRule>
  </conditionalFormatting>
  <conditionalFormatting sqref="V6">
    <cfRule type="cellIs" dxfId="661" priority="127" operator="equal">
      <formula>0</formula>
    </cfRule>
  </conditionalFormatting>
  <conditionalFormatting sqref="I5:I40">
    <cfRule type="cellIs" dxfId="660" priority="124" stopIfTrue="1" operator="between">
      <formula>"D-3"</formula>
      <formula>"E-5"</formula>
    </cfRule>
    <cfRule type="cellIs" dxfId="659" priority="125" stopIfTrue="1" operator="between">
      <formula>"B-2"</formula>
      <formula>"B-3"</formula>
    </cfRule>
    <cfRule type="cellIs" dxfId="658" priority="126" stopIfTrue="1" operator="between">
      <formula>"A-1"</formula>
      <formula>"A-2"</formula>
    </cfRule>
  </conditionalFormatting>
  <conditionalFormatting sqref="I5:I40">
    <cfRule type="cellIs" dxfId="657" priority="122" operator="equal">
      <formula>"E-5-"</formula>
    </cfRule>
    <cfRule type="cellIs" dxfId="656" priority="123" operator="equal">
      <formula>"A-1+"</formula>
    </cfRule>
  </conditionalFormatting>
  <conditionalFormatting sqref="C42:C46">
    <cfRule type="cellIs" dxfId="655" priority="114" operator="notEqual">
      <formula>""</formula>
    </cfRule>
  </conditionalFormatting>
  <conditionalFormatting sqref="L34:L40">
    <cfRule type="cellIs" dxfId="654" priority="111" stopIfTrue="1" operator="between">
      <formula>0.1</formula>
      <formula>1.9</formula>
    </cfRule>
    <cfRule type="cellIs" dxfId="653" priority="112" stopIfTrue="1" operator="between">
      <formula>3</formula>
      <formula>3.9</formula>
    </cfRule>
    <cfRule type="cellIs" dxfId="652" priority="113" stopIfTrue="1" operator="between">
      <formula>4</formula>
      <formula>5</formula>
    </cfRule>
  </conditionalFormatting>
  <conditionalFormatting sqref="L31:L33">
    <cfRule type="cellIs" dxfId="651" priority="108" stopIfTrue="1" operator="between">
      <formula>0.1</formula>
      <formula>1.9</formula>
    </cfRule>
    <cfRule type="cellIs" dxfId="650" priority="109" stopIfTrue="1" operator="between">
      <formula>3</formula>
      <formula>3.9</formula>
    </cfRule>
    <cfRule type="cellIs" dxfId="649" priority="110" stopIfTrue="1" operator="between">
      <formula>4</formula>
      <formula>5</formula>
    </cfRule>
  </conditionalFormatting>
  <conditionalFormatting sqref="L29:L30">
    <cfRule type="cellIs" dxfId="648" priority="105" stopIfTrue="1" operator="between">
      <formula>0.1</formula>
      <formula>1.9</formula>
    </cfRule>
    <cfRule type="cellIs" dxfId="647" priority="106" stopIfTrue="1" operator="between">
      <formula>3</formula>
      <formula>3.9</formula>
    </cfRule>
    <cfRule type="cellIs" dxfId="646" priority="107" stopIfTrue="1" operator="between">
      <formula>4</formula>
      <formula>5</formula>
    </cfRule>
  </conditionalFormatting>
  <conditionalFormatting sqref="L25:L28">
    <cfRule type="cellIs" dxfId="645" priority="102" stopIfTrue="1" operator="between">
      <formula>0.1</formula>
      <formula>1.9</formula>
    </cfRule>
    <cfRule type="cellIs" dxfId="644" priority="103" stopIfTrue="1" operator="between">
      <formula>3</formula>
      <formula>3.9</formula>
    </cfRule>
    <cfRule type="cellIs" dxfId="643" priority="104" stopIfTrue="1" operator="between">
      <formula>4</formula>
      <formula>5</formula>
    </cfRule>
  </conditionalFormatting>
  <conditionalFormatting sqref="L19:L23">
    <cfRule type="cellIs" dxfId="642" priority="99" stopIfTrue="1" operator="between">
      <formula>0.1</formula>
      <formula>1.9</formula>
    </cfRule>
    <cfRule type="cellIs" dxfId="641" priority="100" stopIfTrue="1" operator="between">
      <formula>3</formula>
      <formula>3.9</formula>
    </cfRule>
    <cfRule type="cellIs" dxfId="640" priority="101" stopIfTrue="1" operator="between">
      <formula>4</formula>
      <formula>5</formula>
    </cfRule>
  </conditionalFormatting>
  <conditionalFormatting sqref="L21:L24">
    <cfRule type="cellIs" dxfId="639" priority="96" stopIfTrue="1" operator="between">
      <formula>0.1</formula>
      <formula>1.9</formula>
    </cfRule>
    <cfRule type="cellIs" dxfId="638" priority="97" stopIfTrue="1" operator="between">
      <formula>3</formula>
      <formula>3.9</formula>
    </cfRule>
    <cfRule type="cellIs" dxfId="637" priority="98" stopIfTrue="1" operator="between">
      <formula>4</formula>
      <formula>5</formula>
    </cfRule>
  </conditionalFormatting>
  <conditionalFormatting sqref="L19:L40">
    <cfRule type="cellIs" dxfId="636" priority="91" operator="equal">
      <formula>""</formula>
    </cfRule>
  </conditionalFormatting>
  <conditionalFormatting sqref="L5:L8">
    <cfRule type="cellIs" dxfId="635" priority="87" stopIfTrue="1" operator="between">
      <formula>0.1</formula>
      <formula>1.9</formula>
    </cfRule>
    <cfRule type="cellIs" dxfId="634" priority="88" stopIfTrue="1" operator="between">
      <formula>3</formula>
      <formula>3.9</formula>
    </cfRule>
    <cfRule type="cellIs" dxfId="633" priority="89" stopIfTrue="1" operator="between">
      <formula>4</formula>
      <formula>5</formula>
    </cfRule>
  </conditionalFormatting>
  <conditionalFormatting sqref="J5:J40">
    <cfRule type="cellIs" dxfId="632" priority="85" operator="equal">
      <formula>"*"</formula>
    </cfRule>
    <cfRule type="cellIs" dxfId="631" priority="86" operator="equal">
      <formula>"!"</formula>
    </cfRule>
  </conditionalFormatting>
  <conditionalFormatting sqref="N5:N40">
    <cfRule type="cellIs" dxfId="630" priority="83" operator="equal">
      <formula>"*"</formula>
    </cfRule>
    <cfRule type="cellIs" dxfId="629" priority="84" operator="equal">
      <formula>"!"</formula>
    </cfRule>
  </conditionalFormatting>
  <conditionalFormatting sqref="M5:M40">
    <cfRule type="cellIs" dxfId="628" priority="80" stopIfTrue="1" operator="between">
      <formula>"D-3"</formula>
      <formula>"E-5"</formula>
    </cfRule>
    <cfRule type="cellIs" dxfId="627" priority="81" stopIfTrue="1" operator="between">
      <formula>"B-2"</formula>
      <formula>"B-3"</formula>
    </cfRule>
    <cfRule type="cellIs" dxfId="626" priority="82" stopIfTrue="1" operator="between">
      <formula>"A-1"</formula>
      <formula>"A-2"</formula>
    </cfRule>
  </conditionalFormatting>
  <conditionalFormatting sqref="M5:M40">
    <cfRule type="cellIs" dxfId="625" priority="78" operator="equal">
      <formula>"E-5-"</formula>
    </cfRule>
    <cfRule type="cellIs" dxfId="624" priority="79" operator="equal">
      <formula>"A-1+"</formula>
    </cfRule>
  </conditionalFormatting>
  <conditionalFormatting sqref="C12:C15">
    <cfRule type="expression" dxfId="623" priority="40" stopIfTrue="1">
      <formula>B12=3</formula>
    </cfRule>
    <cfRule type="expression" dxfId="622" priority="41" stopIfTrue="1">
      <formula>B12=4</formula>
    </cfRule>
    <cfRule type="expression" dxfId="621" priority="42" stopIfTrue="1">
      <formula>B12=5</formula>
    </cfRule>
  </conditionalFormatting>
  <conditionalFormatting sqref="C12:C15">
    <cfRule type="cellIs" dxfId="620" priority="36" operator="equal">
      <formula>""</formula>
    </cfRule>
    <cfRule type="expression" dxfId="619" priority="37" stopIfTrue="1">
      <formula>B12=8</formula>
    </cfRule>
    <cfRule type="expression" dxfId="618" priority="38" stopIfTrue="1">
      <formula>B12=7</formula>
    </cfRule>
    <cfRule type="expression" dxfId="617" priority="39" stopIfTrue="1">
      <formula>B12=6</formula>
    </cfRule>
  </conditionalFormatting>
  <conditionalFormatting sqref="C11">
    <cfRule type="expression" dxfId="616" priority="33" stopIfTrue="1">
      <formula>B11=3</formula>
    </cfRule>
    <cfRule type="expression" dxfId="615" priority="34" stopIfTrue="1">
      <formula>B11=4</formula>
    </cfRule>
    <cfRule type="expression" dxfId="614" priority="35" stopIfTrue="1">
      <formula>B11=5</formula>
    </cfRule>
  </conditionalFormatting>
  <conditionalFormatting sqref="C11">
    <cfRule type="cellIs" dxfId="613" priority="29" operator="equal">
      <formula>""</formula>
    </cfRule>
    <cfRule type="expression" dxfId="612" priority="30" stopIfTrue="1">
      <formula>B11=8</formula>
    </cfRule>
    <cfRule type="expression" dxfId="611" priority="31" stopIfTrue="1">
      <formula>B11=7</formula>
    </cfRule>
    <cfRule type="expression" dxfId="610" priority="32" stopIfTrue="1">
      <formula>B11=6</formula>
    </cfRule>
  </conditionalFormatting>
  <conditionalFormatting sqref="C7:C10">
    <cfRule type="expression" dxfId="609" priority="26" stopIfTrue="1">
      <formula>B7=3</formula>
    </cfRule>
    <cfRule type="expression" dxfId="608" priority="27" stopIfTrue="1">
      <formula>B7=4</formula>
    </cfRule>
    <cfRule type="expression" dxfId="607" priority="28" stopIfTrue="1">
      <formula>B7=5</formula>
    </cfRule>
  </conditionalFormatting>
  <conditionalFormatting sqref="C7:C10">
    <cfRule type="cellIs" dxfId="606" priority="22" operator="equal">
      <formula>""</formula>
    </cfRule>
    <cfRule type="expression" dxfId="605" priority="23" stopIfTrue="1">
      <formula>B7=8</formula>
    </cfRule>
    <cfRule type="expression" dxfId="604" priority="24" stopIfTrue="1">
      <formula>B7=7</formula>
    </cfRule>
    <cfRule type="expression" dxfId="603" priority="25" stopIfTrue="1">
      <formula>B7=6</formula>
    </cfRule>
  </conditionalFormatting>
  <conditionalFormatting sqref="C36">
    <cfRule type="expression" dxfId="602" priority="19" stopIfTrue="1">
      <formula>B36=3</formula>
    </cfRule>
    <cfRule type="expression" dxfId="601" priority="20" stopIfTrue="1">
      <formula>B36=4</formula>
    </cfRule>
    <cfRule type="expression" dxfId="600" priority="21" stopIfTrue="1">
      <formula>B36=5</formula>
    </cfRule>
  </conditionalFormatting>
  <conditionalFormatting sqref="C36">
    <cfRule type="cellIs" dxfId="599" priority="15" operator="equal">
      <formula>""</formula>
    </cfRule>
    <cfRule type="expression" dxfId="598" priority="16" stopIfTrue="1">
      <formula>B36=8</formula>
    </cfRule>
    <cfRule type="expression" dxfId="597" priority="17" stopIfTrue="1">
      <formula>B36=7</formula>
    </cfRule>
    <cfRule type="expression" dxfId="596" priority="18" stopIfTrue="1">
      <formula>B36=6</formula>
    </cfRule>
  </conditionalFormatting>
  <conditionalFormatting sqref="C35">
    <cfRule type="expression" dxfId="595" priority="12" stopIfTrue="1">
      <formula>B35=3</formula>
    </cfRule>
    <cfRule type="expression" dxfId="594" priority="13" stopIfTrue="1">
      <formula>B35=4</formula>
    </cfRule>
    <cfRule type="expression" dxfId="593" priority="14" stopIfTrue="1">
      <formula>B35=5</formula>
    </cfRule>
  </conditionalFormatting>
  <conditionalFormatting sqref="C35">
    <cfRule type="cellIs" dxfId="592" priority="8" operator="equal">
      <formula>""</formula>
    </cfRule>
    <cfRule type="expression" dxfId="591" priority="9" stopIfTrue="1">
      <formula>B35=8</formula>
    </cfRule>
    <cfRule type="expression" dxfId="590" priority="10" stopIfTrue="1">
      <formula>B35=7</formula>
    </cfRule>
    <cfRule type="expression" dxfId="589" priority="11" stopIfTrue="1">
      <formula>B35=6</formula>
    </cfRule>
  </conditionalFormatting>
  <conditionalFormatting sqref="C29:C34">
    <cfRule type="expression" dxfId="588" priority="5" stopIfTrue="1">
      <formula>B29=3</formula>
    </cfRule>
    <cfRule type="expression" dxfId="587" priority="6" stopIfTrue="1">
      <formula>B29=4</formula>
    </cfRule>
    <cfRule type="expression" dxfId="586" priority="7" stopIfTrue="1">
      <formula>B29=5</formula>
    </cfRule>
  </conditionalFormatting>
  <conditionalFormatting sqref="C29:C34">
    <cfRule type="cellIs" dxfId="585" priority="1" operator="equal">
      <formula>""</formula>
    </cfRule>
    <cfRule type="expression" dxfId="584" priority="2" stopIfTrue="1">
      <formula>B29=8</formula>
    </cfRule>
    <cfRule type="expression" dxfId="583" priority="3" stopIfTrue="1">
      <formula>B29=7</formula>
    </cfRule>
    <cfRule type="expression" dxfId="582" priority="4" stopIfTrue="1">
      <formula>B29=6</formula>
    </cfRule>
  </conditionalFormatting>
  <dataValidations count="10">
    <dataValidation allowBlank="1" showInputMessage="1" showErrorMessage="1" promptTitle="Nieuwe regel:" prompt="druk op Alt-Enter" sqref="P15 P28 P17 P26 P37 P39" xr:uid="{00000000-0002-0000-2900-000000000000}"/>
    <dataValidation allowBlank="1" showInputMessage="1" showErrorMessage="1" promptTitle="Pulldown menu" prompt="groeps  HP: -_x000a_indiv.    HP:#_x000a_hele groep: $" sqref="C18 C40" xr:uid="{00000000-0002-0000-2900-000001000000}"/>
    <dataValidation allowBlank="1" showInputMessage="1" showErrorMessage="1" promptTitle="Pulldown venster" prompt="groeps  HP: -_x000a_indiv.    HP:#_x000a_hele groep: $" sqref="C29:C39 C7:C17" xr:uid="{00000000-0002-0000-29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900-000003000000}">
      <formula1>2</formula1>
    </dataValidation>
    <dataValidation type="list" allowBlank="1" showInputMessage="1" showErrorMessage="1" sqref="B29:B40 B7:B18" xr:uid="{00000000-0002-0000-2900-000004000000}">
      <formula1>"3,4,5,6,7,8,"</formula1>
    </dataValidation>
    <dataValidation type="list" allowBlank="1" showInputMessage="1" showErrorMessage="1" sqref="C42 G42" xr:uid="{00000000-0002-0000-2900-000005000000}">
      <formula1>"maandag,"</formula1>
    </dataValidation>
    <dataValidation type="list" allowBlank="1" showInputMessage="1" showErrorMessage="1" sqref="C43 G43" xr:uid="{00000000-0002-0000-2900-000006000000}">
      <formula1>"dinsdag,"</formula1>
    </dataValidation>
    <dataValidation type="list" allowBlank="1" showInputMessage="1" showErrorMessage="1" sqref="C44 G44" xr:uid="{00000000-0002-0000-2900-000007000000}">
      <formula1>"woensdag,"</formula1>
    </dataValidation>
    <dataValidation type="list" allowBlank="1" showInputMessage="1" showErrorMessage="1" sqref="C45 G45" xr:uid="{00000000-0002-0000-2900-000008000000}">
      <formula1>"donderdag,"</formula1>
    </dataValidation>
    <dataValidation type="list" allowBlank="1" showInputMessage="1" showErrorMessage="1" sqref="C46 G46" xr:uid="{00000000-0002-0000-29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CCCCFF"/>
    <pageSetUpPr fitToPage="1"/>
  </sheetPr>
  <dimension ref="A1:AA189"/>
  <sheetViews>
    <sheetView showGridLines="0" showRowColHeaders="0" zoomScale="90" zoomScaleNormal="90" workbookViewId="0">
      <selection activeCell="O4" sqref="O4"/>
    </sheetView>
  </sheetViews>
  <sheetFormatPr defaultColWidth="9.140625" defaultRowHeight="12.75" x14ac:dyDescent="0.2"/>
  <cols>
    <col min="1" max="1" width="3.140625" style="69" customWidth="1"/>
    <col min="2" max="2" width="3.140625" style="70" bestFit="1" customWidth="1"/>
    <col min="3" max="3" width="11.85546875" style="74" bestFit="1" customWidth="1"/>
    <col min="4" max="4" width="3.140625" style="75" customWidth="1"/>
    <col min="5" max="5" width="5.85546875" style="74" customWidth="1"/>
    <col min="6" max="6" width="20.85546875" style="74" customWidth="1"/>
    <col min="7" max="7" width="5.85546875" style="74" customWidth="1"/>
    <col min="8" max="9" width="5.85546875" style="76" customWidth="1"/>
    <col min="10" max="10" width="3.140625" style="76" customWidth="1"/>
    <col min="11" max="11" width="5.85546875" style="76" customWidth="1"/>
    <col min="12" max="12" width="5.85546875" style="74" customWidth="1"/>
    <col min="13" max="13" width="5.85546875" style="69" customWidth="1"/>
    <col min="14" max="14" width="3.140625" style="69" customWidth="1"/>
    <col min="15" max="15" width="4.85546875" style="69" bestFit="1" customWidth="1"/>
    <col min="16" max="16" width="60.85546875" style="69" customWidth="1"/>
    <col min="17" max="17" width="6.85546875" style="69" customWidth="1"/>
    <col min="18" max="22" width="7.140625" style="73" customWidth="1"/>
    <col min="23" max="25" width="6.85546875" style="73" customWidth="1"/>
    <col min="26" max="26" width="6.140625" style="73" customWidth="1"/>
    <col min="27" max="27" width="9.140625" style="73"/>
    <col min="28" max="16384" width="9.140625" style="69"/>
  </cols>
  <sheetData>
    <row r="1" spans="1:24" s="66" customFormat="1" ht="30" customHeight="1" thickBot="1" x14ac:dyDescent="0.45">
      <c r="B1" s="615"/>
      <c r="C1" s="1128" t="s">
        <v>315</v>
      </c>
      <c r="D1" s="1129"/>
      <c r="E1" s="1129"/>
      <c r="F1" s="1129"/>
      <c r="G1" s="1129"/>
      <c r="H1" s="1129"/>
      <c r="I1" s="1129"/>
      <c r="J1" s="1129"/>
      <c r="K1" s="1230">
        <f>BEGINBLAD!$I$2</f>
        <v>0</v>
      </c>
      <c r="L1" s="1230"/>
      <c r="M1" s="1230"/>
      <c r="N1" s="1230"/>
      <c r="O1" s="1230"/>
      <c r="P1" s="67"/>
      <c r="X1" s="68"/>
    </row>
    <row r="2" spans="1:24" ht="24" customHeight="1" x14ac:dyDescent="0.2">
      <c r="C2" s="1130" t="str">
        <f>BEGINBLAD!$S$2</f>
        <v>mei.</v>
      </c>
      <c r="D2" s="1130"/>
      <c r="E2" s="241"/>
      <c r="F2" s="691" t="str">
        <f>BEGINBLAD!$T$2</f>
        <v>okt.</v>
      </c>
      <c r="G2" s="1131">
        <f>BEGINBLAD!$P$2</f>
        <v>2021</v>
      </c>
      <c r="H2" s="1131"/>
      <c r="I2" s="1131"/>
      <c r="M2" s="71"/>
      <c r="N2" s="72"/>
      <c r="O2" s="72"/>
    </row>
    <row r="3" spans="1:24" ht="13.5" thickBot="1" x14ac:dyDescent="0.25">
      <c r="M3" s="77"/>
      <c r="N3" s="77"/>
      <c r="O3" s="77"/>
      <c r="P3" s="77"/>
    </row>
    <row r="4" spans="1:24" ht="140.1" customHeight="1" x14ac:dyDescent="0.2">
      <c r="C4" s="78"/>
      <c r="D4" s="79"/>
      <c r="E4" s="80"/>
      <c r="F4" s="81" t="s">
        <v>44</v>
      </c>
      <c r="G4" s="82" t="s">
        <v>301</v>
      </c>
      <c r="H4" s="83" t="s">
        <v>311</v>
      </c>
      <c r="I4" s="84" t="s">
        <v>268</v>
      </c>
      <c r="J4" s="235"/>
      <c r="K4" s="82" t="s">
        <v>301</v>
      </c>
      <c r="L4" s="86" t="s">
        <v>312</v>
      </c>
      <c r="M4" s="84" t="s">
        <v>268</v>
      </c>
      <c r="N4" s="235"/>
      <c r="O4" s="88"/>
    </row>
    <row r="5" spans="1:24" ht="19.5" customHeight="1" x14ac:dyDescent="0.2">
      <c r="A5" s="89"/>
      <c r="B5" s="1132" t="s">
        <v>43</v>
      </c>
      <c r="C5" s="90" t="s">
        <v>198</v>
      </c>
      <c r="D5" s="91">
        <v>0</v>
      </c>
      <c r="E5" s="92">
        <v>1</v>
      </c>
      <c r="F5" s="165" t="str">
        <f>BEGINBLAD!C4</f>
        <v>leelring 1</v>
      </c>
      <c r="G5" s="94">
        <f>'NIVEAU WAARDE - 1e toetsperiode'!G9</f>
        <v>4.5999999999999996</v>
      </c>
      <c r="H5" s="95">
        <f>'NIVEAU WAARDE - 2e toetsperiode'!G9</f>
        <v>4.8</v>
      </c>
      <c r="I5" s="96" t="str">
        <f>IF(H5=0,"",IF(H5&gt;4.5,"A-1+",IF(H5&gt;4,"A-1",IF(H5&gt;=4,"A-2",IF(H5&gt;3.4,"B-2",IF(H5&gt;=3,"B-3",IF(H5&gt;2.5,"C-3",IF(H5&gt;=2,"C-4",IF(H5&gt;1.6,"D-4",IF(H5&gt;=1,"D-5",IF(H5&gt;0.5,"E-5",IF(H5&gt;=0,"E-5-"))))))))))))</f>
        <v>A-1+</v>
      </c>
      <c r="J5" s="236" t="str">
        <f>IF(H5=0,"",IF(G5-H5&gt;0.5,"!",IF(H5-G5&gt;0.5,"*",IF(H5-G5&lt;=0.5,""))))</f>
        <v/>
      </c>
      <c r="K5" s="243">
        <f>'NIVEAU WAARDE - 1e toetsperiode'!H9</f>
        <v>2</v>
      </c>
      <c r="L5" s="97">
        <f>'NIVEAU WAARDE - 2e toetsperiode'!H9</f>
        <v>2.9</v>
      </c>
      <c r="M5" s="96" t="str">
        <f>IF(L5=0,"",IF(L5&gt;4.5,"A-1+",IF(L5&gt;4,"A-1",IF(L5&gt;=4,"A-2",IF(L5&gt;3.4,"B-2",IF(L5&gt;=3,"B-3",IF(L5&gt;2.5,"C-3",IF(L5&gt;=2,"C-4",IF(L5&gt;1.6,"D-4",IF(L5&gt;=1,"D-5",IF(L5&gt;0.5,"E-5",IF(L5&gt;=0,"E-5-"))))))))))))</f>
        <v>C-3</v>
      </c>
      <c r="N5" s="236" t="str">
        <f>IF(L5=0,"",IF(K5-L5&gt;0.5,"!",IF(L5-K5&gt;0.5,"*",IF(L5-K5&lt;=0.5,""))))</f>
        <v>*</v>
      </c>
      <c r="O5" s="100"/>
    </row>
    <row r="6" spans="1:24" ht="19.5" customHeight="1" x14ac:dyDescent="0.2">
      <c r="A6" s="89"/>
      <c r="B6" s="1132"/>
      <c r="C6" s="101" t="s">
        <v>200</v>
      </c>
      <c r="D6" s="91">
        <v>0</v>
      </c>
      <c r="E6" s="92">
        <v>2</v>
      </c>
      <c r="F6" s="93" t="str">
        <f>BEGINBLAD!C5</f>
        <v>leerling 2</v>
      </c>
      <c r="G6" s="94">
        <f>'NIVEAU WAARDE - 1e toetsperiode'!G10</f>
        <v>4.8</v>
      </c>
      <c r="H6" s="95">
        <f>'NIVEAU WAARDE - 2e toetsperiode'!G10</f>
        <v>4.8</v>
      </c>
      <c r="I6" s="96" t="str">
        <f t="shared" ref="I6:I40" si="0">IF(H6=0,"",IF(H6&gt;4.5,"A-1+",IF(H6&gt;4,"A-1",IF(H6&gt;=4,"A-2",IF(H6&gt;3.4,"B-2",IF(H6&gt;=3,"B-3",IF(H6&gt;2.5,"C-3",IF(H6&gt;=2,"C-4",IF(H6&gt;1.6,"D-4",IF(H6&gt;=1,"D-5",IF(H6&gt;0.5,"E-5",IF(H6&gt;=0,"E-5-"))))))))))))</f>
        <v>A-1+</v>
      </c>
      <c r="J6" s="236" t="str">
        <f t="shared" ref="J6:J40" si="1">IF(H6=0,"",IF(G6-H6&gt;0.5,"!",IF(H6-G6&gt;0.5,"*",IF(H6-G6&lt;=0.5,""))))</f>
        <v/>
      </c>
      <c r="K6" s="243">
        <f>'NIVEAU WAARDE - 1e toetsperiode'!H10</f>
        <v>2.9</v>
      </c>
      <c r="L6" s="97">
        <f>'NIVEAU WAARDE - 2e toetsperiode'!H10</f>
        <v>3.6</v>
      </c>
      <c r="M6" s="96" t="str">
        <f t="shared" ref="M6:M40" si="2">IF(L6=0,"",IF(L6&gt;4.5,"A-1+",IF(L6&gt;4,"A-1",IF(L6&gt;=4,"A-2",IF(L6&gt;3.4,"B-2",IF(L6&gt;=3,"B-3",IF(L6&gt;2.5,"C-3",IF(L6&gt;=2,"C-4",IF(L6&gt;1.6,"D-4",IF(L6&gt;=1,"D-5",IF(L6&gt;0.5,"E-5",IF(L6&gt;=0,"E-5-"))))))))))))</f>
        <v>B-2</v>
      </c>
      <c r="N6" s="236" t="str">
        <f t="shared" ref="N6:N40" si="3">IF(L6=0,"",IF(K6-L6&gt;0.5,"!",IF(L6-K6&gt;0.5,"*",IF(L6-K6&lt;=0.5,""))))</f>
        <v>*</v>
      </c>
      <c r="O6" s="100"/>
      <c r="R6" s="147"/>
      <c r="S6" s="147"/>
      <c r="T6" s="147"/>
      <c r="U6" s="147"/>
      <c r="V6" s="147"/>
    </row>
    <row r="7" spans="1:24" ht="19.5" customHeight="1" x14ac:dyDescent="0.2">
      <c r="A7" s="102"/>
      <c r="B7" s="326"/>
      <c r="C7" s="328"/>
      <c r="D7" s="91">
        <v>0</v>
      </c>
      <c r="E7" s="92">
        <v>3</v>
      </c>
      <c r="F7" s="93" t="str">
        <f>BEGINBLAD!C6</f>
        <v>leerling 3</v>
      </c>
      <c r="G7" s="94">
        <f>'NIVEAU WAARDE - 1e toetsperiode'!G11</f>
        <v>2.6</v>
      </c>
      <c r="H7" s="95">
        <f>'NIVEAU WAARDE - 2e toetsperiode'!G11</f>
        <v>4</v>
      </c>
      <c r="I7" s="96" t="str">
        <f t="shared" si="0"/>
        <v>A-2</v>
      </c>
      <c r="J7" s="236" t="str">
        <f t="shared" si="1"/>
        <v>*</v>
      </c>
      <c r="K7" s="243">
        <f>'NIVEAU WAARDE - 1e toetsperiode'!H11</f>
        <v>0.4</v>
      </c>
      <c r="L7" s="97">
        <f>'NIVEAU WAARDE - 2e toetsperiode'!H11</f>
        <v>2.1</v>
      </c>
      <c r="M7" s="96" t="str">
        <f t="shared" si="2"/>
        <v>C-4</v>
      </c>
      <c r="N7" s="236" t="str">
        <f t="shared" si="3"/>
        <v>*</v>
      </c>
      <c r="O7" s="100"/>
      <c r="R7" s="148"/>
      <c r="S7" s="148"/>
      <c r="T7" s="148"/>
      <c r="U7" s="148"/>
      <c r="V7" s="148"/>
    </row>
    <row r="8" spans="1:24" ht="19.5" customHeight="1" x14ac:dyDescent="0.2">
      <c r="A8" s="102"/>
      <c r="B8" s="326"/>
      <c r="C8" s="328"/>
      <c r="D8" s="105">
        <v>0</v>
      </c>
      <c r="E8" s="92">
        <v>4</v>
      </c>
      <c r="F8" s="93" t="str">
        <f>BEGINBLAD!C7</f>
        <v>leerling 4</v>
      </c>
      <c r="G8" s="94">
        <f>'NIVEAU WAARDE - 1e toetsperiode'!G12</f>
        <v>2.4</v>
      </c>
      <c r="H8" s="95">
        <f>'NIVEAU WAARDE - 2e toetsperiode'!G12</f>
        <v>2.9</v>
      </c>
      <c r="I8" s="96" t="str">
        <f t="shared" si="0"/>
        <v>C-3</v>
      </c>
      <c r="J8" s="236" t="str">
        <f t="shared" si="1"/>
        <v/>
      </c>
      <c r="K8" s="243">
        <f>'NIVEAU WAARDE - 1e toetsperiode'!H12</f>
        <v>3</v>
      </c>
      <c r="L8" s="106">
        <f>'NIVEAU WAARDE - 2e toetsperiode'!H12</f>
        <v>3.2</v>
      </c>
      <c r="M8" s="96" t="str">
        <f t="shared" si="2"/>
        <v>B-3</v>
      </c>
      <c r="N8" s="236" t="str">
        <f t="shared" si="3"/>
        <v/>
      </c>
      <c r="O8" s="107"/>
      <c r="R8" s="148"/>
      <c r="S8" s="148"/>
      <c r="T8" s="148"/>
      <c r="U8" s="148"/>
      <c r="V8" s="148"/>
    </row>
    <row r="9" spans="1:24" ht="19.5" customHeight="1" x14ac:dyDescent="0.2">
      <c r="A9" s="102"/>
      <c r="B9" s="326"/>
      <c r="C9" s="328"/>
      <c r="D9" s="108">
        <v>0</v>
      </c>
      <c r="E9" s="92">
        <v>5</v>
      </c>
      <c r="F9" s="93" t="str">
        <f>BEGINBLAD!C8</f>
        <v>leerling 5</v>
      </c>
      <c r="G9" s="94">
        <f>'NIVEAU WAARDE - 1e toetsperiode'!G13</f>
        <v>3.6</v>
      </c>
      <c r="H9" s="95">
        <f>'NIVEAU WAARDE - 2e toetsperiode'!G13</f>
        <v>3.5</v>
      </c>
      <c r="I9" s="96" t="str">
        <f t="shared" si="0"/>
        <v>B-2</v>
      </c>
      <c r="J9" s="236" t="str">
        <f t="shared" si="1"/>
        <v/>
      </c>
      <c r="K9" s="243">
        <f>'NIVEAU WAARDE - 1e toetsperiode'!H13</f>
        <v>4.2</v>
      </c>
      <c r="L9" s="329">
        <f>'NIVEAU WAARDE - 2e toetsperiode'!H13</f>
        <v>4.3</v>
      </c>
      <c r="M9" s="96" t="str">
        <f t="shared" si="2"/>
        <v>A-1</v>
      </c>
      <c r="N9" s="236" t="str">
        <f t="shared" si="3"/>
        <v/>
      </c>
      <c r="O9" s="110"/>
      <c r="R9" s="148"/>
      <c r="S9" s="148"/>
      <c r="T9" s="148"/>
      <c r="U9" s="148"/>
      <c r="V9" s="148"/>
    </row>
    <row r="10" spans="1:24" ht="19.5" customHeight="1" x14ac:dyDescent="0.2">
      <c r="A10" s="102"/>
      <c r="B10" s="326"/>
      <c r="C10" s="328"/>
      <c r="D10" s="111">
        <v>0</v>
      </c>
      <c r="E10" s="92">
        <v>6</v>
      </c>
      <c r="F10" s="93" t="str">
        <f>BEGINBLAD!C9</f>
        <v>leerling 6</v>
      </c>
      <c r="G10" s="94">
        <f>'NIVEAU WAARDE - 1e toetsperiode'!G14</f>
        <v>1.4</v>
      </c>
      <c r="H10" s="95">
        <f>'NIVEAU WAARDE - 2e toetsperiode'!G14</f>
        <v>1.7</v>
      </c>
      <c r="I10" s="96" t="str">
        <f t="shared" si="0"/>
        <v>D-4</v>
      </c>
      <c r="J10" s="236" t="str">
        <f t="shared" si="1"/>
        <v/>
      </c>
      <c r="K10" s="243">
        <f>'NIVEAU WAARDE - 1e toetsperiode'!H14</f>
        <v>0.1</v>
      </c>
      <c r="L10" s="329">
        <f>'NIVEAU WAARDE - 2e toetsperiode'!H14</f>
        <v>0.4</v>
      </c>
      <c r="M10" s="96" t="str">
        <f t="shared" si="2"/>
        <v>E-5-</v>
      </c>
      <c r="N10" s="236" t="str">
        <f t="shared" si="3"/>
        <v/>
      </c>
      <c r="O10" s="112"/>
      <c r="R10" s="148"/>
      <c r="S10" s="148"/>
      <c r="T10" s="148"/>
      <c r="U10" s="148"/>
      <c r="V10" s="148"/>
    </row>
    <row r="11" spans="1:24" ht="19.5" customHeight="1" x14ac:dyDescent="0.2">
      <c r="A11" s="102"/>
      <c r="B11" s="326"/>
      <c r="C11" s="328"/>
      <c r="D11" s="111">
        <v>0</v>
      </c>
      <c r="E11" s="92">
        <v>7</v>
      </c>
      <c r="F11" s="93" t="str">
        <f>BEGINBLAD!C10</f>
        <v>leerling 7</v>
      </c>
      <c r="G11" s="94">
        <f>'NIVEAU WAARDE - 1e toetsperiode'!G15</f>
        <v>1.5</v>
      </c>
      <c r="H11" s="95">
        <f>'NIVEAU WAARDE - 2e toetsperiode'!G15</f>
        <v>2.6</v>
      </c>
      <c r="I11" s="96" t="str">
        <f t="shared" si="0"/>
        <v>C-3</v>
      </c>
      <c r="J11" s="236" t="str">
        <f t="shared" si="1"/>
        <v>*</v>
      </c>
      <c r="K11" s="243">
        <f>'NIVEAU WAARDE - 1e toetsperiode'!H15</f>
        <v>0.4</v>
      </c>
      <c r="L11" s="329">
        <f>'NIVEAU WAARDE - 2e toetsperiode'!H15</f>
        <v>2</v>
      </c>
      <c r="M11" s="96" t="str">
        <f t="shared" si="2"/>
        <v>C-4</v>
      </c>
      <c r="N11" s="236" t="str">
        <f t="shared" si="3"/>
        <v>*</v>
      </c>
      <c r="O11" s="77"/>
      <c r="R11" s="148"/>
      <c r="S11" s="148"/>
      <c r="T11" s="148"/>
      <c r="U11" s="148"/>
      <c r="V11" s="148"/>
    </row>
    <row r="12" spans="1:24" ht="19.5" customHeight="1" x14ac:dyDescent="0.2">
      <c r="A12" s="102"/>
      <c r="B12" s="326"/>
      <c r="C12" s="328"/>
      <c r="D12" s="91">
        <v>0</v>
      </c>
      <c r="E12" s="92">
        <v>8</v>
      </c>
      <c r="F12" s="93" t="str">
        <f>BEGINBLAD!C11</f>
        <v>leerling 8</v>
      </c>
      <c r="G12" s="94">
        <f>'NIVEAU WAARDE - 1e toetsperiode'!G16</f>
        <v>4.2</v>
      </c>
      <c r="H12" s="95">
        <f>'NIVEAU WAARDE - 2e toetsperiode'!G16</f>
        <v>4.2</v>
      </c>
      <c r="I12" s="96" t="str">
        <f t="shared" si="0"/>
        <v>A-1</v>
      </c>
      <c r="J12" s="236" t="str">
        <f t="shared" si="1"/>
        <v/>
      </c>
      <c r="K12" s="243">
        <f>'NIVEAU WAARDE - 1e toetsperiode'!H16</f>
        <v>4</v>
      </c>
      <c r="L12" s="329">
        <f>'NIVEAU WAARDE - 2e toetsperiode'!H16</f>
        <v>4.2</v>
      </c>
      <c r="M12" s="96" t="str">
        <f t="shared" si="2"/>
        <v>A-1</v>
      </c>
      <c r="N12" s="236" t="str">
        <f t="shared" si="3"/>
        <v/>
      </c>
      <c r="O12" s="88"/>
      <c r="R12" s="148"/>
      <c r="S12" s="148"/>
      <c r="T12" s="148"/>
      <c r="U12" s="148"/>
      <c r="V12" s="148"/>
    </row>
    <row r="13" spans="1:24" ht="19.5" customHeight="1" x14ac:dyDescent="0.2">
      <c r="A13" s="102"/>
      <c r="B13" s="103"/>
      <c r="C13" s="689"/>
      <c r="D13" s="91">
        <v>0</v>
      </c>
      <c r="E13" s="92">
        <v>9</v>
      </c>
      <c r="F13" s="93" t="str">
        <f>BEGINBLAD!C12</f>
        <v>leerling 9</v>
      </c>
      <c r="G13" s="94">
        <f>'NIVEAU WAARDE - 1e toetsperiode'!G17</f>
        <v>3.1</v>
      </c>
      <c r="H13" s="95">
        <f>'NIVEAU WAARDE - 2e toetsperiode'!G17</f>
        <v>3.1</v>
      </c>
      <c r="I13" s="96" t="str">
        <f t="shared" si="0"/>
        <v>B-3</v>
      </c>
      <c r="J13" s="236" t="str">
        <f t="shared" si="1"/>
        <v/>
      </c>
      <c r="K13" s="243">
        <f>'NIVEAU WAARDE - 1e toetsperiode'!H17</f>
        <v>0.6</v>
      </c>
      <c r="L13" s="329">
        <f>'NIVEAU WAARDE - 2e toetsperiode'!H17</f>
        <v>0.2</v>
      </c>
      <c r="M13" s="96" t="str">
        <f t="shared" si="2"/>
        <v>E-5-</v>
      </c>
      <c r="N13" s="236" t="str">
        <f t="shared" si="3"/>
        <v/>
      </c>
      <c r="O13" s="100"/>
      <c r="R13" s="149"/>
      <c r="S13" s="149"/>
      <c r="T13" s="149"/>
      <c r="U13" s="149"/>
      <c r="V13" s="149"/>
    </row>
    <row r="14" spans="1:24" ht="19.5" customHeight="1" thickBot="1" x14ac:dyDescent="0.25">
      <c r="A14" s="102"/>
      <c r="B14" s="103"/>
      <c r="C14" s="689"/>
      <c r="D14" s="91">
        <v>0</v>
      </c>
      <c r="E14" s="92">
        <v>10</v>
      </c>
      <c r="F14" s="93" t="str">
        <f>BEGINBLAD!C13</f>
        <v>leerling 10</v>
      </c>
      <c r="G14" s="94">
        <f>'NIVEAU WAARDE - 1e toetsperiode'!G18</f>
        <v>1.9</v>
      </c>
      <c r="H14" s="95">
        <f>'NIVEAU WAARDE - 2e toetsperiode'!G18</f>
        <v>0.9</v>
      </c>
      <c r="I14" s="96" t="str">
        <f t="shared" si="0"/>
        <v>E-5</v>
      </c>
      <c r="J14" s="236" t="str">
        <f t="shared" si="1"/>
        <v>!</v>
      </c>
      <c r="K14" s="243">
        <f>'NIVEAU WAARDE - 1e toetsperiode'!H18</f>
        <v>1.4</v>
      </c>
      <c r="L14" s="329">
        <f>'NIVEAU WAARDE - 2e toetsperiode'!H18</f>
        <v>2.2999999999999998</v>
      </c>
      <c r="M14" s="96" t="str">
        <f t="shared" si="2"/>
        <v>C-4</v>
      </c>
      <c r="N14" s="236" t="str">
        <f t="shared" si="3"/>
        <v>*</v>
      </c>
      <c r="O14" s="107"/>
      <c r="P14" s="113" t="s">
        <v>109</v>
      </c>
      <c r="R14" s="149"/>
      <c r="S14" s="149"/>
      <c r="T14" s="149"/>
      <c r="U14" s="149"/>
      <c r="V14" s="149"/>
    </row>
    <row r="15" spans="1:24" ht="19.5" customHeight="1" x14ac:dyDescent="0.2">
      <c r="A15" s="102"/>
      <c r="B15" s="103"/>
      <c r="C15" s="689"/>
      <c r="D15" s="91">
        <v>0</v>
      </c>
      <c r="E15" s="92">
        <v>11</v>
      </c>
      <c r="F15" s="93" t="str">
        <f>BEGINBLAD!C14</f>
        <v>leerling 11</v>
      </c>
      <c r="G15" s="94">
        <f>'NIVEAU WAARDE - 1e toetsperiode'!G19</f>
        <v>3</v>
      </c>
      <c r="H15" s="95">
        <f>'NIVEAU WAARDE - 2e toetsperiode'!G19</f>
        <v>4.4000000000000004</v>
      </c>
      <c r="I15" s="96" t="str">
        <f t="shared" si="0"/>
        <v>A-1</v>
      </c>
      <c r="J15" s="236" t="str">
        <f t="shared" si="1"/>
        <v>*</v>
      </c>
      <c r="K15" s="243">
        <f>'NIVEAU WAARDE - 1e toetsperiode'!H19</f>
        <v>1.4</v>
      </c>
      <c r="L15" s="329">
        <f>'NIVEAU WAARDE - 2e toetsperiode'!H19</f>
        <v>0.3</v>
      </c>
      <c r="M15" s="96" t="str">
        <f t="shared" si="2"/>
        <v>E-5-</v>
      </c>
      <c r="N15" s="236" t="str">
        <f t="shared" si="3"/>
        <v>!</v>
      </c>
      <c r="O15" s="1191" t="s">
        <v>135</v>
      </c>
      <c r="P15" s="1194">
        <f>'INTENSIEF - 2e periode'!F17</f>
        <v>0</v>
      </c>
      <c r="R15" s="149"/>
      <c r="S15" s="149"/>
      <c r="T15" s="149"/>
      <c r="U15" s="149"/>
      <c r="V15" s="149"/>
    </row>
    <row r="16" spans="1:24" ht="19.5" customHeight="1" x14ac:dyDescent="0.2">
      <c r="A16" s="102"/>
      <c r="B16" s="103"/>
      <c r="C16" s="689"/>
      <c r="D16" s="91">
        <v>0</v>
      </c>
      <c r="E16" s="92">
        <v>12</v>
      </c>
      <c r="F16" s="93" t="str">
        <f>BEGINBLAD!C15</f>
        <v>leerling 12</v>
      </c>
      <c r="G16" s="94">
        <f>'NIVEAU WAARDE - 1e toetsperiode'!G20</f>
        <v>1.1000000000000001</v>
      </c>
      <c r="H16" s="95">
        <f>'NIVEAU WAARDE - 2e toetsperiode'!G20</f>
        <v>2.6</v>
      </c>
      <c r="I16" s="96" t="str">
        <f t="shared" si="0"/>
        <v>C-3</v>
      </c>
      <c r="J16" s="236" t="str">
        <f t="shared" si="1"/>
        <v>*</v>
      </c>
      <c r="K16" s="243">
        <f>'NIVEAU WAARDE - 1e toetsperiode'!H20</f>
        <v>3.2</v>
      </c>
      <c r="L16" s="329">
        <f>'NIVEAU WAARDE - 2e toetsperiode'!H20</f>
        <v>2</v>
      </c>
      <c r="M16" s="96" t="str">
        <f t="shared" si="2"/>
        <v>C-4</v>
      </c>
      <c r="N16" s="236" t="str">
        <f t="shared" si="3"/>
        <v>!</v>
      </c>
      <c r="O16" s="1192"/>
      <c r="P16" s="1195"/>
      <c r="R16" s="149"/>
      <c r="S16" s="149"/>
      <c r="T16" s="149"/>
      <c r="U16" s="149"/>
      <c r="V16" s="149"/>
    </row>
    <row r="17" spans="1:24" ht="19.5" customHeight="1" x14ac:dyDescent="0.2">
      <c r="A17" s="102"/>
      <c r="B17" s="103"/>
      <c r="C17" s="689"/>
      <c r="D17" s="105">
        <v>0</v>
      </c>
      <c r="E17" s="92">
        <v>13</v>
      </c>
      <c r="F17" s="93" t="str">
        <f>BEGINBLAD!C16</f>
        <v>leerling 13</v>
      </c>
      <c r="G17" s="94">
        <f>'NIVEAU WAARDE - 1e toetsperiode'!G21</f>
        <v>2.6</v>
      </c>
      <c r="H17" s="95">
        <f>'NIVEAU WAARDE - 2e toetsperiode'!G21</f>
        <v>3.3</v>
      </c>
      <c r="I17" s="96" t="str">
        <f t="shared" si="0"/>
        <v>B-3</v>
      </c>
      <c r="J17" s="236" t="str">
        <f t="shared" si="1"/>
        <v>*</v>
      </c>
      <c r="K17" s="243">
        <f>'NIVEAU WAARDE - 1e toetsperiode'!H21</f>
        <v>3.3</v>
      </c>
      <c r="L17" s="329">
        <f>'NIVEAU WAARDE - 2e toetsperiode'!H21</f>
        <v>3.5</v>
      </c>
      <c r="M17" s="96" t="str">
        <f t="shared" si="2"/>
        <v>B-2</v>
      </c>
      <c r="N17" s="236" t="str">
        <f t="shared" si="3"/>
        <v/>
      </c>
      <c r="O17" s="1198" t="s">
        <v>137</v>
      </c>
      <c r="P17" s="1196">
        <f>'INTENSIEF - 2e periode'!F19</f>
        <v>0</v>
      </c>
      <c r="R17" s="120"/>
      <c r="S17" s="120"/>
      <c r="T17" s="120"/>
      <c r="U17" s="120"/>
      <c r="V17" s="120"/>
    </row>
    <row r="18" spans="1:24" ht="19.5" customHeight="1" x14ac:dyDescent="0.2">
      <c r="A18" s="102"/>
      <c r="B18" s="103"/>
      <c r="C18" s="689"/>
      <c r="D18" s="111">
        <v>0</v>
      </c>
      <c r="E18" s="92">
        <v>14</v>
      </c>
      <c r="F18" s="93" t="str">
        <f>BEGINBLAD!C17</f>
        <v>leerling 14</v>
      </c>
      <c r="G18" s="94">
        <f>'NIVEAU WAARDE - 1e toetsperiode'!G22</f>
        <v>2.6</v>
      </c>
      <c r="H18" s="95">
        <f>'NIVEAU WAARDE - 2e toetsperiode'!G22</f>
        <v>3.1</v>
      </c>
      <c r="I18" s="96" t="str">
        <f t="shared" si="0"/>
        <v>B-3</v>
      </c>
      <c r="J18" s="236" t="str">
        <f t="shared" si="1"/>
        <v/>
      </c>
      <c r="K18" s="243">
        <f>'NIVEAU WAARDE - 1e toetsperiode'!H22</f>
        <v>4.7</v>
      </c>
      <c r="L18" s="329">
        <f>'NIVEAU WAARDE - 2e toetsperiode'!H22</f>
        <v>5</v>
      </c>
      <c r="M18" s="96" t="str">
        <f t="shared" si="2"/>
        <v>A-1+</v>
      </c>
      <c r="N18" s="236" t="str">
        <f t="shared" si="3"/>
        <v/>
      </c>
      <c r="O18" s="1198"/>
      <c r="P18" s="1196"/>
      <c r="Q18" s="89"/>
      <c r="R18" s="114"/>
      <c r="S18" s="114"/>
      <c r="T18" s="114"/>
      <c r="U18" s="114"/>
      <c r="V18" s="114"/>
      <c r="W18" s="114"/>
    </row>
    <row r="19" spans="1:24" ht="19.5" customHeight="1" x14ac:dyDescent="0.2">
      <c r="D19" s="111">
        <v>0</v>
      </c>
      <c r="E19" s="92">
        <v>15</v>
      </c>
      <c r="F19" s="93" t="str">
        <f>BEGINBLAD!C18</f>
        <v>leerling 15</v>
      </c>
      <c r="G19" s="94">
        <f>'NIVEAU WAARDE - 1e toetsperiode'!G23</f>
        <v>1.7</v>
      </c>
      <c r="H19" s="95">
        <f>'NIVEAU WAARDE - 2e toetsperiode'!G23</f>
        <v>3.2</v>
      </c>
      <c r="I19" s="96" t="str">
        <f t="shared" si="0"/>
        <v>B-3</v>
      </c>
      <c r="J19" s="236" t="str">
        <f t="shared" si="1"/>
        <v>*</v>
      </c>
      <c r="K19" s="124">
        <f>'NIVEAU WAARDE - 1e toetsperiode'!H23</f>
        <v>2.4</v>
      </c>
      <c r="L19" s="106">
        <f>'NIVEAU WAARDE - 2e toetsperiode'!H23</f>
        <v>3.1</v>
      </c>
      <c r="M19" s="96" t="str">
        <f t="shared" si="2"/>
        <v>B-3</v>
      </c>
      <c r="N19" s="236" t="str">
        <f t="shared" si="3"/>
        <v>*</v>
      </c>
      <c r="O19" s="1198"/>
      <c r="P19" s="1196"/>
      <c r="Q19" s="116"/>
      <c r="R19" s="117"/>
      <c r="S19" s="117"/>
      <c r="T19" s="117"/>
      <c r="U19" s="118"/>
      <c r="V19" s="118"/>
      <c r="W19" s="118"/>
      <c r="X19" s="119"/>
    </row>
    <row r="20" spans="1:24" ht="19.5" customHeight="1" x14ac:dyDescent="0.2">
      <c r="D20" s="111">
        <v>0</v>
      </c>
      <c r="E20" s="92">
        <v>16</v>
      </c>
      <c r="F20" s="93" t="str">
        <f>BEGINBLAD!C19</f>
        <v>leerling 16</v>
      </c>
      <c r="G20" s="94">
        <f>'NIVEAU WAARDE - 1e toetsperiode'!G24</f>
        <v>3.6</v>
      </c>
      <c r="H20" s="95">
        <f>'NIVEAU WAARDE - 2e toetsperiode'!G24</f>
        <v>3.3</v>
      </c>
      <c r="I20" s="96" t="str">
        <f t="shared" si="0"/>
        <v>B-3</v>
      </c>
      <c r="J20" s="236" t="str">
        <f t="shared" si="1"/>
        <v/>
      </c>
      <c r="K20" s="124">
        <f>'NIVEAU WAARDE - 1e toetsperiode'!H24</f>
        <v>3.1</v>
      </c>
      <c r="L20" s="106">
        <f>'NIVEAU WAARDE - 2e toetsperiode'!H24</f>
        <v>2.1</v>
      </c>
      <c r="M20" s="96" t="str">
        <f t="shared" si="2"/>
        <v>C-4</v>
      </c>
      <c r="N20" s="236" t="str">
        <f t="shared" si="3"/>
        <v>!</v>
      </c>
      <c r="O20" s="1198"/>
      <c r="P20" s="1196"/>
      <c r="Q20" s="116"/>
      <c r="R20" s="120"/>
      <c r="S20" s="120"/>
      <c r="T20" s="120"/>
      <c r="U20" s="120"/>
      <c r="V20" s="120"/>
      <c r="W20" s="120"/>
    </row>
    <row r="21" spans="1:24" ht="19.5" customHeight="1" x14ac:dyDescent="0.2">
      <c r="D21" s="111">
        <v>0</v>
      </c>
      <c r="E21" s="92">
        <v>17</v>
      </c>
      <c r="F21" s="93" t="str">
        <f>BEGINBLAD!C20</f>
        <v>leerling 17</v>
      </c>
      <c r="G21" s="94">
        <f>'NIVEAU WAARDE - 1e toetsperiode'!G25</f>
        <v>2.8</v>
      </c>
      <c r="H21" s="95">
        <f>'NIVEAU WAARDE - 2e toetsperiode'!G25</f>
        <v>3.6</v>
      </c>
      <c r="I21" s="96" t="str">
        <f t="shared" si="0"/>
        <v>B-2</v>
      </c>
      <c r="J21" s="236" t="str">
        <f t="shared" si="1"/>
        <v>*</v>
      </c>
      <c r="K21" s="124">
        <f>'NIVEAU WAARDE - 1e toetsperiode'!H25</f>
        <v>4.5999999999999996</v>
      </c>
      <c r="L21" s="121">
        <f>'NIVEAU WAARDE - 2e toetsperiode'!H25</f>
        <v>4.5999999999999996</v>
      </c>
      <c r="M21" s="96" t="str">
        <f t="shared" si="2"/>
        <v>A-1+</v>
      </c>
      <c r="N21" s="236" t="str">
        <f t="shared" si="3"/>
        <v/>
      </c>
      <c r="O21" s="1198"/>
      <c r="P21" s="1196"/>
      <c r="Q21" s="116"/>
      <c r="R21" s="120"/>
      <c r="S21" s="120"/>
      <c r="T21" s="120"/>
      <c r="U21" s="120"/>
      <c r="V21" s="120"/>
      <c r="W21" s="120"/>
    </row>
    <row r="22" spans="1:24" ht="19.5" customHeight="1" x14ac:dyDescent="0.2">
      <c r="D22" s="111">
        <v>0</v>
      </c>
      <c r="E22" s="92">
        <v>18</v>
      </c>
      <c r="F22" s="93" t="str">
        <f>BEGINBLAD!C21</f>
        <v>leerling 18</v>
      </c>
      <c r="G22" s="94">
        <f>'NIVEAU WAARDE - 1e toetsperiode'!G26</f>
        <v>4</v>
      </c>
      <c r="H22" s="95">
        <f>'NIVEAU WAARDE - 2e toetsperiode'!G26</f>
        <v>3.5</v>
      </c>
      <c r="I22" s="96" t="str">
        <f t="shared" si="0"/>
        <v>B-2</v>
      </c>
      <c r="J22" s="236" t="str">
        <f t="shared" si="1"/>
        <v/>
      </c>
      <c r="K22" s="124">
        <f>'NIVEAU WAARDE - 1e toetsperiode'!H26</f>
        <v>3</v>
      </c>
      <c r="L22" s="97">
        <f>'NIVEAU WAARDE - 2e toetsperiode'!H26</f>
        <v>3.4</v>
      </c>
      <c r="M22" s="96" t="str">
        <f t="shared" si="2"/>
        <v>B-3</v>
      </c>
      <c r="N22" s="236" t="str">
        <f t="shared" si="3"/>
        <v/>
      </c>
      <c r="O22" s="1198"/>
      <c r="P22" s="1196"/>
      <c r="Q22" s="116"/>
      <c r="R22" s="120"/>
      <c r="S22" s="120"/>
      <c r="T22" s="120"/>
      <c r="U22" s="120"/>
      <c r="V22" s="120"/>
      <c r="W22" s="120"/>
    </row>
    <row r="23" spans="1:24" ht="19.5" customHeight="1" x14ac:dyDescent="0.2">
      <c r="B23" s="122"/>
      <c r="C23" s="122"/>
      <c r="D23" s="111">
        <v>0</v>
      </c>
      <c r="E23" s="92">
        <v>19</v>
      </c>
      <c r="F23" s="93" t="str">
        <f>BEGINBLAD!C22</f>
        <v>leerling 19</v>
      </c>
      <c r="G23" s="94">
        <f>'NIVEAU WAARDE - 1e toetsperiode'!G27</f>
        <v>3.6</v>
      </c>
      <c r="H23" s="95">
        <f>'NIVEAU WAARDE - 2e toetsperiode'!G27</f>
        <v>2.9</v>
      </c>
      <c r="I23" s="96" t="str">
        <f t="shared" si="0"/>
        <v>C-3</v>
      </c>
      <c r="J23" s="236" t="str">
        <f t="shared" si="1"/>
        <v>!</v>
      </c>
      <c r="K23" s="124">
        <f>'NIVEAU WAARDE - 1e toetsperiode'!H27</f>
        <v>1.4</v>
      </c>
      <c r="L23" s="121">
        <f>'NIVEAU WAARDE - 2e toetsperiode'!H27</f>
        <v>2.9</v>
      </c>
      <c r="M23" s="96" t="str">
        <f t="shared" si="2"/>
        <v>C-3</v>
      </c>
      <c r="N23" s="236" t="str">
        <f t="shared" si="3"/>
        <v>*</v>
      </c>
      <c r="O23" s="1198"/>
      <c r="P23" s="1196"/>
    </row>
    <row r="24" spans="1:24" ht="19.5" customHeight="1" thickBot="1" x14ac:dyDescent="0.25">
      <c r="B24" s="123"/>
      <c r="C24" s="122"/>
      <c r="D24" s="111">
        <v>0</v>
      </c>
      <c r="E24" s="92">
        <v>20</v>
      </c>
      <c r="F24" s="93" t="str">
        <f>BEGINBLAD!C23</f>
        <v>leerling 20</v>
      </c>
      <c r="G24" s="94">
        <f>'NIVEAU WAARDE - 1e toetsperiode'!G28</f>
        <v>3.6</v>
      </c>
      <c r="H24" s="95">
        <f>'NIVEAU WAARDE - 2e toetsperiode'!G28</f>
        <v>4.5</v>
      </c>
      <c r="I24" s="96" t="str">
        <f t="shared" si="0"/>
        <v>A-1</v>
      </c>
      <c r="J24" s="236" t="str">
        <f t="shared" si="1"/>
        <v>*</v>
      </c>
      <c r="K24" s="124">
        <f>'NIVEAU WAARDE - 1e toetsperiode'!H28</f>
        <v>4.2</v>
      </c>
      <c r="L24" s="121">
        <f>'NIVEAU WAARDE - 2e toetsperiode'!H28</f>
        <v>4.3</v>
      </c>
      <c r="M24" s="96" t="str">
        <f t="shared" si="2"/>
        <v>A-1</v>
      </c>
      <c r="N24" s="236" t="str">
        <f t="shared" si="3"/>
        <v/>
      </c>
      <c r="O24" s="1199"/>
      <c r="P24" s="1197"/>
      <c r="Q24" s="116"/>
      <c r="R24" s="120"/>
      <c r="S24" s="120"/>
      <c r="T24" s="120"/>
      <c r="U24" s="120"/>
      <c r="V24" s="120"/>
      <c r="W24" s="120"/>
    </row>
    <row r="25" spans="1:24" ht="19.5" customHeight="1" thickBot="1" x14ac:dyDescent="0.25">
      <c r="B25" s="123"/>
      <c r="C25" s="122"/>
      <c r="D25" s="111">
        <v>0</v>
      </c>
      <c r="E25" s="92">
        <v>21</v>
      </c>
      <c r="F25" s="93" t="str">
        <f>BEGINBLAD!C24</f>
        <v>leerling 21</v>
      </c>
      <c r="G25" s="94">
        <f>'NIVEAU WAARDE - 1e toetsperiode'!G29</f>
        <v>2.2999999999999998</v>
      </c>
      <c r="H25" s="95">
        <f>'NIVEAU WAARDE - 2e toetsperiode'!G29</f>
        <v>2.2000000000000002</v>
      </c>
      <c r="I25" s="96" t="str">
        <f t="shared" si="0"/>
        <v>C-4</v>
      </c>
      <c r="J25" s="236" t="str">
        <f t="shared" si="1"/>
        <v/>
      </c>
      <c r="K25" s="124">
        <f>'NIVEAU WAARDE - 1e toetsperiode'!H29</f>
        <v>3.3</v>
      </c>
      <c r="L25" s="121">
        <f>'NIVEAU WAARDE - 2e toetsperiode'!H29</f>
        <v>4</v>
      </c>
      <c r="M25" s="96" t="str">
        <f t="shared" si="2"/>
        <v>A-2</v>
      </c>
      <c r="N25" s="236" t="str">
        <f t="shared" si="3"/>
        <v>*</v>
      </c>
      <c r="O25" s="107"/>
      <c r="P25" s="113" t="s">
        <v>282</v>
      </c>
      <c r="Q25" s="116"/>
      <c r="R25" s="120"/>
      <c r="S25" s="120"/>
      <c r="T25" s="120"/>
      <c r="U25" s="120"/>
      <c r="V25" s="120"/>
      <c r="W25" s="120"/>
    </row>
    <row r="26" spans="1:24" ht="19.5" customHeight="1" x14ac:dyDescent="0.2">
      <c r="D26" s="111">
        <v>0</v>
      </c>
      <c r="E26" s="92">
        <v>22</v>
      </c>
      <c r="F26" s="93" t="str">
        <f>BEGINBLAD!C25</f>
        <v>leerling 22</v>
      </c>
      <c r="G26" s="94">
        <f>'NIVEAU WAARDE - 1e toetsperiode'!G30</f>
        <v>1.5</v>
      </c>
      <c r="H26" s="95">
        <f>'NIVEAU WAARDE - 2e toetsperiode'!G30</f>
        <v>3.6</v>
      </c>
      <c r="I26" s="96" t="str">
        <f t="shared" si="0"/>
        <v>B-2</v>
      </c>
      <c r="J26" s="236" t="str">
        <f t="shared" si="1"/>
        <v>*</v>
      </c>
      <c r="K26" s="124">
        <f>'NIVEAU WAARDE - 1e toetsperiode'!H30</f>
        <v>1.6</v>
      </c>
      <c r="L26" s="121">
        <f>'NIVEAU WAARDE - 2e toetsperiode'!H30</f>
        <v>2.5</v>
      </c>
      <c r="M26" s="96" t="str">
        <f t="shared" si="2"/>
        <v>C-4</v>
      </c>
      <c r="N26" s="236" t="str">
        <f t="shared" si="3"/>
        <v>*</v>
      </c>
      <c r="O26" s="1191" t="s">
        <v>135</v>
      </c>
      <c r="P26" s="1194">
        <f>'BASISAANPAK - 2e periode'!F17</f>
        <v>0</v>
      </c>
      <c r="Q26" s="89"/>
      <c r="R26" s="114"/>
      <c r="S26" s="114"/>
      <c r="T26" s="114"/>
      <c r="U26" s="114"/>
      <c r="V26" s="114"/>
      <c r="W26" s="114"/>
    </row>
    <row r="27" spans="1:24" s="126" customFormat="1" ht="19.5" customHeight="1" x14ac:dyDescent="0.4">
      <c r="A27" s="89"/>
      <c r="B27" s="1132" t="s">
        <v>43</v>
      </c>
      <c r="C27" s="90" t="s">
        <v>210</v>
      </c>
      <c r="D27" s="105">
        <v>0</v>
      </c>
      <c r="E27" s="92">
        <v>23</v>
      </c>
      <c r="F27" s="93" t="str">
        <f>BEGINBLAD!C26</f>
        <v>leerling 23</v>
      </c>
      <c r="G27" s="94">
        <f>'NIVEAU WAARDE - 1e toetsperiode'!G31</f>
        <v>3.8</v>
      </c>
      <c r="H27" s="95">
        <f>'NIVEAU WAARDE - 2e toetsperiode'!G31</f>
        <v>3.6</v>
      </c>
      <c r="I27" s="96" t="str">
        <f t="shared" si="0"/>
        <v>B-2</v>
      </c>
      <c r="J27" s="236" t="str">
        <f t="shared" si="1"/>
        <v/>
      </c>
      <c r="K27" s="124">
        <f>'NIVEAU WAARDE - 1e toetsperiode'!H31</f>
        <v>3.9</v>
      </c>
      <c r="L27" s="121">
        <f>'NIVEAU WAARDE - 2e toetsperiode'!H31</f>
        <v>3.7</v>
      </c>
      <c r="M27" s="96" t="str">
        <f t="shared" si="2"/>
        <v>B-2</v>
      </c>
      <c r="N27" s="236" t="str">
        <f t="shared" si="3"/>
        <v/>
      </c>
      <c r="O27" s="1192"/>
      <c r="P27" s="1195"/>
      <c r="Q27" s="125"/>
      <c r="R27" s="125"/>
      <c r="S27" s="125"/>
      <c r="T27" s="125"/>
      <c r="U27" s="125"/>
      <c r="V27" s="125"/>
      <c r="W27" s="125"/>
    </row>
    <row r="28" spans="1:24" ht="19.5" customHeight="1" x14ac:dyDescent="0.4">
      <c r="A28" s="89"/>
      <c r="B28" s="1132"/>
      <c r="C28" s="101" t="s">
        <v>200</v>
      </c>
      <c r="D28" s="105">
        <v>0</v>
      </c>
      <c r="E28" s="92">
        <v>24</v>
      </c>
      <c r="F28" s="93" t="str">
        <f>BEGINBLAD!C27</f>
        <v>leerling 24</v>
      </c>
      <c r="G28" s="94">
        <f>'NIVEAU WAARDE - 1e toetsperiode'!G32</f>
        <v>4.8</v>
      </c>
      <c r="H28" s="95">
        <f>'NIVEAU WAARDE - 2e toetsperiode'!G32</f>
        <v>4.8</v>
      </c>
      <c r="I28" s="96" t="str">
        <f t="shared" si="0"/>
        <v>A-1+</v>
      </c>
      <c r="J28" s="236" t="str">
        <f t="shared" si="1"/>
        <v/>
      </c>
      <c r="K28" s="124">
        <f>'NIVEAU WAARDE - 1e toetsperiode'!H32</f>
        <v>4.8</v>
      </c>
      <c r="L28" s="121">
        <f>'NIVEAU WAARDE - 2e toetsperiode'!H32</f>
        <v>4.9000000000000004</v>
      </c>
      <c r="M28" s="96" t="str">
        <f t="shared" si="2"/>
        <v>A-1+</v>
      </c>
      <c r="N28" s="236" t="str">
        <f t="shared" si="3"/>
        <v/>
      </c>
      <c r="O28" s="1192" t="s">
        <v>137</v>
      </c>
      <c r="P28" s="1200">
        <f>'BASISAANPAK - 2e periode'!F19</f>
        <v>0</v>
      </c>
      <c r="Q28" s="77"/>
      <c r="R28" s="127"/>
      <c r="S28" s="88"/>
      <c r="T28" s="88"/>
      <c r="U28" s="88"/>
      <c r="V28" s="88"/>
      <c r="W28" s="88"/>
    </row>
    <row r="29" spans="1:24" ht="19.5" customHeight="1" x14ac:dyDescent="0.2">
      <c r="A29" s="102"/>
      <c r="B29" s="103"/>
      <c r="C29" s="689"/>
      <c r="D29" s="91">
        <v>0</v>
      </c>
      <c r="E29" s="92">
        <v>25</v>
      </c>
      <c r="F29" s="93" t="str">
        <f>BEGINBLAD!C28</f>
        <v>leerling 25</v>
      </c>
      <c r="G29" s="94">
        <f>'NIVEAU WAARDE - 1e toetsperiode'!G33</f>
        <v>2.5</v>
      </c>
      <c r="H29" s="95">
        <f>'NIVEAU WAARDE - 2e toetsperiode'!G33</f>
        <v>3.4</v>
      </c>
      <c r="I29" s="96" t="str">
        <f t="shared" si="0"/>
        <v>B-3</v>
      </c>
      <c r="J29" s="236" t="str">
        <f t="shared" si="1"/>
        <v>*</v>
      </c>
      <c r="K29" s="124">
        <f>'NIVEAU WAARDE - 1e toetsperiode'!H33</f>
        <v>1.7</v>
      </c>
      <c r="L29" s="121">
        <f>'NIVEAU WAARDE - 2e toetsperiode'!H33</f>
        <v>2.2999999999999998</v>
      </c>
      <c r="M29" s="96" t="str">
        <f t="shared" si="2"/>
        <v>C-4</v>
      </c>
      <c r="N29" s="236" t="str">
        <f t="shared" si="3"/>
        <v>*</v>
      </c>
      <c r="O29" s="1192"/>
      <c r="P29" s="1200"/>
      <c r="Q29" s="128"/>
      <c r="R29" s="117"/>
      <c r="S29" s="117"/>
      <c r="T29" s="117"/>
      <c r="U29" s="117"/>
      <c r="V29" s="117"/>
      <c r="W29" s="117"/>
    </row>
    <row r="30" spans="1:24" ht="19.5" customHeight="1" x14ac:dyDescent="0.2">
      <c r="A30" s="102"/>
      <c r="B30" s="103"/>
      <c r="C30" s="689"/>
      <c r="D30" s="91">
        <v>0</v>
      </c>
      <c r="E30" s="92">
        <v>26</v>
      </c>
      <c r="F30" s="93" t="str">
        <f>BEGINBLAD!C29</f>
        <v>leerling 26</v>
      </c>
      <c r="G30" s="94">
        <f>'NIVEAU WAARDE - 1e toetsperiode'!G34</f>
        <v>3.1</v>
      </c>
      <c r="H30" s="95">
        <f>'NIVEAU WAARDE - 2e toetsperiode'!G34</f>
        <v>3</v>
      </c>
      <c r="I30" s="96" t="str">
        <f t="shared" si="0"/>
        <v>B-3</v>
      </c>
      <c r="J30" s="236" t="str">
        <f t="shared" si="1"/>
        <v/>
      </c>
      <c r="K30" s="124">
        <f>'NIVEAU WAARDE - 1e toetsperiode'!H34</f>
        <v>1.2</v>
      </c>
      <c r="L30" s="121">
        <f>'NIVEAU WAARDE - 2e toetsperiode'!H34</f>
        <v>1.4</v>
      </c>
      <c r="M30" s="96" t="str">
        <f t="shared" si="2"/>
        <v>D-5</v>
      </c>
      <c r="N30" s="236" t="str">
        <f t="shared" si="3"/>
        <v/>
      </c>
      <c r="O30" s="1192"/>
      <c r="P30" s="1200"/>
      <c r="Q30" s="116"/>
      <c r="R30" s="120"/>
      <c r="S30" s="120"/>
      <c r="T30" s="120"/>
      <c r="U30" s="120"/>
      <c r="V30" s="120"/>
      <c r="W30" s="120"/>
    </row>
    <row r="31" spans="1:24" ht="19.5" customHeight="1" x14ac:dyDescent="0.2">
      <c r="A31" s="102"/>
      <c r="B31" s="103"/>
      <c r="C31" s="689"/>
      <c r="D31" s="91">
        <v>0</v>
      </c>
      <c r="E31" s="92">
        <v>27</v>
      </c>
      <c r="F31" s="93">
        <f>BEGINBLAD!C30</f>
        <v>0</v>
      </c>
      <c r="G31" s="94">
        <f>'NIVEAU WAARDE - 1e toetsperiode'!G35</f>
        <v>0</v>
      </c>
      <c r="H31" s="95">
        <f>'NIVEAU WAARDE - 2e toetsperiode'!G35</f>
        <v>0</v>
      </c>
      <c r="I31" s="96" t="str">
        <f t="shared" si="0"/>
        <v/>
      </c>
      <c r="J31" s="236" t="str">
        <f t="shared" si="1"/>
        <v/>
      </c>
      <c r="K31" s="124">
        <f>'NIVEAU WAARDE - 1e toetsperiode'!H35</f>
        <v>0</v>
      </c>
      <c r="L31" s="121">
        <f>'NIVEAU WAARDE - 2e toetsperiode'!H35</f>
        <v>0</v>
      </c>
      <c r="M31" s="96" t="str">
        <f t="shared" si="2"/>
        <v/>
      </c>
      <c r="N31" s="236" t="str">
        <f t="shared" si="3"/>
        <v/>
      </c>
      <c r="O31" s="1192"/>
      <c r="P31" s="1200"/>
      <c r="Q31" s="116"/>
      <c r="R31" s="120"/>
      <c r="S31" s="120"/>
      <c r="T31" s="120"/>
      <c r="U31" s="120"/>
      <c r="V31" s="120"/>
      <c r="W31" s="120"/>
    </row>
    <row r="32" spans="1:24" ht="19.5" customHeight="1" x14ac:dyDescent="0.2">
      <c r="A32" s="102"/>
      <c r="B32" s="103"/>
      <c r="C32" s="689"/>
      <c r="D32" s="91">
        <v>0</v>
      </c>
      <c r="E32" s="92">
        <v>28</v>
      </c>
      <c r="F32" s="93">
        <f>BEGINBLAD!C31</f>
        <v>0</v>
      </c>
      <c r="G32" s="94">
        <f>'NIVEAU WAARDE - 1e toetsperiode'!G36</f>
        <v>0</v>
      </c>
      <c r="H32" s="95">
        <f>'NIVEAU WAARDE - 2e toetsperiode'!G36</f>
        <v>0</v>
      </c>
      <c r="I32" s="96" t="str">
        <f t="shared" si="0"/>
        <v/>
      </c>
      <c r="J32" s="236" t="str">
        <f t="shared" si="1"/>
        <v/>
      </c>
      <c r="K32" s="124">
        <f>'NIVEAU WAARDE - 1e toetsperiode'!H36</f>
        <v>0</v>
      </c>
      <c r="L32" s="121">
        <f>'NIVEAU WAARDE - 2e toetsperiode'!H36</f>
        <v>0</v>
      </c>
      <c r="M32" s="96" t="str">
        <f t="shared" si="2"/>
        <v/>
      </c>
      <c r="N32" s="236" t="str">
        <f t="shared" si="3"/>
        <v/>
      </c>
      <c r="O32" s="1192"/>
      <c r="P32" s="1200"/>
      <c r="Q32" s="116"/>
      <c r="R32" s="120"/>
      <c r="S32" s="120"/>
      <c r="T32" s="120"/>
      <c r="U32" s="120"/>
      <c r="V32" s="120"/>
      <c r="W32" s="120"/>
    </row>
    <row r="33" spans="1:27" ht="19.5" customHeight="1" x14ac:dyDescent="0.2">
      <c r="A33" s="102"/>
      <c r="B33" s="103"/>
      <c r="C33" s="689"/>
      <c r="D33" s="91">
        <v>0</v>
      </c>
      <c r="E33" s="92">
        <v>29</v>
      </c>
      <c r="F33" s="93">
        <f>BEGINBLAD!C32</f>
        <v>0</v>
      </c>
      <c r="G33" s="94">
        <f>'NIVEAU WAARDE - 1e toetsperiode'!G37</f>
        <v>0</v>
      </c>
      <c r="H33" s="95">
        <f>'NIVEAU WAARDE - 2e toetsperiode'!G37</f>
        <v>0</v>
      </c>
      <c r="I33" s="96" t="str">
        <f t="shared" si="0"/>
        <v/>
      </c>
      <c r="J33" s="236" t="str">
        <f t="shared" si="1"/>
        <v/>
      </c>
      <c r="K33" s="124">
        <f>'NIVEAU WAARDE - 1e toetsperiode'!H37</f>
        <v>0</v>
      </c>
      <c r="L33" s="121">
        <f>'NIVEAU WAARDE - 2e toetsperiode'!H37</f>
        <v>0</v>
      </c>
      <c r="M33" s="96" t="str">
        <f t="shared" si="2"/>
        <v/>
      </c>
      <c r="N33" s="236" t="str">
        <f t="shared" si="3"/>
        <v/>
      </c>
      <c r="O33" s="1192"/>
      <c r="P33" s="1200"/>
      <c r="Q33" s="116"/>
      <c r="R33" s="120"/>
      <c r="S33" s="120"/>
      <c r="T33" s="120"/>
      <c r="U33" s="120"/>
      <c r="V33" s="120"/>
      <c r="W33" s="120"/>
    </row>
    <row r="34" spans="1:27" ht="19.5" customHeight="1" x14ac:dyDescent="0.2">
      <c r="A34" s="102"/>
      <c r="B34" s="103"/>
      <c r="C34" s="689"/>
      <c r="D34" s="91">
        <v>0</v>
      </c>
      <c r="E34" s="92">
        <v>30</v>
      </c>
      <c r="F34" s="93">
        <f>BEGINBLAD!C33</f>
        <v>0</v>
      </c>
      <c r="G34" s="94">
        <f>'NIVEAU WAARDE - 1e toetsperiode'!G38</f>
        <v>0</v>
      </c>
      <c r="H34" s="95">
        <f>'NIVEAU WAARDE - 2e toetsperiode'!G38</f>
        <v>0</v>
      </c>
      <c r="I34" s="96" t="str">
        <f t="shared" si="0"/>
        <v/>
      </c>
      <c r="J34" s="236" t="str">
        <f t="shared" si="1"/>
        <v/>
      </c>
      <c r="K34" s="124">
        <f>'NIVEAU WAARDE - 1e toetsperiode'!H38</f>
        <v>0</v>
      </c>
      <c r="L34" s="121">
        <f>'NIVEAU WAARDE - 2e toetsperiode'!H38</f>
        <v>0</v>
      </c>
      <c r="M34" s="96" t="str">
        <f t="shared" si="2"/>
        <v/>
      </c>
      <c r="N34" s="236" t="str">
        <f t="shared" si="3"/>
        <v/>
      </c>
      <c r="O34" s="1192"/>
      <c r="P34" s="1200"/>
      <c r="Q34" s="116"/>
      <c r="R34" s="120"/>
      <c r="S34" s="120"/>
      <c r="T34" s="120"/>
      <c r="U34" s="120"/>
      <c r="V34" s="120"/>
      <c r="W34" s="120"/>
    </row>
    <row r="35" spans="1:27" ht="19.5" customHeight="1" thickBot="1" x14ac:dyDescent="0.25">
      <c r="A35" s="102"/>
      <c r="B35" s="103"/>
      <c r="C35" s="689"/>
      <c r="D35" s="91">
        <v>0</v>
      </c>
      <c r="E35" s="92">
        <v>31</v>
      </c>
      <c r="F35" s="93">
        <f>BEGINBLAD!C34</f>
        <v>0</v>
      </c>
      <c r="G35" s="94">
        <f>'NIVEAU WAARDE - 1e toetsperiode'!G39</f>
        <v>0</v>
      </c>
      <c r="H35" s="95">
        <f>'NIVEAU WAARDE - 2e toetsperiode'!G39</f>
        <v>0</v>
      </c>
      <c r="I35" s="96" t="str">
        <f t="shared" si="0"/>
        <v/>
      </c>
      <c r="J35" s="236" t="str">
        <f t="shared" si="1"/>
        <v/>
      </c>
      <c r="K35" s="124">
        <f>'NIVEAU WAARDE - 1e toetsperiode'!H39</f>
        <v>0</v>
      </c>
      <c r="L35" s="121">
        <f>'NIVEAU WAARDE - 2e toetsperiode'!H39</f>
        <v>0</v>
      </c>
      <c r="M35" s="96" t="str">
        <f t="shared" si="2"/>
        <v/>
      </c>
      <c r="N35" s="236" t="str">
        <f t="shared" si="3"/>
        <v/>
      </c>
      <c r="O35" s="1193"/>
      <c r="P35" s="1201"/>
      <c r="Q35" s="116"/>
      <c r="R35" s="120"/>
      <c r="S35" s="120"/>
      <c r="T35" s="120"/>
      <c r="U35" s="120"/>
      <c r="V35" s="120"/>
      <c r="W35" s="120"/>
    </row>
    <row r="36" spans="1:27" ht="19.5" customHeight="1" thickBot="1" x14ac:dyDescent="0.25">
      <c r="A36" s="102"/>
      <c r="B36" s="103"/>
      <c r="C36" s="689"/>
      <c r="D36" s="91">
        <v>0</v>
      </c>
      <c r="E36" s="92">
        <v>32</v>
      </c>
      <c r="F36" s="93">
        <f>BEGINBLAD!C35</f>
        <v>0</v>
      </c>
      <c r="G36" s="94">
        <f>'NIVEAU WAARDE - 1e toetsperiode'!G40</f>
        <v>0</v>
      </c>
      <c r="H36" s="95">
        <f>'NIVEAU WAARDE - 2e toetsperiode'!G40</f>
        <v>0</v>
      </c>
      <c r="I36" s="96" t="str">
        <f t="shared" si="0"/>
        <v/>
      </c>
      <c r="J36" s="236" t="str">
        <f t="shared" si="1"/>
        <v/>
      </c>
      <c r="K36" s="124">
        <f>'NIVEAU WAARDE - 1e toetsperiode'!H40</f>
        <v>0</v>
      </c>
      <c r="L36" s="121">
        <f>'NIVEAU WAARDE - 2e toetsperiode'!H40</f>
        <v>0</v>
      </c>
      <c r="M36" s="96" t="str">
        <f t="shared" si="2"/>
        <v/>
      </c>
      <c r="N36" s="236" t="str">
        <f t="shared" si="3"/>
        <v/>
      </c>
      <c r="O36" s="107"/>
      <c r="P36" s="113" t="s">
        <v>108</v>
      </c>
      <c r="Q36" s="116"/>
      <c r="R36" s="120"/>
      <c r="S36" s="120"/>
      <c r="T36" s="120"/>
      <c r="U36" s="120"/>
      <c r="V36" s="120"/>
      <c r="W36" s="120"/>
    </row>
    <row r="37" spans="1:27" ht="19.5" customHeight="1" x14ac:dyDescent="0.2">
      <c r="A37" s="102"/>
      <c r="B37" s="103"/>
      <c r="C37" s="689"/>
      <c r="D37" s="91">
        <v>0</v>
      </c>
      <c r="E37" s="92">
        <v>33</v>
      </c>
      <c r="F37" s="93">
        <f>BEGINBLAD!C36</f>
        <v>0</v>
      </c>
      <c r="G37" s="94">
        <f>'NIVEAU WAARDE - 1e toetsperiode'!G41</f>
        <v>0</v>
      </c>
      <c r="H37" s="95">
        <f>'NIVEAU WAARDE - 2e toetsperiode'!G41</f>
        <v>0</v>
      </c>
      <c r="I37" s="96" t="str">
        <f t="shared" si="0"/>
        <v/>
      </c>
      <c r="J37" s="236" t="str">
        <f t="shared" si="1"/>
        <v/>
      </c>
      <c r="K37" s="124">
        <f>'NIVEAU WAARDE - 1e toetsperiode'!H41</f>
        <v>0</v>
      </c>
      <c r="L37" s="121">
        <f>'NIVEAU WAARDE - 2e toetsperiode'!H41</f>
        <v>0</v>
      </c>
      <c r="M37" s="96" t="str">
        <f t="shared" si="2"/>
        <v/>
      </c>
      <c r="N37" s="236" t="str">
        <f t="shared" si="3"/>
        <v/>
      </c>
      <c r="O37" s="1191" t="s">
        <v>135</v>
      </c>
      <c r="P37" s="1194">
        <f>'VERRIJKT - 2e periode'!F17</f>
        <v>0</v>
      </c>
      <c r="Q37" s="116"/>
      <c r="R37" s="120"/>
      <c r="S37" s="120"/>
      <c r="T37" s="120"/>
      <c r="U37" s="120"/>
      <c r="V37" s="120"/>
      <c r="W37" s="120"/>
    </row>
    <row r="38" spans="1:27" ht="19.5" customHeight="1" x14ac:dyDescent="0.2">
      <c r="A38" s="102"/>
      <c r="B38" s="103"/>
      <c r="C38" s="689"/>
      <c r="D38" s="91">
        <v>0</v>
      </c>
      <c r="E38" s="92">
        <v>34</v>
      </c>
      <c r="F38" s="93">
        <f>BEGINBLAD!C37</f>
        <v>0</v>
      </c>
      <c r="G38" s="94">
        <f>'NIVEAU WAARDE - 1e toetsperiode'!G42</f>
        <v>0</v>
      </c>
      <c r="H38" s="95">
        <f>'NIVEAU WAARDE - 2e toetsperiode'!G42</f>
        <v>0</v>
      </c>
      <c r="I38" s="96" t="str">
        <f t="shared" si="0"/>
        <v/>
      </c>
      <c r="J38" s="236" t="str">
        <f t="shared" si="1"/>
        <v/>
      </c>
      <c r="K38" s="124">
        <f>'NIVEAU WAARDE - 1e toetsperiode'!H42</f>
        <v>0</v>
      </c>
      <c r="L38" s="121">
        <f>'NIVEAU WAARDE - 2e toetsperiode'!H42</f>
        <v>0</v>
      </c>
      <c r="M38" s="96" t="str">
        <f t="shared" si="2"/>
        <v/>
      </c>
      <c r="N38" s="236" t="str">
        <f t="shared" si="3"/>
        <v/>
      </c>
      <c r="O38" s="1192"/>
      <c r="P38" s="1195"/>
      <c r="Q38" s="116"/>
      <c r="R38" s="120"/>
      <c r="S38" s="120"/>
      <c r="T38" s="120"/>
      <c r="U38" s="120"/>
      <c r="V38" s="120"/>
      <c r="W38" s="120"/>
    </row>
    <row r="39" spans="1:27" ht="19.5" customHeight="1" x14ac:dyDescent="0.2">
      <c r="A39" s="102"/>
      <c r="B39" s="103"/>
      <c r="C39" s="689"/>
      <c r="D39" s="91">
        <v>0</v>
      </c>
      <c r="E39" s="92">
        <v>35</v>
      </c>
      <c r="F39" s="93">
        <f>BEGINBLAD!C38</f>
        <v>0</v>
      </c>
      <c r="G39" s="94">
        <f>'NIVEAU WAARDE - 1e toetsperiode'!G43</f>
        <v>0</v>
      </c>
      <c r="H39" s="95">
        <f>'NIVEAU WAARDE - 2e toetsperiode'!G43</f>
        <v>0</v>
      </c>
      <c r="I39" s="96" t="str">
        <f t="shared" si="0"/>
        <v/>
      </c>
      <c r="J39" s="236" t="str">
        <f t="shared" si="1"/>
        <v/>
      </c>
      <c r="K39" s="124">
        <f>'NIVEAU WAARDE - 1e toetsperiode'!H43</f>
        <v>0</v>
      </c>
      <c r="L39" s="121">
        <f>'NIVEAU WAARDE - 2e toetsperiode'!H43</f>
        <v>0</v>
      </c>
      <c r="M39" s="96" t="str">
        <f t="shared" si="2"/>
        <v/>
      </c>
      <c r="N39" s="236" t="str">
        <f t="shared" si="3"/>
        <v/>
      </c>
      <c r="O39" s="1192" t="s">
        <v>137</v>
      </c>
      <c r="P39" s="1189">
        <f>'VERRIJKT - 2e periode'!F19</f>
        <v>0</v>
      </c>
      <c r="Q39" s="116"/>
      <c r="R39" s="120"/>
      <c r="S39" s="120"/>
      <c r="T39" s="120"/>
      <c r="U39" s="120"/>
      <c r="V39" s="120"/>
      <c r="W39" s="120"/>
    </row>
    <row r="40" spans="1:27" s="89" customFormat="1" ht="19.5" customHeight="1" thickBot="1" x14ac:dyDescent="0.25">
      <c r="A40" s="102"/>
      <c r="B40" s="103"/>
      <c r="C40" s="689"/>
      <c r="D40" s="91">
        <v>0</v>
      </c>
      <c r="E40" s="130">
        <v>36</v>
      </c>
      <c r="F40" s="131">
        <f>BEGINBLAD!C39</f>
        <v>0</v>
      </c>
      <c r="G40" s="132">
        <f>'NIVEAU WAARDE - 1e toetsperiode'!G44</f>
        <v>0</v>
      </c>
      <c r="H40" s="133">
        <f>'NIVEAU WAARDE - 2e toetsperiode'!G45</f>
        <v>0</v>
      </c>
      <c r="I40" s="134" t="str">
        <f t="shared" si="0"/>
        <v/>
      </c>
      <c r="J40" s="236" t="str">
        <f t="shared" si="1"/>
        <v/>
      </c>
      <c r="K40" s="244">
        <f>'NIVEAU WAARDE - 1e toetsperiode'!H44</f>
        <v>0</v>
      </c>
      <c r="L40" s="135">
        <f>'NIVEAU WAARDE - 2e toetsperiode'!H44</f>
        <v>0</v>
      </c>
      <c r="M40" s="134" t="str">
        <f t="shared" si="2"/>
        <v/>
      </c>
      <c r="N40" s="236" t="str">
        <f t="shared" si="3"/>
        <v/>
      </c>
      <c r="O40" s="1192"/>
      <c r="P40" s="1189"/>
      <c r="Q40" s="116"/>
      <c r="R40" s="120"/>
      <c r="S40" s="120"/>
      <c r="T40" s="120"/>
      <c r="U40" s="120"/>
      <c r="V40" s="120"/>
      <c r="W40" s="120"/>
      <c r="X40" s="114"/>
      <c r="Y40" s="114"/>
      <c r="Z40" s="114"/>
      <c r="AA40" s="114"/>
    </row>
    <row r="41" spans="1:27" ht="19.5" customHeight="1" thickBot="1" x14ac:dyDescent="0.25">
      <c r="A41" s="137"/>
      <c r="B41" s="138"/>
      <c r="C41" s="1202" t="s">
        <v>109</v>
      </c>
      <c r="D41" s="1202"/>
      <c r="E41" s="1202"/>
      <c r="F41" s="1202"/>
      <c r="G41" s="1203" t="s">
        <v>108</v>
      </c>
      <c r="H41" s="1203"/>
      <c r="I41" s="1203"/>
      <c r="J41" s="1203"/>
      <c r="K41" s="1203"/>
      <c r="L41" s="1203"/>
      <c r="M41" s="1203"/>
      <c r="O41" s="1192"/>
      <c r="P41" s="1189"/>
      <c r="Q41" s="116"/>
      <c r="R41" s="139"/>
      <c r="S41" s="139"/>
      <c r="T41" s="139"/>
      <c r="U41" s="139"/>
      <c r="V41" s="139"/>
      <c r="W41" s="139"/>
    </row>
    <row r="42" spans="1:27" ht="19.5" customHeight="1" x14ac:dyDescent="0.2">
      <c r="A42" s="116"/>
      <c r="B42" s="159"/>
      <c r="C42" s="166" t="s">
        <v>214</v>
      </c>
      <c r="D42" s="1262"/>
      <c r="E42" s="1262"/>
      <c r="F42" s="1263"/>
      <c r="G42" s="1207" t="s">
        <v>214</v>
      </c>
      <c r="H42" s="1208"/>
      <c r="I42" s="1259"/>
      <c r="J42" s="1260"/>
      <c r="K42" s="1260"/>
      <c r="L42" s="1260"/>
      <c r="M42" s="1261"/>
      <c r="O42" s="1192"/>
      <c r="P42" s="1189"/>
      <c r="Q42" s="116"/>
      <c r="R42" s="139"/>
      <c r="S42" s="139"/>
      <c r="T42" s="139"/>
      <c r="U42" s="139"/>
      <c r="V42" s="139"/>
      <c r="W42" s="139"/>
    </row>
    <row r="43" spans="1:27" ht="19.5" customHeight="1" x14ac:dyDescent="0.2">
      <c r="A43" s="116"/>
      <c r="B43" s="160"/>
      <c r="C43" s="167" t="s">
        <v>215</v>
      </c>
      <c r="D43" s="1264"/>
      <c r="E43" s="1264"/>
      <c r="F43" s="1265"/>
      <c r="G43" s="1213" t="s">
        <v>215</v>
      </c>
      <c r="H43" s="1214"/>
      <c r="I43" s="1253"/>
      <c r="J43" s="1254"/>
      <c r="K43" s="1254"/>
      <c r="L43" s="1254"/>
      <c r="M43" s="1255"/>
      <c r="O43" s="1192"/>
      <c r="P43" s="1189"/>
      <c r="Q43" s="116"/>
      <c r="R43" s="139"/>
      <c r="S43" s="139"/>
      <c r="T43" s="139"/>
      <c r="U43" s="139"/>
      <c r="V43" s="139"/>
      <c r="W43" s="139"/>
    </row>
    <row r="44" spans="1:27" ht="19.5" customHeight="1" x14ac:dyDescent="0.2">
      <c r="A44" s="116"/>
      <c r="B44" s="160"/>
      <c r="C44" s="167" t="s">
        <v>216</v>
      </c>
      <c r="D44" s="1264"/>
      <c r="E44" s="1264"/>
      <c r="F44" s="1265"/>
      <c r="G44" s="1213" t="s">
        <v>216</v>
      </c>
      <c r="H44" s="1214"/>
      <c r="I44" s="1253"/>
      <c r="J44" s="1254"/>
      <c r="K44" s="1254"/>
      <c r="L44" s="1254"/>
      <c r="M44" s="1255"/>
      <c r="O44" s="1192"/>
      <c r="P44" s="1189"/>
      <c r="Q44" s="116"/>
      <c r="R44" s="139"/>
      <c r="S44" s="139"/>
      <c r="T44" s="139"/>
      <c r="U44" s="139"/>
      <c r="V44" s="139"/>
      <c r="W44" s="139"/>
    </row>
    <row r="45" spans="1:27" ht="19.5" customHeight="1" x14ac:dyDescent="0.2">
      <c r="A45" s="116"/>
      <c r="B45" s="160"/>
      <c r="C45" s="167" t="s">
        <v>217</v>
      </c>
      <c r="D45" s="1264"/>
      <c r="E45" s="1264"/>
      <c r="F45" s="1265"/>
      <c r="G45" s="1213" t="s">
        <v>217</v>
      </c>
      <c r="H45" s="1214"/>
      <c r="I45" s="1253"/>
      <c r="J45" s="1254"/>
      <c r="K45" s="1254"/>
      <c r="L45" s="1254"/>
      <c r="M45" s="1255"/>
      <c r="O45" s="1192"/>
      <c r="P45" s="1189"/>
      <c r="Q45" s="116"/>
      <c r="R45" s="139"/>
      <c r="S45" s="139"/>
      <c r="T45" s="139"/>
      <c r="U45" s="139"/>
      <c r="V45" s="139"/>
      <c r="W45" s="139"/>
    </row>
    <row r="46" spans="1:27" ht="19.5" customHeight="1" thickBot="1" x14ac:dyDescent="0.25">
      <c r="A46" s="116"/>
      <c r="B46" s="160"/>
      <c r="C46" s="168" t="s">
        <v>218</v>
      </c>
      <c r="D46" s="1236"/>
      <c r="E46" s="1236"/>
      <c r="F46" s="1237"/>
      <c r="G46" s="1225" t="s">
        <v>218</v>
      </c>
      <c r="H46" s="1226"/>
      <c r="I46" s="1256"/>
      <c r="J46" s="1257"/>
      <c r="K46" s="1257"/>
      <c r="L46" s="1257"/>
      <c r="M46" s="1258"/>
      <c r="O46" s="1193"/>
      <c r="P46" s="1190"/>
      <c r="Q46" s="116"/>
      <c r="R46" s="120"/>
      <c r="S46" s="120"/>
      <c r="T46" s="120"/>
      <c r="U46" s="120"/>
      <c r="V46" s="120"/>
      <c r="W46" s="120"/>
    </row>
    <row r="47" spans="1:27" x14ac:dyDescent="0.2">
      <c r="B47" s="140"/>
      <c r="C47" s="145"/>
      <c r="D47" s="499"/>
      <c r="E47" s="500"/>
      <c r="F47" s="500"/>
      <c r="G47" s="500"/>
      <c r="H47" s="197"/>
      <c r="I47" s="142"/>
      <c r="J47" s="142"/>
      <c r="K47" s="1235" t="s">
        <v>213</v>
      </c>
      <c r="L47" s="1235"/>
      <c r="M47" s="1235"/>
      <c r="N47" s="141"/>
      <c r="O47" s="151"/>
      <c r="P47" s="151"/>
      <c r="Q47" s="116"/>
      <c r="R47" s="120"/>
      <c r="S47" s="120"/>
      <c r="T47" s="120"/>
      <c r="U47" s="120"/>
      <c r="V47" s="120"/>
      <c r="W47" s="120"/>
    </row>
    <row r="48" spans="1:27" x14ac:dyDescent="0.2">
      <c r="B48" s="161"/>
      <c r="C48" s="154"/>
      <c r="D48" s="208">
        <f>BEGINBLAD!$D$40</f>
        <v>26</v>
      </c>
      <c r="E48" s="199"/>
      <c r="F48" s="200" t="s">
        <v>288</v>
      </c>
      <c r="G48" s="207">
        <f>H48/$D$49</f>
        <v>0.11538461538461539</v>
      </c>
      <c r="H48" s="111">
        <f>COUNTIF($I$5:$I$40,"A-1+")</f>
        <v>3</v>
      </c>
      <c r="I48" s="111"/>
      <c r="J48" s="198" t="s">
        <v>289</v>
      </c>
      <c r="K48" s="198"/>
      <c r="L48" s="198"/>
      <c r="M48" s="222">
        <f>G48+G49+G50+G51+G52</f>
        <v>0.88461538461538469</v>
      </c>
      <c r="N48" s="222">
        <v>1</v>
      </c>
      <c r="O48" s="223"/>
      <c r="P48" s="141"/>
      <c r="Q48" s="116"/>
      <c r="R48" s="120"/>
      <c r="S48" s="120"/>
      <c r="T48" s="120"/>
      <c r="U48" s="120"/>
      <c r="V48" s="120"/>
      <c r="W48" s="120"/>
    </row>
    <row r="49" spans="2:23" x14ac:dyDescent="0.2">
      <c r="B49" s="161"/>
      <c r="C49" s="154"/>
      <c r="D49" s="205">
        <f>COUNTIF(H5:H40,"&gt;0")</f>
        <v>26</v>
      </c>
      <c r="E49" s="199"/>
      <c r="F49" s="200" t="s">
        <v>290</v>
      </c>
      <c r="G49" s="207">
        <f>H49/$D$49</f>
        <v>0.11538461538461539</v>
      </c>
      <c r="H49" s="111">
        <f>COUNTIF($I$5:$I$40,"A-1")</f>
        <v>3</v>
      </c>
      <c r="I49" s="111"/>
      <c r="J49" s="198"/>
      <c r="K49" s="198"/>
      <c r="L49" s="198"/>
      <c r="M49" s="222"/>
      <c r="N49" s="222">
        <v>0.7</v>
      </c>
      <c r="O49" s="224"/>
      <c r="P49" s="153"/>
      <c r="Q49" s="116"/>
      <c r="R49" s="120"/>
      <c r="S49" s="120"/>
      <c r="T49" s="120"/>
      <c r="U49" s="120"/>
      <c r="V49" s="120"/>
      <c r="W49" s="120"/>
    </row>
    <row r="50" spans="2:23" x14ac:dyDescent="0.2">
      <c r="B50" s="161"/>
      <c r="C50" s="154"/>
      <c r="D50" s="201"/>
      <c r="E50" s="199"/>
      <c r="F50" s="202" t="s">
        <v>291</v>
      </c>
      <c r="G50" s="207">
        <f>(H50+I50)/$D$49</f>
        <v>0.23076923076923078</v>
      </c>
      <c r="H50" s="111">
        <f>COUNTIF($I$5:$I$40,"A-2")</f>
        <v>1</v>
      </c>
      <c r="I50" s="111">
        <f>COUNTIF($I$5:$I$40,"B-2")</f>
        <v>5</v>
      </c>
      <c r="J50" s="198"/>
      <c r="K50" s="198"/>
      <c r="L50" s="198"/>
      <c r="M50" s="222"/>
      <c r="N50" s="222">
        <v>0.6</v>
      </c>
      <c r="O50" s="224"/>
      <c r="P50" s="153"/>
      <c r="Q50" s="116"/>
      <c r="R50" s="120"/>
      <c r="S50" s="120"/>
      <c r="T50" s="120"/>
      <c r="U50" s="120"/>
      <c r="V50" s="120"/>
      <c r="W50" s="120"/>
    </row>
    <row r="51" spans="2:23" x14ac:dyDescent="0.2">
      <c r="B51" s="161"/>
      <c r="C51" s="154"/>
      <c r="D51" s="201"/>
      <c r="E51" s="199"/>
      <c r="F51" s="200" t="s">
        <v>292</v>
      </c>
      <c r="G51" s="207">
        <f>H51/$D$49</f>
        <v>0.26923076923076922</v>
      </c>
      <c r="H51" s="111">
        <f>COUNTIF($I$5:$I$40,"B-3")</f>
        <v>7</v>
      </c>
      <c r="I51" s="111"/>
      <c r="J51" s="198"/>
      <c r="K51" s="198"/>
      <c r="L51" s="198"/>
      <c r="M51" s="222"/>
      <c r="N51" s="222">
        <f>$M$48</f>
        <v>0.88461538461538469</v>
      </c>
      <c r="O51" s="224"/>
      <c r="P51" s="153"/>
      <c r="Q51" s="116"/>
      <c r="R51" s="120"/>
      <c r="S51" s="120"/>
      <c r="T51" s="120"/>
      <c r="U51" s="120"/>
      <c r="V51" s="120"/>
      <c r="W51" s="120"/>
    </row>
    <row r="52" spans="2:23" x14ac:dyDescent="0.2">
      <c r="B52" s="161"/>
      <c r="C52" s="154"/>
      <c r="D52" s="201"/>
      <c r="E52" s="199"/>
      <c r="F52" s="200" t="s">
        <v>293</v>
      </c>
      <c r="G52" s="207">
        <f>H52/$D$49</f>
        <v>0.15384615384615385</v>
      </c>
      <c r="H52" s="111">
        <f>COUNTIF($I$5:$I$40,"c-3")</f>
        <v>4</v>
      </c>
      <c r="I52" s="111"/>
      <c r="J52" s="198" t="s">
        <v>294</v>
      </c>
      <c r="K52" s="198"/>
      <c r="L52" s="198"/>
      <c r="M52" s="222">
        <f>G53+G54+G55+G57</f>
        <v>0.11538461538461539</v>
      </c>
      <c r="N52" s="225"/>
      <c r="O52" s="224"/>
      <c r="P52" s="153"/>
      <c r="Q52" s="116"/>
      <c r="R52" s="120"/>
      <c r="S52" s="120"/>
      <c r="T52" s="120"/>
      <c r="U52" s="120"/>
      <c r="V52" s="120"/>
      <c r="W52" s="120"/>
    </row>
    <row r="53" spans="2:23" x14ac:dyDescent="0.2">
      <c r="B53" s="161"/>
      <c r="C53" s="154"/>
      <c r="D53" s="201"/>
      <c r="E53" s="199"/>
      <c r="F53" s="202" t="s">
        <v>295</v>
      </c>
      <c r="G53" s="207">
        <f>H53/$D$49</f>
        <v>3.8461538461538464E-2</v>
      </c>
      <c r="H53" s="111">
        <f>COUNTIF($I$5:$I$40,"c-4")</f>
        <v>1</v>
      </c>
      <c r="I53" s="208"/>
      <c r="J53" s="198"/>
      <c r="K53" s="198"/>
      <c r="L53" s="198"/>
      <c r="M53" s="222"/>
      <c r="N53" s="225"/>
      <c r="O53" s="224"/>
      <c r="P53" s="153"/>
      <c r="Q53" s="116"/>
      <c r="R53" s="120"/>
      <c r="S53" s="120"/>
      <c r="T53" s="120"/>
      <c r="U53" s="120"/>
      <c r="V53" s="120"/>
      <c r="W53" s="120"/>
    </row>
    <row r="54" spans="2:23" x14ac:dyDescent="0.2">
      <c r="B54" s="161"/>
      <c r="C54" s="154"/>
      <c r="D54" s="201"/>
      <c r="E54" s="199"/>
      <c r="F54" s="199" t="s">
        <v>296</v>
      </c>
      <c r="G54" s="207">
        <f>H54/$D$49</f>
        <v>3.8461538461538464E-2</v>
      </c>
      <c r="H54" s="111">
        <f>COUNTIF($I$5:$I$40,"d-4")</f>
        <v>1</v>
      </c>
      <c r="I54" s="208"/>
      <c r="J54" s="198"/>
      <c r="K54" s="198"/>
      <c r="L54" s="198"/>
      <c r="M54" s="222"/>
      <c r="N54" s="225"/>
      <c r="O54" s="224"/>
      <c r="P54" s="153"/>
      <c r="Q54" s="116"/>
      <c r="R54" s="120"/>
      <c r="S54" s="120"/>
      <c r="T54" s="120"/>
      <c r="U54" s="120"/>
      <c r="V54" s="120"/>
      <c r="W54" s="120"/>
    </row>
    <row r="55" spans="2:23" x14ac:dyDescent="0.2">
      <c r="B55" s="161"/>
      <c r="C55" s="154"/>
      <c r="D55" s="201"/>
      <c r="E55" s="199"/>
      <c r="F55" s="200" t="s">
        <v>297</v>
      </c>
      <c r="G55" s="207">
        <f>(H55+I55)/$D$49</f>
        <v>3.8461538461538464E-2</v>
      </c>
      <c r="H55" s="111">
        <f>COUNTIF($I$5:$I$40,"d-5")</f>
        <v>0</v>
      </c>
      <c r="I55" s="111">
        <f>COUNTIF($I$5:$I$40,"e-5")</f>
        <v>1</v>
      </c>
      <c r="J55" s="198"/>
      <c r="K55" s="198"/>
      <c r="L55" s="198"/>
      <c r="M55" s="222"/>
      <c r="N55" s="225"/>
      <c r="O55" s="224"/>
      <c r="P55" s="153"/>
      <c r="Q55" s="116"/>
      <c r="R55" s="120"/>
      <c r="S55" s="120"/>
      <c r="T55" s="120"/>
      <c r="U55" s="120"/>
      <c r="V55" s="120"/>
      <c r="W55" s="120"/>
    </row>
    <row r="56" spans="2:23" x14ac:dyDescent="0.2">
      <c r="B56" s="161"/>
      <c r="C56" s="154"/>
      <c r="D56" s="201"/>
      <c r="E56" s="199"/>
      <c r="F56" s="200"/>
      <c r="G56" s="207"/>
      <c r="H56" s="111"/>
      <c r="I56" s="111"/>
      <c r="J56" s="198" t="s">
        <v>50</v>
      </c>
      <c r="K56" s="198"/>
      <c r="L56" s="198"/>
      <c r="M56" s="222">
        <f>M48+M52</f>
        <v>1</v>
      </c>
      <c r="N56" s="1209"/>
      <c r="O56" s="224"/>
      <c r="P56" s="153"/>
      <c r="Q56" s="116"/>
      <c r="R56" s="120"/>
      <c r="S56" s="120"/>
      <c r="T56" s="120"/>
      <c r="U56" s="120"/>
      <c r="V56" s="120"/>
      <c r="W56" s="120"/>
    </row>
    <row r="57" spans="2:23" x14ac:dyDescent="0.2">
      <c r="B57" s="161"/>
      <c r="C57" s="154"/>
      <c r="D57" s="201"/>
      <c r="E57" s="199"/>
      <c r="F57" s="203" t="s">
        <v>298</v>
      </c>
      <c r="G57" s="207">
        <f>H57/$D$49</f>
        <v>0</v>
      </c>
      <c r="H57" s="111">
        <f>COUNTIF($I$5:$I$40,"e-5-")</f>
        <v>0</v>
      </c>
      <c r="I57" s="111"/>
      <c r="J57" s="198"/>
      <c r="K57" s="198"/>
      <c r="L57" s="198"/>
      <c r="M57" s="222"/>
      <c r="N57" s="1209"/>
      <c r="O57" s="224"/>
      <c r="P57" s="153"/>
      <c r="Q57" s="116"/>
      <c r="R57" s="120"/>
      <c r="S57" s="120"/>
      <c r="T57" s="120"/>
      <c r="U57" s="120"/>
      <c r="V57" s="120"/>
      <c r="W57" s="120"/>
    </row>
    <row r="58" spans="2:23" x14ac:dyDescent="0.2">
      <c r="B58" s="161"/>
      <c r="C58" s="145"/>
      <c r="D58" s="201"/>
      <c r="E58" s="199"/>
      <c r="F58" s="200" t="s">
        <v>50</v>
      </c>
      <c r="G58" s="204">
        <f>SUM(G48:G57)</f>
        <v>1</v>
      </c>
      <c r="H58" s="693">
        <f>SUM(H48:H57)</f>
        <v>20</v>
      </c>
      <c r="I58" s="693">
        <f>SUM(I48:I57)</f>
        <v>6</v>
      </c>
      <c r="J58" s="208"/>
      <c r="K58" s="208"/>
      <c r="L58" s="223"/>
      <c r="M58" s="223"/>
      <c r="N58" s="223"/>
      <c r="O58" s="223"/>
      <c r="P58" s="151"/>
      <c r="Q58" s="116"/>
      <c r="R58" s="120"/>
      <c r="S58" s="120"/>
      <c r="T58" s="120"/>
      <c r="U58" s="120"/>
      <c r="V58" s="120"/>
      <c r="W58" s="120"/>
    </row>
    <row r="59" spans="2:23" x14ac:dyDescent="0.2">
      <c r="B59" s="161"/>
      <c r="C59" s="145"/>
      <c r="D59" s="201"/>
      <c r="E59" s="199"/>
      <c r="F59" s="196"/>
      <c r="G59" s="196"/>
      <c r="H59" s="208">
        <f>SUM(H58+I58)</f>
        <v>26</v>
      </c>
      <c r="I59" s="208"/>
      <c r="J59" s="208"/>
      <c r="K59" s="208"/>
      <c r="L59" s="223"/>
      <c r="M59" s="223"/>
      <c r="N59" s="223"/>
      <c r="O59" s="223"/>
      <c r="P59" s="151"/>
      <c r="Q59" s="116"/>
      <c r="R59" s="120"/>
      <c r="S59" s="120"/>
      <c r="T59" s="120"/>
      <c r="U59" s="120"/>
      <c r="V59" s="120"/>
      <c r="W59" s="120"/>
    </row>
    <row r="60" spans="2:23" x14ac:dyDescent="0.2">
      <c r="B60" s="161"/>
      <c r="C60" s="145"/>
      <c r="D60" s="205"/>
      <c r="E60" s="196"/>
      <c r="F60" s="199"/>
      <c r="G60" s="207"/>
      <c r="H60" s="197"/>
      <c r="I60" s="197"/>
      <c r="J60" s="197"/>
      <c r="K60" s="197"/>
      <c r="L60" s="223"/>
      <c r="M60" s="223"/>
      <c r="N60" s="223"/>
      <c r="O60" s="223"/>
      <c r="P60" s="151"/>
      <c r="Q60" s="116"/>
      <c r="R60" s="120"/>
      <c r="S60" s="120"/>
      <c r="T60" s="120"/>
      <c r="U60" s="120"/>
      <c r="V60" s="120"/>
      <c r="W60" s="120"/>
    </row>
    <row r="61" spans="2:23" x14ac:dyDescent="0.2">
      <c r="B61" s="161"/>
      <c r="C61" s="145"/>
      <c r="D61" s="205"/>
      <c r="E61" s="196"/>
      <c r="F61" s="206"/>
      <c r="G61" s="207"/>
      <c r="H61" s="197"/>
      <c r="I61" s="197"/>
      <c r="J61" s="197"/>
      <c r="K61" s="197"/>
      <c r="L61" s="223"/>
      <c r="M61" s="223"/>
      <c r="N61" s="223"/>
      <c r="O61" s="223"/>
      <c r="P61" s="151"/>
      <c r="Q61" s="116"/>
      <c r="R61" s="120"/>
      <c r="S61" s="120"/>
      <c r="T61" s="120"/>
      <c r="U61" s="120"/>
      <c r="V61" s="120"/>
      <c r="W61" s="120"/>
    </row>
    <row r="62" spans="2:23" x14ac:dyDescent="0.2">
      <c r="B62" s="162"/>
      <c r="C62" s="169"/>
      <c r="D62" s="144"/>
      <c r="E62" s="145"/>
      <c r="F62" s="170"/>
      <c r="G62" s="171"/>
      <c r="H62" s="142"/>
      <c r="I62" s="142"/>
      <c r="J62" s="142"/>
      <c r="K62" s="142"/>
      <c r="L62" s="141"/>
      <c r="M62" s="141"/>
      <c r="N62" s="141"/>
      <c r="O62" s="141"/>
      <c r="P62" s="151"/>
      <c r="Q62" s="116"/>
      <c r="R62" s="120"/>
      <c r="S62" s="120"/>
      <c r="T62" s="120"/>
      <c r="U62" s="120"/>
      <c r="V62" s="120"/>
      <c r="W62" s="120"/>
    </row>
    <row r="63" spans="2:23" x14ac:dyDescent="0.2">
      <c r="B63" s="161"/>
      <c r="C63" s="145"/>
      <c r="D63" s="144"/>
      <c r="E63" s="145"/>
      <c r="F63" s="145"/>
      <c r="G63" s="145"/>
      <c r="H63" s="142"/>
      <c r="I63" s="142"/>
      <c r="J63" s="142"/>
      <c r="K63" s="142"/>
      <c r="L63" s="141"/>
      <c r="M63" s="141"/>
      <c r="N63" s="141"/>
      <c r="O63" s="141"/>
      <c r="P63" s="151"/>
      <c r="Q63" s="116"/>
      <c r="R63" s="120"/>
      <c r="S63" s="120"/>
      <c r="T63" s="120"/>
      <c r="U63" s="120"/>
      <c r="V63" s="120"/>
      <c r="W63" s="120"/>
    </row>
    <row r="64" spans="2:23" x14ac:dyDescent="0.2">
      <c r="B64" s="161"/>
      <c r="C64" s="143"/>
      <c r="D64" s="144"/>
      <c r="E64" s="145"/>
      <c r="F64" s="145"/>
      <c r="G64" s="145"/>
      <c r="H64" s="142"/>
      <c r="I64" s="142"/>
      <c r="J64" s="142"/>
      <c r="K64" s="142"/>
      <c r="L64" s="143"/>
      <c r="M64" s="141"/>
      <c r="N64" s="141"/>
      <c r="O64" s="141"/>
      <c r="P64" s="141"/>
      <c r="Q64" s="116"/>
      <c r="R64" s="120"/>
      <c r="S64" s="120"/>
      <c r="T64" s="120"/>
      <c r="U64" s="120"/>
      <c r="V64" s="120"/>
      <c r="W64" s="120"/>
    </row>
    <row r="65" spans="3:24" x14ac:dyDescent="0.2">
      <c r="C65" s="143"/>
      <c r="D65" s="144"/>
      <c r="E65" s="145"/>
      <c r="F65" s="145"/>
      <c r="G65" s="145"/>
      <c r="H65" s="142"/>
      <c r="I65" s="142"/>
      <c r="J65" s="142"/>
      <c r="K65" s="142"/>
      <c r="L65" s="143"/>
      <c r="M65" s="141"/>
      <c r="N65" s="141"/>
      <c r="O65" s="141"/>
      <c r="P65" s="141"/>
      <c r="Q65" s="116"/>
      <c r="R65" s="120"/>
      <c r="S65" s="120"/>
      <c r="T65" s="120"/>
      <c r="U65" s="120"/>
      <c r="V65" s="120"/>
      <c r="W65" s="120"/>
    </row>
    <row r="66" spans="3:24" x14ac:dyDescent="0.2">
      <c r="C66" s="143"/>
      <c r="D66" s="144"/>
      <c r="E66" s="145"/>
      <c r="F66" s="145"/>
      <c r="G66" s="145"/>
      <c r="H66" s="142"/>
      <c r="I66" s="142"/>
      <c r="J66" s="142"/>
      <c r="K66" s="142"/>
      <c r="L66" s="143"/>
      <c r="M66" s="141"/>
      <c r="N66" s="155"/>
      <c r="O66" s="141"/>
      <c r="P66" s="141"/>
      <c r="Q66" s="116"/>
      <c r="R66" s="120"/>
      <c r="S66" s="120"/>
      <c r="T66" s="120"/>
      <c r="U66" s="120"/>
      <c r="V66" s="120"/>
      <c r="W66" s="120"/>
      <c r="X66" s="146"/>
    </row>
    <row r="67" spans="3:24" ht="20.25" x14ac:dyDescent="0.2">
      <c r="C67" s="145"/>
      <c r="D67" s="154"/>
      <c r="E67" s="145"/>
      <c r="F67" s="145"/>
      <c r="G67" s="145"/>
      <c r="H67" s="142"/>
      <c r="I67" s="142"/>
      <c r="J67" s="156"/>
      <c r="K67" s="142"/>
      <c r="L67" s="145"/>
      <c r="M67" s="141"/>
      <c r="N67" s="141"/>
      <c r="O67" s="155"/>
      <c r="P67" s="155"/>
      <c r="Q67" s="116"/>
      <c r="R67" s="117"/>
      <c r="S67" s="117"/>
      <c r="T67" s="117"/>
      <c r="U67" s="118"/>
      <c r="V67" s="118"/>
      <c r="W67" s="118"/>
      <c r="X67" s="119"/>
    </row>
    <row r="68" spans="3:24" ht="20.25" x14ac:dyDescent="0.2">
      <c r="C68" s="145"/>
      <c r="D68" s="154"/>
      <c r="E68" s="145"/>
      <c r="F68" s="145"/>
      <c r="G68" s="145"/>
      <c r="H68" s="142"/>
      <c r="I68" s="142"/>
      <c r="J68" s="156"/>
      <c r="K68" s="142"/>
      <c r="L68" s="145"/>
      <c r="M68" s="141"/>
      <c r="N68" s="141"/>
      <c r="O68" s="141"/>
      <c r="P68" s="141"/>
      <c r="Q68" s="116"/>
      <c r="R68" s="120"/>
      <c r="S68" s="120"/>
      <c r="T68" s="120"/>
      <c r="U68" s="120"/>
      <c r="V68" s="120"/>
      <c r="W68" s="120"/>
    </row>
    <row r="69" spans="3:24" ht="20.25" x14ac:dyDescent="0.2">
      <c r="C69" s="143"/>
      <c r="D69" s="154"/>
      <c r="E69" s="143"/>
      <c r="F69" s="143"/>
      <c r="G69" s="143"/>
      <c r="H69" s="142"/>
      <c r="I69" s="142"/>
      <c r="J69" s="156"/>
      <c r="K69" s="142"/>
      <c r="L69" s="143"/>
      <c r="M69" s="141"/>
      <c r="N69" s="141"/>
      <c r="O69" s="141"/>
      <c r="P69" s="141"/>
      <c r="Q69" s="116"/>
      <c r="R69" s="120"/>
      <c r="S69" s="120"/>
      <c r="T69" s="120"/>
      <c r="U69" s="120"/>
      <c r="V69" s="120"/>
      <c r="W69" s="120"/>
    </row>
    <row r="70" spans="3:24" ht="20.25" x14ac:dyDescent="0.2">
      <c r="C70" s="143"/>
      <c r="D70" s="154"/>
      <c r="E70" s="143"/>
      <c r="F70" s="143"/>
      <c r="G70" s="143"/>
      <c r="H70" s="142"/>
      <c r="I70" s="142"/>
      <c r="J70" s="156"/>
      <c r="K70" s="142"/>
      <c r="L70" s="143"/>
      <c r="M70" s="141"/>
      <c r="N70" s="141"/>
      <c r="O70" s="141"/>
      <c r="P70" s="141"/>
      <c r="Q70" s="116"/>
      <c r="R70" s="120"/>
      <c r="S70" s="120"/>
      <c r="T70" s="120"/>
      <c r="U70" s="120"/>
      <c r="V70" s="120"/>
      <c r="W70" s="120"/>
    </row>
    <row r="71" spans="3:24" ht="20.25" x14ac:dyDescent="0.2">
      <c r="C71" s="143"/>
      <c r="D71" s="154"/>
      <c r="E71" s="143"/>
      <c r="F71" s="143"/>
      <c r="G71" s="143"/>
      <c r="H71" s="142"/>
      <c r="I71" s="142"/>
      <c r="J71" s="156"/>
      <c r="K71" s="142"/>
      <c r="L71" s="143"/>
      <c r="M71" s="141"/>
      <c r="N71" s="141"/>
      <c r="O71" s="141"/>
      <c r="P71" s="141"/>
      <c r="Q71" s="116"/>
      <c r="R71" s="120"/>
      <c r="S71" s="120"/>
      <c r="T71" s="120"/>
      <c r="U71" s="120"/>
      <c r="V71" s="120"/>
      <c r="W71" s="120"/>
    </row>
    <row r="72" spans="3:24" x14ac:dyDescent="0.2">
      <c r="C72" s="143"/>
      <c r="D72" s="144"/>
      <c r="E72" s="143"/>
      <c r="F72" s="143"/>
      <c r="G72" s="143"/>
      <c r="H72" s="142"/>
      <c r="I72" s="142"/>
      <c r="J72" s="142"/>
      <c r="K72" s="142"/>
      <c r="L72" s="143"/>
      <c r="M72" s="141"/>
      <c r="N72" s="141"/>
      <c r="O72" s="141"/>
      <c r="P72" s="141"/>
      <c r="Q72" s="116"/>
      <c r="R72" s="120"/>
      <c r="S72" s="120"/>
      <c r="T72" s="120"/>
      <c r="U72" s="120"/>
      <c r="V72" s="120"/>
      <c r="W72" s="120"/>
    </row>
    <row r="73" spans="3:24" x14ac:dyDescent="0.2">
      <c r="C73" s="143"/>
      <c r="D73" s="144"/>
      <c r="E73" s="143"/>
      <c r="F73" s="143"/>
      <c r="G73" s="143"/>
      <c r="H73" s="142"/>
      <c r="I73" s="142"/>
      <c r="J73" s="142"/>
      <c r="K73" s="142"/>
      <c r="L73" s="143"/>
      <c r="M73" s="141"/>
      <c r="N73" s="141"/>
      <c r="O73" s="141"/>
      <c r="P73" s="141"/>
      <c r="Q73" s="116"/>
      <c r="R73" s="120"/>
      <c r="S73" s="120"/>
      <c r="T73" s="120"/>
      <c r="U73" s="120"/>
      <c r="V73" s="120"/>
      <c r="W73" s="120"/>
    </row>
    <row r="74" spans="3:24" x14ac:dyDescent="0.2">
      <c r="C74" s="143"/>
      <c r="D74" s="144"/>
      <c r="E74" s="143"/>
      <c r="F74" s="143"/>
      <c r="G74" s="143"/>
      <c r="H74" s="142"/>
      <c r="I74" s="142"/>
      <c r="J74" s="142"/>
      <c r="K74" s="142"/>
      <c r="L74" s="143"/>
      <c r="M74" s="141"/>
      <c r="N74" s="141"/>
      <c r="O74" s="141"/>
      <c r="P74" s="141"/>
      <c r="Q74" s="116"/>
      <c r="R74" s="120"/>
      <c r="S74" s="120"/>
      <c r="T74" s="120"/>
      <c r="U74" s="120"/>
      <c r="V74" s="120"/>
      <c r="W74" s="120"/>
    </row>
    <row r="75" spans="3:24" x14ac:dyDescent="0.2">
      <c r="C75" s="143"/>
      <c r="D75" s="144"/>
      <c r="E75" s="143"/>
      <c r="F75" s="143"/>
      <c r="G75" s="143"/>
      <c r="H75" s="142"/>
      <c r="I75" s="142"/>
      <c r="J75" s="142"/>
      <c r="K75" s="142"/>
      <c r="L75" s="143"/>
      <c r="M75" s="141"/>
      <c r="N75" s="141"/>
      <c r="O75" s="141"/>
      <c r="P75" s="141"/>
      <c r="Q75" s="116"/>
      <c r="R75" s="120"/>
      <c r="S75" s="120"/>
      <c r="T75" s="120"/>
      <c r="U75" s="120"/>
      <c r="V75" s="120"/>
      <c r="W75" s="120"/>
    </row>
    <row r="76" spans="3:24" x14ac:dyDescent="0.2">
      <c r="C76" s="143"/>
      <c r="D76" s="144"/>
      <c r="E76" s="143"/>
      <c r="F76" s="143"/>
      <c r="G76" s="143"/>
      <c r="H76" s="142"/>
      <c r="I76" s="142"/>
      <c r="J76" s="142"/>
      <c r="K76" s="142"/>
      <c r="L76" s="143"/>
      <c r="M76" s="141"/>
      <c r="N76" s="141"/>
      <c r="O76" s="141"/>
      <c r="P76" s="141"/>
      <c r="Q76" s="116"/>
      <c r="R76" s="120"/>
      <c r="S76" s="120"/>
      <c r="T76" s="120"/>
      <c r="U76" s="120"/>
      <c r="V76" s="120"/>
      <c r="W76" s="120"/>
    </row>
    <row r="77" spans="3:24" x14ac:dyDescent="0.2">
      <c r="C77" s="143"/>
      <c r="D77" s="144"/>
      <c r="E77" s="143"/>
      <c r="F77" s="143"/>
      <c r="G77" s="143"/>
      <c r="H77" s="142"/>
      <c r="I77" s="142"/>
      <c r="J77" s="142"/>
      <c r="K77" s="142"/>
      <c r="L77" s="143"/>
      <c r="M77" s="141"/>
      <c r="N77" s="141"/>
      <c r="O77" s="141"/>
      <c r="P77" s="141"/>
      <c r="Q77" s="116"/>
      <c r="R77" s="120"/>
      <c r="S77" s="120"/>
      <c r="T77" s="120"/>
      <c r="U77" s="120"/>
      <c r="V77" s="120"/>
      <c r="W77" s="120"/>
    </row>
    <row r="78" spans="3:24" x14ac:dyDescent="0.2">
      <c r="C78" s="143"/>
      <c r="D78" s="144"/>
      <c r="E78" s="143"/>
      <c r="F78" s="143"/>
      <c r="G78" s="143"/>
      <c r="H78" s="142"/>
      <c r="I78" s="142"/>
      <c r="J78" s="142"/>
      <c r="K78" s="142"/>
      <c r="L78" s="143"/>
      <c r="M78" s="141"/>
      <c r="N78" s="141"/>
      <c r="O78" s="141"/>
      <c r="P78" s="141"/>
      <c r="Q78" s="116"/>
      <c r="R78" s="120"/>
      <c r="S78" s="120"/>
      <c r="T78" s="120"/>
      <c r="U78" s="120"/>
      <c r="V78" s="120"/>
      <c r="W78" s="120"/>
    </row>
    <row r="79" spans="3:24" x14ac:dyDescent="0.2">
      <c r="C79" s="143"/>
      <c r="D79" s="144"/>
      <c r="E79" s="143"/>
      <c r="F79" s="143"/>
      <c r="G79" s="143"/>
      <c r="H79" s="142"/>
      <c r="I79" s="142"/>
      <c r="J79" s="142"/>
      <c r="K79" s="142"/>
      <c r="L79" s="143"/>
      <c r="M79" s="141"/>
      <c r="N79" s="141"/>
      <c r="O79" s="141"/>
      <c r="P79" s="141"/>
      <c r="Q79" s="116"/>
      <c r="R79" s="120"/>
      <c r="S79" s="120"/>
      <c r="T79" s="120"/>
      <c r="U79" s="120"/>
      <c r="V79" s="120"/>
      <c r="W79" s="120"/>
    </row>
    <row r="80" spans="3:24" x14ac:dyDescent="0.2">
      <c r="C80" s="143"/>
      <c r="D80" s="144"/>
      <c r="E80" s="143"/>
      <c r="F80" s="143"/>
      <c r="G80" s="143"/>
      <c r="H80" s="142"/>
      <c r="I80" s="142"/>
      <c r="J80" s="142"/>
      <c r="K80" s="142"/>
      <c r="L80" s="143"/>
      <c r="M80" s="141"/>
      <c r="N80" s="141"/>
      <c r="O80" s="141"/>
      <c r="P80" s="141"/>
      <c r="Q80" s="116"/>
      <c r="R80" s="120"/>
      <c r="S80" s="120"/>
      <c r="T80" s="120"/>
      <c r="U80" s="120"/>
      <c r="V80" s="120"/>
      <c r="W80" s="120"/>
    </row>
    <row r="81" spans="3:23" x14ac:dyDescent="0.2">
      <c r="C81" s="143"/>
      <c r="D81" s="144"/>
      <c r="E81" s="143"/>
      <c r="F81" s="143"/>
      <c r="G81" s="143"/>
      <c r="H81" s="142"/>
      <c r="I81" s="142"/>
      <c r="J81" s="142"/>
      <c r="K81" s="142"/>
      <c r="L81" s="143"/>
      <c r="M81" s="141"/>
      <c r="N81" s="141"/>
      <c r="O81" s="141"/>
      <c r="P81" s="141"/>
      <c r="Q81" s="116"/>
      <c r="R81" s="120"/>
      <c r="S81" s="120"/>
      <c r="T81" s="120"/>
      <c r="U81" s="120"/>
      <c r="V81" s="120"/>
      <c r="W81" s="120"/>
    </row>
    <row r="82" spans="3:23" x14ac:dyDescent="0.2">
      <c r="C82" s="143"/>
      <c r="D82" s="144"/>
      <c r="E82" s="143"/>
      <c r="F82" s="143"/>
      <c r="G82" s="143"/>
      <c r="H82" s="142"/>
      <c r="I82" s="142"/>
      <c r="J82" s="142"/>
      <c r="K82" s="142"/>
      <c r="L82" s="143"/>
      <c r="M82" s="141"/>
      <c r="N82" s="141"/>
      <c r="O82" s="141"/>
      <c r="P82" s="141"/>
      <c r="Q82" s="116"/>
      <c r="R82" s="120"/>
      <c r="S82" s="120"/>
      <c r="T82" s="120"/>
      <c r="U82" s="120"/>
      <c r="V82" s="120"/>
      <c r="W82" s="120"/>
    </row>
    <row r="83" spans="3:23" x14ac:dyDescent="0.2">
      <c r="C83" s="143"/>
      <c r="D83" s="144"/>
      <c r="E83" s="143"/>
      <c r="F83" s="143"/>
      <c r="G83" s="143"/>
      <c r="H83" s="142"/>
      <c r="I83" s="142"/>
      <c r="J83" s="142"/>
      <c r="K83" s="142"/>
      <c r="L83" s="143"/>
      <c r="M83" s="141"/>
      <c r="N83" s="141"/>
      <c r="O83" s="141"/>
      <c r="P83" s="141"/>
      <c r="Q83" s="116"/>
      <c r="R83" s="120"/>
      <c r="S83" s="120"/>
      <c r="T83" s="120"/>
      <c r="U83" s="120"/>
      <c r="V83" s="120"/>
      <c r="W83" s="120"/>
    </row>
    <row r="84" spans="3:23" x14ac:dyDescent="0.2">
      <c r="C84" s="143"/>
      <c r="D84" s="144"/>
      <c r="E84" s="143"/>
      <c r="F84" s="143"/>
      <c r="G84" s="143"/>
      <c r="H84" s="142"/>
      <c r="I84" s="142"/>
      <c r="J84" s="142"/>
      <c r="K84" s="142"/>
      <c r="L84" s="143"/>
      <c r="M84" s="141"/>
      <c r="N84" s="141"/>
      <c r="O84" s="141"/>
      <c r="P84" s="141"/>
      <c r="Q84" s="116"/>
      <c r="R84" s="120"/>
      <c r="S84" s="120"/>
      <c r="T84" s="120"/>
      <c r="U84" s="120"/>
      <c r="V84" s="120"/>
      <c r="W84" s="120"/>
    </row>
    <row r="85" spans="3:23" x14ac:dyDescent="0.2">
      <c r="C85" s="143"/>
      <c r="D85" s="152"/>
      <c r="E85" s="157"/>
      <c r="F85" s="157"/>
      <c r="G85" s="157"/>
      <c r="H85" s="158"/>
      <c r="I85" s="158"/>
      <c r="J85" s="158"/>
      <c r="K85" s="158"/>
      <c r="L85" s="143"/>
      <c r="M85" s="141"/>
      <c r="N85" s="141"/>
      <c r="O85" s="141"/>
      <c r="P85" s="141"/>
      <c r="Q85" s="116"/>
      <c r="R85" s="120"/>
      <c r="S85" s="120"/>
      <c r="T85" s="120"/>
      <c r="U85" s="120"/>
      <c r="V85" s="120"/>
      <c r="W85" s="120"/>
    </row>
    <row r="86" spans="3:23" x14ac:dyDescent="0.2">
      <c r="M86" s="89"/>
      <c r="N86" s="89"/>
      <c r="O86" s="89"/>
      <c r="P86" s="89"/>
      <c r="Q86" s="116"/>
      <c r="R86" s="120"/>
      <c r="S86" s="120"/>
      <c r="T86" s="120"/>
      <c r="U86" s="120"/>
      <c r="V86" s="120"/>
      <c r="W86" s="120"/>
    </row>
    <row r="87" spans="3:23" x14ac:dyDescent="0.2">
      <c r="M87" s="89"/>
      <c r="N87" s="89"/>
      <c r="O87" s="89"/>
      <c r="P87" s="89"/>
      <c r="Q87" s="116"/>
      <c r="R87" s="120"/>
      <c r="S87" s="120"/>
      <c r="T87" s="120"/>
      <c r="U87" s="120"/>
      <c r="V87" s="120"/>
      <c r="W87" s="120"/>
    </row>
    <row r="88" spans="3:23" x14ac:dyDescent="0.2">
      <c r="M88" s="89"/>
      <c r="N88" s="89"/>
      <c r="O88" s="89"/>
      <c r="P88" s="89"/>
      <c r="Q88" s="89"/>
      <c r="R88" s="120"/>
      <c r="S88" s="120"/>
      <c r="T88" s="120"/>
      <c r="U88" s="120"/>
      <c r="V88" s="120"/>
      <c r="W88" s="120"/>
    </row>
    <row r="89" spans="3:23" x14ac:dyDescent="0.2">
      <c r="M89" s="89"/>
      <c r="N89" s="89"/>
      <c r="O89" s="89"/>
      <c r="P89" s="89"/>
      <c r="Q89" s="89"/>
      <c r="R89" s="120"/>
      <c r="S89" s="120"/>
      <c r="T89" s="120"/>
      <c r="U89" s="120"/>
      <c r="V89" s="120"/>
      <c r="W89" s="120"/>
    </row>
    <row r="90" spans="3:23" x14ac:dyDescent="0.2">
      <c r="M90" s="89"/>
      <c r="N90" s="89"/>
      <c r="O90" s="89"/>
      <c r="P90" s="89"/>
      <c r="Q90" s="89"/>
      <c r="R90" s="120"/>
      <c r="S90" s="120"/>
      <c r="T90" s="120"/>
      <c r="U90" s="120"/>
      <c r="V90" s="120"/>
      <c r="W90" s="120"/>
    </row>
    <row r="91" spans="3:23" x14ac:dyDescent="0.2">
      <c r="M91" s="89"/>
      <c r="N91" s="89"/>
      <c r="O91" s="89"/>
      <c r="P91" s="89"/>
      <c r="Q91" s="89"/>
      <c r="R91" s="120"/>
      <c r="S91" s="120"/>
      <c r="T91" s="120"/>
      <c r="U91" s="120"/>
      <c r="V91" s="120"/>
      <c r="W91" s="120"/>
    </row>
    <row r="92" spans="3:23" x14ac:dyDescent="0.2">
      <c r="R92" s="146"/>
      <c r="S92" s="146"/>
      <c r="T92" s="146"/>
      <c r="U92" s="146"/>
      <c r="V92" s="146"/>
      <c r="W92" s="146"/>
    </row>
    <row r="93" spans="3:23" x14ac:dyDescent="0.2">
      <c r="R93" s="146"/>
      <c r="S93" s="146"/>
      <c r="T93" s="146"/>
      <c r="U93" s="146"/>
      <c r="V93" s="146"/>
      <c r="W93" s="146"/>
    </row>
    <row r="94" spans="3:23" x14ac:dyDescent="0.2">
      <c r="R94" s="146"/>
      <c r="S94" s="146"/>
      <c r="T94" s="146"/>
      <c r="U94" s="146"/>
      <c r="V94" s="146"/>
      <c r="W94" s="146"/>
    </row>
    <row r="95" spans="3:23" x14ac:dyDescent="0.2">
      <c r="R95" s="146"/>
      <c r="S95" s="146"/>
      <c r="T95" s="146"/>
      <c r="U95" s="146"/>
      <c r="V95" s="146"/>
      <c r="W95" s="146"/>
    </row>
    <row r="96" spans="3:23" x14ac:dyDescent="0.2">
      <c r="R96" s="146"/>
      <c r="S96" s="146"/>
      <c r="T96" s="146"/>
      <c r="U96" s="146"/>
      <c r="V96" s="146"/>
      <c r="W96" s="146"/>
    </row>
    <row r="97" spans="18:23" x14ac:dyDescent="0.2">
      <c r="R97" s="146"/>
      <c r="S97" s="146"/>
      <c r="T97" s="146"/>
      <c r="U97" s="146"/>
      <c r="V97" s="146"/>
      <c r="W97" s="146"/>
    </row>
    <row r="98" spans="18:23" x14ac:dyDescent="0.2">
      <c r="R98" s="146"/>
      <c r="S98" s="146"/>
      <c r="T98" s="146"/>
      <c r="U98" s="146"/>
      <c r="V98" s="146"/>
      <c r="W98" s="146"/>
    </row>
    <row r="99" spans="18:23" x14ac:dyDescent="0.2">
      <c r="R99" s="146"/>
      <c r="S99" s="146"/>
      <c r="T99" s="146"/>
      <c r="U99" s="146"/>
      <c r="V99" s="146"/>
      <c r="W99" s="146"/>
    </row>
    <row r="100" spans="18:23" x14ac:dyDescent="0.2">
      <c r="R100" s="146"/>
      <c r="S100" s="146"/>
      <c r="T100" s="146"/>
      <c r="U100" s="146"/>
      <c r="V100" s="146"/>
      <c r="W100" s="146"/>
    </row>
    <row r="101" spans="18:23" x14ac:dyDescent="0.2">
      <c r="R101" s="146"/>
      <c r="S101" s="146"/>
      <c r="T101" s="146"/>
      <c r="U101" s="146"/>
      <c r="V101" s="146"/>
      <c r="W101" s="146"/>
    </row>
    <row r="102" spans="18:23" x14ac:dyDescent="0.2">
      <c r="R102" s="146"/>
      <c r="S102" s="146"/>
      <c r="T102" s="146"/>
      <c r="U102" s="146"/>
      <c r="V102" s="146"/>
      <c r="W102" s="146"/>
    </row>
    <row r="103" spans="18:23" x14ac:dyDescent="0.2">
      <c r="R103" s="146"/>
      <c r="S103" s="146"/>
      <c r="T103" s="146"/>
      <c r="U103" s="146"/>
      <c r="V103" s="146"/>
      <c r="W103" s="146"/>
    </row>
    <row r="104" spans="18:23" x14ac:dyDescent="0.2">
      <c r="R104" s="146"/>
      <c r="S104" s="146"/>
      <c r="T104" s="146"/>
      <c r="U104" s="146"/>
      <c r="V104" s="146"/>
      <c r="W104" s="146"/>
    </row>
    <row r="105" spans="18:23" x14ac:dyDescent="0.2">
      <c r="R105" s="146"/>
      <c r="S105" s="146"/>
      <c r="T105" s="146"/>
      <c r="U105" s="146"/>
      <c r="V105" s="146"/>
      <c r="W105" s="146"/>
    </row>
    <row r="106" spans="18:23" x14ac:dyDescent="0.2">
      <c r="R106" s="146"/>
      <c r="S106" s="146"/>
      <c r="T106" s="146"/>
      <c r="U106" s="146"/>
      <c r="V106" s="146"/>
      <c r="W106" s="146"/>
    </row>
    <row r="107" spans="18:23" x14ac:dyDescent="0.2">
      <c r="R107" s="146"/>
      <c r="S107" s="146"/>
      <c r="T107" s="146"/>
      <c r="U107" s="146"/>
      <c r="V107" s="146"/>
      <c r="W107" s="146"/>
    </row>
    <row r="108" spans="18:23" x14ac:dyDescent="0.2">
      <c r="R108" s="146"/>
      <c r="S108" s="146"/>
      <c r="T108" s="146"/>
      <c r="U108" s="146"/>
      <c r="V108" s="146"/>
      <c r="W108" s="146"/>
    </row>
    <row r="109" spans="18:23" x14ac:dyDescent="0.2">
      <c r="R109" s="146"/>
      <c r="S109" s="146"/>
      <c r="T109" s="146"/>
      <c r="U109" s="146"/>
      <c r="V109" s="146"/>
      <c r="W109" s="146"/>
    </row>
    <row r="110" spans="18:23" x14ac:dyDescent="0.2">
      <c r="R110" s="146"/>
      <c r="S110" s="146"/>
      <c r="T110" s="146"/>
      <c r="U110" s="146"/>
      <c r="V110" s="146"/>
      <c r="W110" s="146"/>
    </row>
    <row r="111" spans="18:23" x14ac:dyDescent="0.2">
      <c r="R111" s="146"/>
      <c r="S111" s="146"/>
      <c r="T111" s="146"/>
      <c r="U111" s="146"/>
      <c r="V111" s="146"/>
      <c r="W111" s="146"/>
    </row>
    <row r="112" spans="18:23" x14ac:dyDescent="0.2">
      <c r="R112" s="146"/>
      <c r="S112" s="146"/>
      <c r="T112" s="146"/>
      <c r="U112" s="146"/>
      <c r="V112" s="146"/>
      <c r="W112" s="146"/>
    </row>
    <row r="113" spans="18:23" x14ac:dyDescent="0.2">
      <c r="R113" s="146"/>
      <c r="S113" s="146"/>
      <c r="T113" s="146"/>
      <c r="U113" s="146"/>
      <c r="V113" s="146"/>
      <c r="W113" s="146"/>
    </row>
    <row r="114" spans="18:23" x14ac:dyDescent="0.2">
      <c r="R114" s="146"/>
      <c r="S114" s="146"/>
      <c r="T114" s="146"/>
      <c r="U114" s="146"/>
      <c r="V114" s="146"/>
      <c r="W114" s="146"/>
    </row>
    <row r="115" spans="18:23" x14ac:dyDescent="0.2">
      <c r="R115" s="146"/>
      <c r="S115" s="146"/>
      <c r="T115" s="146"/>
      <c r="U115" s="146"/>
      <c r="V115" s="146"/>
      <c r="W115" s="146"/>
    </row>
    <row r="116" spans="18:23" x14ac:dyDescent="0.2">
      <c r="R116" s="146"/>
      <c r="S116" s="146"/>
      <c r="T116" s="146"/>
      <c r="U116" s="146"/>
      <c r="V116" s="146"/>
      <c r="W116" s="146"/>
    </row>
    <row r="117" spans="18:23" x14ac:dyDescent="0.2">
      <c r="R117" s="146"/>
      <c r="S117" s="146"/>
      <c r="T117" s="146"/>
      <c r="U117" s="146"/>
      <c r="V117" s="146"/>
      <c r="W117" s="146"/>
    </row>
    <row r="118" spans="18:23" x14ac:dyDescent="0.2">
      <c r="R118" s="146"/>
      <c r="S118" s="146"/>
      <c r="T118" s="146"/>
      <c r="U118" s="146"/>
      <c r="V118" s="146"/>
      <c r="W118" s="146"/>
    </row>
    <row r="119" spans="18:23" x14ac:dyDescent="0.2">
      <c r="R119" s="146"/>
      <c r="S119" s="146"/>
      <c r="T119" s="146"/>
      <c r="U119" s="146"/>
      <c r="V119" s="146"/>
      <c r="W119" s="146"/>
    </row>
    <row r="120" spans="18:23" x14ac:dyDescent="0.2">
      <c r="R120" s="146"/>
      <c r="S120" s="146"/>
      <c r="T120" s="146"/>
      <c r="U120" s="146"/>
      <c r="V120" s="146"/>
      <c r="W120" s="146"/>
    </row>
    <row r="121" spans="18:23" x14ac:dyDescent="0.2">
      <c r="R121" s="146"/>
      <c r="S121" s="146"/>
      <c r="T121" s="146"/>
      <c r="U121" s="146"/>
      <c r="V121" s="146"/>
      <c r="W121" s="146"/>
    </row>
    <row r="122" spans="18:23" x14ac:dyDescent="0.2">
      <c r="R122" s="146"/>
      <c r="S122" s="146"/>
      <c r="T122" s="146"/>
      <c r="U122" s="146"/>
      <c r="V122" s="146"/>
      <c r="W122" s="146"/>
    </row>
    <row r="123" spans="18:23" x14ac:dyDescent="0.2">
      <c r="R123" s="146"/>
      <c r="S123" s="146"/>
      <c r="T123" s="146"/>
      <c r="U123" s="146"/>
      <c r="V123" s="146"/>
      <c r="W123" s="146"/>
    </row>
    <row r="124" spans="18:23" x14ac:dyDescent="0.2">
      <c r="R124" s="146"/>
      <c r="S124" s="146"/>
      <c r="T124" s="146"/>
      <c r="U124" s="146"/>
      <c r="V124" s="146"/>
      <c r="W124" s="146"/>
    </row>
    <row r="125" spans="18:23" x14ac:dyDescent="0.2">
      <c r="R125" s="146"/>
      <c r="S125" s="146"/>
      <c r="T125" s="146"/>
      <c r="U125" s="146"/>
      <c r="V125" s="146"/>
      <c r="W125" s="146"/>
    </row>
    <row r="126" spans="18:23" x14ac:dyDescent="0.2">
      <c r="R126" s="146"/>
      <c r="S126" s="146"/>
      <c r="T126" s="146"/>
      <c r="U126" s="146"/>
      <c r="V126" s="146"/>
      <c r="W126" s="146"/>
    </row>
    <row r="127" spans="18:23" x14ac:dyDescent="0.2">
      <c r="R127" s="146"/>
      <c r="S127" s="146"/>
      <c r="T127" s="146"/>
      <c r="U127" s="146"/>
      <c r="V127" s="146"/>
      <c r="W127" s="146"/>
    </row>
    <row r="128" spans="18:23" x14ac:dyDescent="0.2">
      <c r="R128" s="146"/>
      <c r="S128" s="146"/>
      <c r="T128" s="146"/>
      <c r="U128" s="146"/>
      <c r="V128" s="146"/>
      <c r="W128" s="146"/>
    </row>
    <row r="129" spans="18:23" x14ac:dyDescent="0.2">
      <c r="R129" s="146"/>
      <c r="S129" s="146"/>
      <c r="T129" s="146"/>
      <c r="U129" s="146"/>
      <c r="V129" s="146"/>
      <c r="W129" s="146"/>
    </row>
    <row r="130" spans="18:23" x14ac:dyDescent="0.2">
      <c r="R130" s="146"/>
      <c r="S130" s="146"/>
      <c r="T130" s="146"/>
      <c r="U130" s="146"/>
      <c r="V130" s="146"/>
      <c r="W130" s="146"/>
    </row>
    <row r="131" spans="18:23" x14ac:dyDescent="0.2">
      <c r="R131" s="146"/>
      <c r="S131" s="146"/>
      <c r="T131" s="146"/>
      <c r="U131" s="146"/>
      <c r="V131" s="146"/>
      <c r="W131" s="146"/>
    </row>
    <row r="132" spans="18:23" x14ac:dyDescent="0.2">
      <c r="R132" s="146"/>
      <c r="S132" s="146"/>
      <c r="T132" s="146"/>
      <c r="U132" s="146"/>
      <c r="V132" s="146"/>
      <c r="W132" s="146"/>
    </row>
    <row r="133" spans="18:23" x14ac:dyDescent="0.2">
      <c r="R133" s="146"/>
      <c r="S133" s="146"/>
      <c r="T133" s="146"/>
      <c r="U133" s="146"/>
      <c r="V133" s="146"/>
      <c r="W133" s="146"/>
    </row>
    <row r="134" spans="18:23" x14ac:dyDescent="0.2">
      <c r="R134" s="146"/>
      <c r="S134" s="146"/>
      <c r="T134" s="146"/>
      <c r="U134" s="146"/>
      <c r="V134" s="146"/>
      <c r="W134" s="146"/>
    </row>
    <row r="135" spans="18:23" x14ac:dyDescent="0.2">
      <c r="R135" s="146"/>
      <c r="S135" s="146"/>
      <c r="T135" s="146"/>
      <c r="U135" s="146"/>
      <c r="V135" s="146"/>
      <c r="W135" s="146"/>
    </row>
    <row r="136" spans="18:23" x14ac:dyDescent="0.2">
      <c r="R136" s="146"/>
      <c r="S136" s="146"/>
      <c r="T136" s="146"/>
      <c r="U136" s="146"/>
      <c r="V136" s="146"/>
      <c r="W136" s="146"/>
    </row>
    <row r="137" spans="18:23" x14ac:dyDescent="0.2">
      <c r="R137" s="146"/>
      <c r="S137" s="146"/>
      <c r="T137" s="146"/>
      <c r="U137" s="146"/>
      <c r="V137" s="146"/>
      <c r="W137" s="146"/>
    </row>
    <row r="138" spans="18:23" x14ac:dyDescent="0.2">
      <c r="R138" s="146"/>
      <c r="S138" s="146"/>
      <c r="T138" s="146"/>
      <c r="U138" s="146"/>
      <c r="V138" s="146"/>
      <c r="W138" s="146"/>
    </row>
    <row r="139" spans="18:23" x14ac:dyDescent="0.2">
      <c r="R139" s="146"/>
      <c r="S139" s="146"/>
      <c r="T139" s="146"/>
      <c r="U139" s="146"/>
      <c r="V139" s="146"/>
      <c r="W139" s="146"/>
    </row>
    <row r="140" spans="18:23" x14ac:dyDescent="0.2">
      <c r="R140" s="146"/>
      <c r="S140" s="146"/>
      <c r="T140" s="146"/>
      <c r="U140" s="146"/>
      <c r="V140" s="146"/>
      <c r="W140" s="146"/>
    </row>
    <row r="141" spans="18:23" x14ac:dyDescent="0.2">
      <c r="R141" s="146"/>
      <c r="S141" s="146"/>
      <c r="T141" s="146"/>
      <c r="U141" s="146"/>
      <c r="V141" s="146"/>
      <c r="W141" s="146"/>
    </row>
    <row r="142" spans="18:23" x14ac:dyDescent="0.2">
      <c r="R142" s="146"/>
      <c r="S142" s="146"/>
      <c r="T142" s="146"/>
      <c r="U142" s="146"/>
      <c r="V142" s="146"/>
      <c r="W142" s="146"/>
    </row>
    <row r="143" spans="18:23" x14ac:dyDescent="0.2">
      <c r="R143" s="146"/>
      <c r="S143" s="146"/>
      <c r="T143" s="146"/>
      <c r="U143" s="146"/>
      <c r="V143" s="146"/>
      <c r="W143" s="146"/>
    </row>
    <row r="144" spans="18:23" x14ac:dyDescent="0.2">
      <c r="R144" s="146"/>
      <c r="S144" s="146"/>
      <c r="T144" s="146"/>
      <c r="U144" s="146"/>
      <c r="V144" s="146"/>
      <c r="W144" s="146"/>
    </row>
    <row r="145" spans="18:23" x14ac:dyDescent="0.2">
      <c r="R145" s="146"/>
      <c r="S145" s="146"/>
      <c r="T145" s="146"/>
      <c r="U145" s="146"/>
      <c r="V145" s="146"/>
      <c r="W145" s="146"/>
    </row>
    <row r="146" spans="18:23" x14ac:dyDescent="0.2">
      <c r="R146" s="146"/>
      <c r="S146" s="146"/>
      <c r="T146" s="146"/>
      <c r="U146" s="146"/>
      <c r="V146" s="146"/>
      <c r="W146" s="146"/>
    </row>
    <row r="147" spans="18:23" x14ac:dyDescent="0.2">
      <c r="R147" s="146"/>
      <c r="S147" s="146"/>
      <c r="T147" s="146"/>
      <c r="U147" s="146"/>
      <c r="V147" s="146"/>
      <c r="W147" s="146"/>
    </row>
    <row r="148" spans="18:23" x14ac:dyDescent="0.2">
      <c r="R148" s="146"/>
      <c r="S148" s="146"/>
      <c r="T148" s="146"/>
      <c r="U148" s="146"/>
      <c r="V148" s="146"/>
      <c r="W148" s="146"/>
    </row>
    <row r="149" spans="18:23" x14ac:dyDescent="0.2">
      <c r="R149" s="146"/>
      <c r="S149" s="146"/>
      <c r="T149" s="146"/>
      <c r="U149" s="146"/>
      <c r="V149" s="146"/>
      <c r="W149" s="146"/>
    </row>
    <row r="150" spans="18:23" x14ac:dyDescent="0.2">
      <c r="R150" s="146"/>
      <c r="S150" s="146"/>
      <c r="T150" s="146"/>
      <c r="U150" s="146"/>
      <c r="V150" s="146"/>
      <c r="W150" s="146"/>
    </row>
    <row r="151" spans="18:23" x14ac:dyDescent="0.2">
      <c r="R151" s="146"/>
      <c r="S151" s="146"/>
      <c r="T151" s="146"/>
      <c r="U151" s="146"/>
      <c r="V151" s="146"/>
      <c r="W151" s="146"/>
    </row>
    <row r="152" spans="18:23" x14ac:dyDescent="0.2">
      <c r="R152" s="146"/>
      <c r="S152" s="146"/>
      <c r="T152" s="146"/>
      <c r="U152" s="146"/>
      <c r="V152" s="146"/>
      <c r="W152" s="146"/>
    </row>
    <row r="153" spans="18:23" x14ac:dyDescent="0.2">
      <c r="R153" s="146"/>
      <c r="S153" s="146"/>
      <c r="T153" s="146"/>
      <c r="U153" s="146"/>
      <c r="V153" s="146"/>
      <c r="W153" s="146"/>
    </row>
    <row r="154" spans="18:23" x14ac:dyDescent="0.2">
      <c r="R154" s="146"/>
      <c r="S154" s="146"/>
      <c r="T154" s="146"/>
      <c r="U154" s="146"/>
      <c r="V154" s="146"/>
      <c r="W154" s="146"/>
    </row>
    <row r="155" spans="18:23" x14ac:dyDescent="0.2">
      <c r="R155" s="146"/>
      <c r="S155" s="146"/>
      <c r="T155" s="146"/>
      <c r="U155" s="146"/>
      <c r="V155" s="146"/>
      <c r="W155" s="146"/>
    </row>
    <row r="156" spans="18:23" x14ac:dyDescent="0.2">
      <c r="R156" s="146"/>
      <c r="S156" s="146"/>
      <c r="T156" s="146"/>
      <c r="U156" s="146"/>
      <c r="V156" s="146"/>
      <c r="W156" s="146"/>
    </row>
    <row r="157" spans="18:23" x14ac:dyDescent="0.2">
      <c r="R157" s="146"/>
      <c r="S157" s="146"/>
      <c r="T157" s="146"/>
      <c r="U157" s="146"/>
      <c r="V157" s="146"/>
      <c r="W157" s="146"/>
    </row>
    <row r="158" spans="18:23" x14ac:dyDescent="0.2">
      <c r="R158" s="146"/>
      <c r="S158" s="146"/>
      <c r="T158" s="146"/>
      <c r="U158" s="146"/>
      <c r="V158" s="146"/>
      <c r="W158" s="146"/>
    </row>
    <row r="159" spans="18:23" x14ac:dyDescent="0.2">
      <c r="R159" s="146"/>
      <c r="S159" s="146"/>
      <c r="T159" s="146"/>
      <c r="U159" s="146"/>
      <c r="V159" s="146"/>
      <c r="W159" s="146"/>
    </row>
    <row r="160" spans="18:23" x14ac:dyDescent="0.2">
      <c r="R160" s="146"/>
      <c r="S160" s="146"/>
      <c r="T160" s="146"/>
      <c r="U160" s="146"/>
      <c r="V160" s="146"/>
      <c r="W160" s="146"/>
    </row>
    <row r="161" spans="18:23" x14ac:dyDescent="0.2">
      <c r="R161" s="146"/>
      <c r="S161" s="146"/>
      <c r="T161" s="146"/>
      <c r="U161" s="146"/>
      <c r="V161" s="146"/>
      <c r="W161" s="146"/>
    </row>
    <row r="162" spans="18:23" x14ac:dyDescent="0.2">
      <c r="R162" s="146"/>
      <c r="S162" s="146"/>
      <c r="T162" s="146"/>
      <c r="U162" s="146"/>
      <c r="V162" s="146"/>
      <c r="W162" s="146"/>
    </row>
    <row r="163" spans="18:23" x14ac:dyDescent="0.2">
      <c r="R163" s="146"/>
      <c r="S163" s="146"/>
      <c r="T163" s="146"/>
      <c r="U163" s="146"/>
      <c r="V163" s="146"/>
      <c r="W163" s="146"/>
    </row>
    <row r="164" spans="18:23" x14ac:dyDescent="0.2">
      <c r="R164" s="146"/>
      <c r="S164" s="146"/>
      <c r="T164" s="146"/>
      <c r="U164" s="146"/>
      <c r="V164" s="146"/>
      <c r="W164" s="146"/>
    </row>
    <row r="165" spans="18:23" x14ac:dyDescent="0.2">
      <c r="R165" s="146"/>
      <c r="S165" s="146"/>
      <c r="T165" s="146"/>
      <c r="U165" s="146"/>
      <c r="V165" s="146"/>
      <c r="W165" s="146"/>
    </row>
    <row r="166" spans="18:23" x14ac:dyDescent="0.2">
      <c r="R166" s="146"/>
      <c r="S166" s="146"/>
      <c r="T166" s="146"/>
      <c r="U166" s="146"/>
      <c r="V166" s="146"/>
      <c r="W166" s="146"/>
    </row>
    <row r="167" spans="18:23" x14ac:dyDescent="0.2">
      <c r="R167" s="146"/>
      <c r="S167" s="146"/>
      <c r="T167" s="146"/>
      <c r="U167" s="146"/>
      <c r="V167" s="146"/>
      <c r="W167" s="146"/>
    </row>
    <row r="168" spans="18:23" x14ac:dyDescent="0.2">
      <c r="R168" s="146"/>
      <c r="S168" s="146"/>
      <c r="T168" s="146"/>
      <c r="U168" s="146"/>
      <c r="V168" s="146"/>
      <c r="W168" s="146"/>
    </row>
    <row r="169" spans="18:23" x14ac:dyDescent="0.2">
      <c r="R169" s="146"/>
      <c r="S169" s="146"/>
      <c r="T169" s="146"/>
      <c r="U169" s="146"/>
      <c r="V169" s="146"/>
      <c r="W169" s="146"/>
    </row>
    <row r="170" spans="18:23" x14ac:dyDescent="0.2">
      <c r="R170" s="146"/>
      <c r="S170" s="146"/>
      <c r="T170" s="146"/>
      <c r="U170" s="146"/>
      <c r="V170" s="146"/>
      <c r="W170" s="146"/>
    </row>
    <row r="171" spans="18:23" x14ac:dyDescent="0.2">
      <c r="R171" s="146"/>
      <c r="S171" s="146"/>
      <c r="T171" s="146"/>
      <c r="U171" s="146"/>
      <c r="V171" s="146"/>
      <c r="W171" s="146"/>
    </row>
    <row r="172" spans="18:23" x14ac:dyDescent="0.2">
      <c r="R172" s="146"/>
      <c r="S172" s="146"/>
      <c r="T172" s="146"/>
      <c r="U172" s="146"/>
      <c r="V172" s="146"/>
      <c r="W172" s="146"/>
    </row>
    <row r="173" spans="18:23" x14ac:dyDescent="0.2">
      <c r="R173" s="146"/>
      <c r="S173" s="146"/>
      <c r="T173" s="146"/>
      <c r="U173" s="146"/>
      <c r="V173" s="146"/>
      <c r="W173" s="146"/>
    </row>
    <row r="174" spans="18:23" x14ac:dyDescent="0.2">
      <c r="R174" s="146"/>
      <c r="S174" s="146"/>
      <c r="T174" s="146"/>
      <c r="U174" s="146"/>
      <c r="V174" s="146"/>
      <c r="W174" s="146"/>
    </row>
    <row r="175" spans="18:23" x14ac:dyDescent="0.2">
      <c r="R175" s="146"/>
      <c r="S175" s="146"/>
      <c r="T175" s="146"/>
      <c r="U175" s="146"/>
      <c r="V175" s="146"/>
      <c r="W175" s="146"/>
    </row>
    <row r="176" spans="18:23" x14ac:dyDescent="0.2">
      <c r="R176" s="146"/>
      <c r="S176" s="146"/>
      <c r="T176" s="146"/>
      <c r="U176" s="146"/>
      <c r="V176" s="146"/>
      <c r="W176" s="146"/>
    </row>
    <row r="177" spans="18:23" x14ac:dyDescent="0.2">
      <c r="R177" s="146"/>
      <c r="S177" s="146"/>
      <c r="T177" s="146"/>
      <c r="U177" s="146"/>
      <c r="V177" s="146"/>
      <c r="W177" s="146"/>
    </row>
    <row r="178" spans="18:23" x14ac:dyDescent="0.2">
      <c r="R178" s="146"/>
      <c r="S178" s="146"/>
      <c r="T178" s="146"/>
      <c r="U178" s="146"/>
      <c r="V178" s="146"/>
      <c r="W178" s="146"/>
    </row>
    <row r="179" spans="18:23" x14ac:dyDescent="0.2">
      <c r="R179" s="146"/>
      <c r="S179" s="146"/>
      <c r="T179" s="146"/>
      <c r="U179" s="146"/>
      <c r="V179" s="146"/>
      <c r="W179" s="146"/>
    </row>
    <row r="180" spans="18:23" x14ac:dyDescent="0.2">
      <c r="R180" s="146"/>
      <c r="S180" s="146"/>
      <c r="T180" s="146"/>
      <c r="U180" s="146"/>
      <c r="V180" s="146"/>
      <c r="W180" s="146"/>
    </row>
    <row r="181" spans="18:23" x14ac:dyDescent="0.2">
      <c r="R181" s="146"/>
      <c r="S181" s="146"/>
      <c r="T181" s="146"/>
      <c r="U181" s="146"/>
      <c r="V181" s="146"/>
      <c r="W181" s="146"/>
    </row>
    <row r="182" spans="18:23" x14ac:dyDescent="0.2">
      <c r="R182" s="146"/>
      <c r="S182" s="146"/>
      <c r="T182" s="146"/>
      <c r="U182" s="146"/>
      <c r="V182" s="146"/>
      <c r="W182" s="146"/>
    </row>
    <row r="183" spans="18:23" x14ac:dyDescent="0.2">
      <c r="R183" s="146"/>
      <c r="S183" s="146"/>
      <c r="T183" s="146"/>
      <c r="U183" s="146"/>
      <c r="V183" s="146"/>
      <c r="W183" s="146"/>
    </row>
    <row r="184" spans="18:23" x14ac:dyDescent="0.2">
      <c r="R184" s="146"/>
      <c r="S184" s="146"/>
      <c r="T184" s="146"/>
      <c r="U184" s="146"/>
      <c r="V184" s="146"/>
      <c r="W184" s="146"/>
    </row>
    <row r="185" spans="18:23" x14ac:dyDescent="0.2">
      <c r="R185" s="146"/>
      <c r="S185" s="146"/>
      <c r="T185" s="146"/>
      <c r="U185" s="146"/>
      <c r="V185" s="146"/>
      <c r="W185" s="146"/>
    </row>
    <row r="186" spans="18:23" x14ac:dyDescent="0.2">
      <c r="R186" s="146"/>
      <c r="S186" s="146"/>
      <c r="T186" s="146"/>
      <c r="U186" s="146"/>
      <c r="V186" s="146"/>
      <c r="W186" s="146"/>
    </row>
    <row r="187" spans="18:23" x14ac:dyDescent="0.2">
      <c r="R187" s="146"/>
      <c r="S187" s="146"/>
      <c r="T187" s="146"/>
      <c r="U187" s="146"/>
      <c r="V187" s="146"/>
      <c r="W187" s="146"/>
    </row>
    <row r="188" spans="18:23" x14ac:dyDescent="0.2">
      <c r="R188" s="146"/>
      <c r="S188" s="146"/>
      <c r="T188" s="146"/>
      <c r="U188" s="146"/>
      <c r="V188" s="146"/>
      <c r="W188" s="146"/>
    </row>
    <row r="189" spans="18:23" x14ac:dyDescent="0.2">
      <c r="R189" s="146"/>
      <c r="S189" s="146"/>
      <c r="T189" s="146"/>
      <c r="U189" s="146"/>
      <c r="V189" s="146"/>
      <c r="W189" s="146"/>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13:C18">
    <cfRule type="expression" dxfId="581" priority="94" stopIfTrue="1">
      <formula>B13=3</formula>
    </cfRule>
    <cfRule type="expression" dxfId="580" priority="95" stopIfTrue="1">
      <formula>B13=4</formula>
    </cfRule>
    <cfRule type="expression" dxfId="579" priority="96" stopIfTrue="1">
      <formula>B13=5</formula>
    </cfRule>
  </conditionalFormatting>
  <conditionalFormatting sqref="F5:F40">
    <cfRule type="expression" dxfId="578" priority="90">
      <formula>$H5=0</formula>
    </cfRule>
    <cfRule type="expression" dxfId="577" priority="93">
      <formula>$H5=0</formula>
    </cfRule>
  </conditionalFormatting>
  <conditionalFormatting sqref="H5:H40">
    <cfRule type="cellIs" dxfId="576" priority="97" stopIfTrue="1" operator="between">
      <formula>0.1</formula>
      <formula>1.9</formula>
    </cfRule>
    <cfRule type="cellIs" dxfId="575" priority="98" stopIfTrue="1" operator="between">
      <formula>3</formula>
      <formula>3.9</formula>
    </cfRule>
    <cfRule type="cellIs" dxfId="574" priority="99" stopIfTrue="1" operator="between">
      <formula>4</formula>
      <formula>5</formula>
    </cfRule>
  </conditionalFormatting>
  <conditionalFormatting sqref="F5:F40">
    <cfRule type="expression" dxfId="573" priority="91">
      <formula>$H5&lt;#REF!</formula>
    </cfRule>
    <cfRule type="expression" dxfId="572" priority="92">
      <formula>$H5&gt;=#REF!</formula>
    </cfRule>
  </conditionalFormatting>
  <conditionalFormatting sqref="E5:E40">
    <cfRule type="expression" dxfId="571" priority="84">
      <formula>$D5=3</formula>
    </cfRule>
    <cfRule type="expression" dxfId="570" priority="85">
      <formula>$D5=4</formula>
    </cfRule>
    <cfRule type="expression" dxfId="569" priority="86">
      <formula>$D5=5</formula>
    </cfRule>
    <cfRule type="expression" dxfId="568" priority="87">
      <formula>$D5=8</formula>
    </cfRule>
    <cfRule type="expression" dxfId="567" priority="88">
      <formula>$D5=7</formula>
    </cfRule>
    <cfRule type="expression" dxfId="566" priority="89">
      <formula>$D5=6</formula>
    </cfRule>
  </conditionalFormatting>
  <conditionalFormatting sqref="C13:C18">
    <cfRule type="cellIs" dxfId="565" priority="80" operator="equal">
      <formula>""</formula>
    </cfRule>
    <cfRule type="expression" dxfId="564" priority="81" stopIfTrue="1">
      <formula>B13=8</formula>
    </cfRule>
    <cfRule type="expression" dxfId="563" priority="82" stopIfTrue="1">
      <formula>B13=7</formula>
    </cfRule>
    <cfRule type="expression" dxfId="562" priority="83" stopIfTrue="1">
      <formula>B13=6</formula>
    </cfRule>
  </conditionalFormatting>
  <conditionalFormatting sqref="C29:C40">
    <cfRule type="expression" dxfId="561" priority="77" stopIfTrue="1">
      <formula>B29=3</formula>
    </cfRule>
    <cfRule type="expression" dxfId="560" priority="78" stopIfTrue="1">
      <formula>B29=4</formula>
    </cfRule>
    <cfRule type="expression" dxfId="559" priority="79" stopIfTrue="1">
      <formula>B29=5</formula>
    </cfRule>
  </conditionalFormatting>
  <conditionalFormatting sqref="C29:C40">
    <cfRule type="cellIs" dxfId="558" priority="73" operator="equal">
      <formula>""</formula>
    </cfRule>
    <cfRule type="expression" dxfId="557" priority="74" stopIfTrue="1">
      <formula>B29=8</formula>
    </cfRule>
    <cfRule type="expression" dxfId="556" priority="75" stopIfTrue="1">
      <formula>B29=7</formula>
    </cfRule>
    <cfRule type="expression" dxfId="555" priority="76" stopIfTrue="1">
      <formula>B29=6</formula>
    </cfRule>
  </conditionalFormatting>
  <conditionalFormatting sqref="G42:G46">
    <cfRule type="cellIs" dxfId="554" priority="72" operator="notEqual">
      <formula>""</formula>
    </cfRule>
  </conditionalFormatting>
  <conditionalFormatting sqref="S7:U7 S9:U9 S11:U11">
    <cfRule type="cellIs" dxfId="553" priority="71" operator="equal">
      <formula>0</formula>
    </cfRule>
  </conditionalFormatting>
  <conditionalFormatting sqref="V13 V15">
    <cfRule type="cellIs" dxfId="552" priority="70" operator="equal">
      <formula>0</formula>
    </cfRule>
  </conditionalFormatting>
  <conditionalFormatting sqref="R13 R15">
    <cfRule type="cellIs" dxfId="551" priority="69" operator="equal">
      <formula>0</formula>
    </cfRule>
  </conditionalFormatting>
  <conditionalFormatting sqref="R7 R9 R11">
    <cfRule type="cellIs" dxfId="550" priority="68" operator="equal">
      <formula>0</formula>
    </cfRule>
  </conditionalFormatting>
  <conditionalFormatting sqref="V7 V9 V11">
    <cfRule type="cellIs" dxfId="549" priority="67" operator="equal">
      <formula>0</formula>
    </cfRule>
  </conditionalFormatting>
  <conditionalFormatting sqref="S13:U13 S15:U15">
    <cfRule type="cellIs" dxfId="548" priority="66" operator="equal">
      <formula>0</formula>
    </cfRule>
  </conditionalFormatting>
  <conditionalFormatting sqref="R6">
    <cfRule type="cellIs" dxfId="547" priority="65" operator="equal">
      <formula>0</formula>
    </cfRule>
  </conditionalFormatting>
  <conditionalFormatting sqref="V6">
    <cfRule type="cellIs" dxfId="546" priority="64" operator="equal">
      <formula>0</formula>
    </cfRule>
  </conditionalFormatting>
  <conditionalFormatting sqref="I5:I40">
    <cfRule type="cellIs" dxfId="545" priority="61" stopIfTrue="1" operator="between">
      <formula>"D-3"</formula>
      <formula>"E-5"</formula>
    </cfRule>
    <cfRule type="cellIs" dxfId="544" priority="62" stopIfTrue="1" operator="between">
      <formula>"B-2"</formula>
      <formula>"B-3"</formula>
    </cfRule>
    <cfRule type="cellIs" dxfId="543" priority="63" stopIfTrue="1" operator="between">
      <formula>"A-1"</formula>
      <formula>"A-2"</formula>
    </cfRule>
  </conditionalFormatting>
  <conditionalFormatting sqref="I5:I40">
    <cfRule type="cellIs" dxfId="542" priority="59" operator="equal">
      <formula>"E-5-"</formula>
    </cfRule>
    <cfRule type="cellIs" dxfId="541" priority="60" operator="equal">
      <formula>"A-1+"</formula>
    </cfRule>
  </conditionalFormatting>
  <conditionalFormatting sqref="C42:C46">
    <cfRule type="cellIs" dxfId="540" priority="51" operator="notEqual">
      <formula>""</formula>
    </cfRule>
  </conditionalFormatting>
  <conditionalFormatting sqref="L34:L40">
    <cfRule type="cellIs" dxfId="539" priority="48" stopIfTrue="1" operator="between">
      <formula>0.1</formula>
      <formula>1.9</formula>
    </cfRule>
    <cfRule type="cellIs" dxfId="538" priority="49" stopIfTrue="1" operator="between">
      <formula>3</formula>
      <formula>3.9</formula>
    </cfRule>
    <cfRule type="cellIs" dxfId="537" priority="50" stopIfTrue="1" operator="between">
      <formula>4</formula>
      <formula>5</formula>
    </cfRule>
  </conditionalFormatting>
  <conditionalFormatting sqref="L31:L33">
    <cfRule type="cellIs" dxfId="536" priority="45" stopIfTrue="1" operator="between">
      <formula>0.1</formula>
      <formula>1.9</formula>
    </cfRule>
    <cfRule type="cellIs" dxfId="535" priority="46" stopIfTrue="1" operator="between">
      <formula>3</formula>
      <formula>3.9</formula>
    </cfRule>
    <cfRule type="cellIs" dxfId="534" priority="47" stopIfTrue="1" operator="between">
      <formula>4</formula>
      <formula>5</formula>
    </cfRule>
  </conditionalFormatting>
  <conditionalFormatting sqref="L29:L30">
    <cfRule type="cellIs" dxfId="533" priority="42" stopIfTrue="1" operator="between">
      <formula>0.1</formula>
      <formula>1.9</formula>
    </cfRule>
    <cfRule type="cellIs" dxfId="532" priority="43" stopIfTrue="1" operator="between">
      <formula>3</formula>
      <formula>3.9</formula>
    </cfRule>
    <cfRule type="cellIs" dxfId="531" priority="44" stopIfTrue="1" operator="between">
      <formula>4</formula>
      <formula>5</formula>
    </cfRule>
  </conditionalFormatting>
  <conditionalFormatting sqref="L25:L28">
    <cfRule type="cellIs" dxfId="530" priority="39" stopIfTrue="1" operator="between">
      <formula>0.1</formula>
      <formula>1.9</formula>
    </cfRule>
    <cfRule type="cellIs" dxfId="529" priority="40" stopIfTrue="1" operator="between">
      <formula>3</formula>
      <formula>3.9</formula>
    </cfRule>
    <cfRule type="cellIs" dxfId="528" priority="41" stopIfTrue="1" operator="between">
      <formula>4</formula>
      <formula>5</formula>
    </cfRule>
  </conditionalFormatting>
  <conditionalFormatting sqref="L19:L23">
    <cfRule type="cellIs" dxfId="527" priority="36" stopIfTrue="1" operator="between">
      <formula>0.1</formula>
      <formula>1.9</formula>
    </cfRule>
    <cfRule type="cellIs" dxfId="526" priority="37" stopIfTrue="1" operator="between">
      <formula>3</formula>
      <formula>3.9</formula>
    </cfRule>
    <cfRule type="cellIs" dxfId="525" priority="38" stopIfTrue="1" operator="between">
      <formula>4</formula>
      <formula>5</formula>
    </cfRule>
  </conditionalFormatting>
  <conditionalFormatting sqref="L21:L24">
    <cfRule type="cellIs" dxfId="524" priority="33" stopIfTrue="1" operator="between">
      <formula>0.1</formula>
      <formula>1.9</formula>
    </cfRule>
    <cfRule type="cellIs" dxfId="523" priority="34" stopIfTrue="1" operator="between">
      <formula>3</formula>
      <formula>3.9</formula>
    </cfRule>
    <cfRule type="cellIs" dxfId="522" priority="35" stopIfTrue="1" operator="between">
      <formula>4</formula>
      <formula>5</formula>
    </cfRule>
  </conditionalFormatting>
  <conditionalFormatting sqref="L19:L40">
    <cfRule type="cellIs" dxfId="521" priority="28" operator="equal">
      <formula>""</formula>
    </cfRule>
  </conditionalFormatting>
  <conditionalFormatting sqref="L5:L8">
    <cfRule type="cellIs" dxfId="520" priority="24" stopIfTrue="1" operator="between">
      <formula>0.1</formula>
      <formula>1.9</formula>
    </cfRule>
    <cfRule type="cellIs" dxfId="519" priority="25" stopIfTrue="1" operator="between">
      <formula>3</formula>
      <formula>3.9</formula>
    </cfRule>
    <cfRule type="cellIs" dxfId="518" priority="26" stopIfTrue="1" operator="between">
      <formula>4</formula>
      <formula>5</formula>
    </cfRule>
  </conditionalFormatting>
  <conditionalFormatting sqref="J5:J40">
    <cfRule type="cellIs" dxfId="517" priority="22" operator="equal">
      <formula>"*"</formula>
    </cfRule>
    <cfRule type="cellIs" dxfId="516" priority="23" operator="equal">
      <formula>"!"</formula>
    </cfRule>
  </conditionalFormatting>
  <conditionalFormatting sqref="N5:N40">
    <cfRule type="cellIs" dxfId="515" priority="20" operator="equal">
      <formula>"*"</formula>
    </cfRule>
    <cfRule type="cellIs" dxfId="514" priority="21" operator="equal">
      <formula>"!"</formula>
    </cfRule>
  </conditionalFormatting>
  <conditionalFormatting sqref="M5:M40">
    <cfRule type="cellIs" dxfId="513" priority="17" stopIfTrue="1" operator="between">
      <formula>"D-3"</formula>
      <formula>"E-5"</formula>
    </cfRule>
    <cfRule type="cellIs" dxfId="512" priority="18" stopIfTrue="1" operator="between">
      <formula>"B-2"</formula>
      <formula>"B-3"</formula>
    </cfRule>
    <cfRule type="cellIs" dxfId="511" priority="19" stopIfTrue="1" operator="between">
      <formula>"A-1"</formula>
      <formula>"A-2"</formula>
    </cfRule>
  </conditionalFormatting>
  <conditionalFormatting sqref="M5:M40">
    <cfRule type="cellIs" dxfId="510" priority="15" operator="equal">
      <formula>"E-5-"</formula>
    </cfRule>
    <cfRule type="cellIs" dxfId="509" priority="16" operator="equal">
      <formula>"A-1+"</formula>
    </cfRule>
  </conditionalFormatting>
  <conditionalFormatting sqref="C11:C12">
    <cfRule type="expression" dxfId="508" priority="12" stopIfTrue="1">
      <formula>B11=3</formula>
    </cfRule>
    <cfRule type="expression" dxfId="507" priority="13" stopIfTrue="1">
      <formula>B11=4</formula>
    </cfRule>
    <cfRule type="expression" dxfId="506" priority="14" stopIfTrue="1">
      <formula>B11=5</formula>
    </cfRule>
  </conditionalFormatting>
  <conditionalFormatting sqref="C11:C12">
    <cfRule type="cellIs" dxfId="505" priority="8" operator="equal">
      <formula>""</formula>
    </cfRule>
    <cfRule type="expression" dxfId="504" priority="9" stopIfTrue="1">
      <formula>B11=8</formula>
    </cfRule>
    <cfRule type="expression" dxfId="503" priority="10" stopIfTrue="1">
      <formula>B11=7</formula>
    </cfRule>
    <cfRule type="expression" dxfId="502" priority="11" stopIfTrue="1">
      <formula>B11=6</formula>
    </cfRule>
  </conditionalFormatting>
  <conditionalFormatting sqref="C7:C10">
    <cfRule type="expression" dxfId="501" priority="5" stopIfTrue="1">
      <formula>B7=3</formula>
    </cfRule>
    <cfRule type="expression" dxfId="500" priority="6" stopIfTrue="1">
      <formula>B7=4</formula>
    </cfRule>
    <cfRule type="expression" dxfId="499" priority="7" stopIfTrue="1">
      <formula>B7=5</formula>
    </cfRule>
  </conditionalFormatting>
  <conditionalFormatting sqref="C7:C10">
    <cfRule type="cellIs" dxfId="498" priority="1" operator="equal">
      <formula>""</formula>
    </cfRule>
    <cfRule type="expression" dxfId="497" priority="2" stopIfTrue="1">
      <formula>B7=8</formula>
    </cfRule>
    <cfRule type="expression" dxfId="496" priority="3" stopIfTrue="1">
      <formula>B7=7</formula>
    </cfRule>
    <cfRule type="expression" dxfId="495" priority="4" stopIfTrue="1">
      <formula>B7=6</formula>
    </cfRule>
  </conditionalFormatting>
  <dataValidations count="10">
    <dataValidation type="list" allowBlank="1" showInputMessage="1" showErrorMessage="1" sqref="C46 G46" xr:uid="{00000000-0002-0000-2A00-000000000000}">
      <formula1>"vrijdag,"</formula1>
    </dataValidation>
    <dataValidation type="list" allowBlank="1" showInputMessage="1" showErrorMessage="1" sqref="C45 G45" xr:uid="{00000000-0002-0000-2A00-000001000000}">
      <formula1>"donderdag,"</formula1>
    </dataValidation>
    <dataValidation type="list" allowBlank="1" showInputMessage="1" showErrorMessage="1" sqref="C44 G44" xr:uid="{00000000-0002-0000-2A00-000002000000}">
      <formula1>"woensdag,"</formula1>
    </dataValidation>
    <dataValidation type="list" allowBlank="1" showInputMessage="1" showErrorMessage="1" sqref="C43 G43" xr:uid="{00000000-0002-0000-2A00-000003000000}">
      <formula1>"dinsdag,"</formula1>
    </dataValidation>
    <dataValidation type="list" allowBlank="1" showInputMessage="1" showErrorMessage="1" sqref="C42 G42" xr:uid="{00000000-0002-0000-2A00-000004000000}">
      <formula1>"maandag,"</formula1>
    </dataValidation>
    <dataValidation type="list" allowBlank="1" showInputMessage="1" showErrorMessage="1" sqref="B7:B18 B29:B40" xr:uid="{00000000-0002-0000-2A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A00-000006000000}">
      <formula1>2</formula1>
    </dataValidation>
    <dataValidation allowBlank="1" showInputMessage="1" showErrorMessage="1" promptTitle="Pulldown venster" prompt="groeps  HP: -_x000a_indiv.    HP:#_x000a_hele groep: $" sqref="C7:C17 C29:C39" xr:uid="{00000000-0002-0000-2A00-000007000000}"/>
    <dataValidation allowBlank="1" showInputMessage="1" showErrorMessage="1" promptTitle="Pulldown menu" prompt="groeps  HP: -_x000a_indiv.    HP:#_x000a_hele groep: $" sqref="C18 C40" xr:uid="{00000000-0002-0000-2A00-000008000000}"/>
    <dataValidation allowBlank="1" showInputMessage="1" showErrorMessage="1" promptTitle="Nieuwe regel:" prompt="druk op Alt-Enter" sqref="P15 P28 P17 P26 P37 P39" xr:uid="{00000000-0002-0000-2A00-000009000000}"/>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CCFFFF"/>
    <pageSetUpPr fitToPage="1"/>
  </sheetPr>
  <dimension ref="A1:AE189"/>
  <sheetViews>
    <sheetView showGridLines="0" showRowColHeaders="0" zoomScale="90" zoomScaleNormal="90" workbookViewId="0">
      <selection activeCell="O11" sqref="O11"/>
    </sheetView>
  </sheetViews>
  <sheetFormatPr defaultColWidth="9.140625" defaultRowHeight="12.75" x14ac:dyDescent="0.2"/>
  <cols>
    <col min="1" max="1" width="3.140625" style="69" customWidth="1"/>
    <col min="2" max="2" width="3.140625" style="70" bestFit="1" customWidth="1"/>
    <col min="3" max="3" width="11.85546875" style="74" bestFit="1" customWidth="1"/>
    <col min="4" max="4" width="3.140625" style="75" customWidth="1"/>
    <col min="5" max="5" width="5.85546875" style="74" customWidth="1"/>
    <col min="6" max="6" width="20.85546875" style="74" customWidth="1"/>
    <col min="7" max="7" width="5.85546875" style="74" customWidth="1"/>
    <col min="8" max="9" width="5.85546875" style="76" customWidth="1"/>
    <col min="10" max="10" width="3.140625" style="76" customWidth="1"/>
    <col min="11" max="11" width="2.85546875" style="76" customWidth="1"/>
    <col min="12" max="16" width="2.85546875" style="74" customWidth="1"/>
    <col min="17" max="17" width="2.85546875" style="69" customWidth="1"/>
    <col min="18" max="18" width="3.140625" style="69" customWidth="1"/>
    <col min="19" max="19" width="4.85546875" style="69" bestFit="1" customWidth="1"/>
    <col min="20" max="20" width="60.85546875" style="69" customWidth="1"/>
    <col min="21" max="21" width="6.85546875" style="69" customWidth="1"/>
    <col min="22" max="26" width="7.140625" style="73" customWidth="1"/>
    <col min="27" max="29" width="6.85546875" style="73" customWidth="1"/>
    <col min="30" max="30" width="6.140625" style="73" customWidth="1"/>
    <col min="31" max="31" width="9.140625" style="73"/>
    <col min="32" max="16384" width="9.140625" style="69"/>
  </cols>
  <sheetData>
    <row r="1" spans="1:28" s="66" customFormat="1" ht="30" customHeight="1" thickBot="1" x14ac:dyDescent="0.45">
      <c r="B1" s="615"/>
      <c r="C1" s="1128" t="s">
        <v>316</v>
      </c>
      <c r="D1" s="1129"/>
      <c r="E1" s="1129"/>
      <c r="F1" s="1129"/>
      <c r="G1" s="1129"/>
      <c r="H1" s="1129"/>
      <c r="I1" s="1129"/>
      <c r="J1" s="1129"/>
      <c r="K1" s="1230">
        <f>BEGINBLAD!$I$2</f>
        <v>0</v>
      </c>
      <c r="L1" s="1230"/>
      <c r="M1" s="1230"/>
      <c r="N1" s="1230"/>
      <c r="O1" s="1230"/>
      <c r="P1" s="1230"/>
      <c r="Q1" s="1230"/>
      <c r="R1" s="1230"/>
      <c r="S1" s="1230"/>
      <c r="T1" s="239"/>
      <c r="AB1" s="68"/>
    </row>
    <row r="2" spans="1:28" ht="24" customHeight="1" x14ac:dyDescent="0.2">
      <c r="C2" s="1130" t="str">
        <f>BEGINBLAD!$N$2</f>
        <v>nov.</v>
      </c>
      <c r="D2" s="1130"/>
      <c r="E2" s="241"/>
      <c r="F2" s="691" t="str">
        <f>BEGINBLAD!$O$2</f>
        <v>apr.</v>
      </c>
      <c r="G2" s="1131">
        <f>BEGINBLAD!$P$2</f>
        <v>2021</v>
      </c>
      <c r="H2" s="1131"/>
      <c r="I2" s="1131"/>
      <c r="Q2" s="71"/>
      <c r="R2" s="72"/>
      <c r="S2" s="72"/>
    </row>
    <row r="3" spans="1:28" ht="13.5" thickBot="1" x14ac:dyDescent="0.25">
      <c r="Q3" s="77"/>
      <c r="R3" s="77"/>
      <c r="S3" s="77"/>
      <c r="T3" s="77"/>
    </row>
    <row r="4" spans="1:28" ht="140.1" customHeight="1" x14ac:dyDescent="0.2">
      <c r="C4" s="78"/>
      <c r="D4" s="79"/>
      <c r="E4" s="80"/>
      <c r="F4" s="81" t="s">
        <v>44</v>
      </c>
      <c r="G4" s="82" t="s">
        <v>266</v>
      </c>
      <c r="H4" s="83" t="s">
        <v>317</v>
      </c>
      <c r="I4" s="84" t="s">
        <v>268</v>
      </c>
      <c r="J4" s="235"/>
      <c r="K4" s="619" t="s">
        <v>318</v>
      </c>
      <c r="L4" s="620" t="s">
        <v>319</v>
      </c>
      <c r="M4" s="621" t="s">
        <v>320</v>
      </c>
      <c r="N4" s="621" t="s">
        <v>321</v>
      </c>
      <c r="O4" s="622" t="s">
        <v>322</v>
      </c>
      <c r="P4" s="622" t="s">
        <v>323</v>
      </c>
      <c r="Q4" s="623" t="s">
        <v>324</v>
      </c>
      <c r="R4" s="249"/>
      <c r="S4" s="88"/>
    </row>
    <row r="5" spans="1:28" ht="19.5" customHeight="1" x14ac:dyDescent="0.2">
      <c r="A5" s="89"/>
      <c r="B5" s="1132" t="s">
        <v>43</v>
      </c>
      <c r="C5" s="90" t="s">
        <v>198</v>
      </c>
      <c r="D5" s="91">
        <v>0</v>
      </c>
      <c r="E5" s="92">
        <v>1</v>
      </c>
      <c r="F5" s="165" t="str">
        <f>BEGINBLAD!C4</f>
        <v>leelring 1</v>
      </c>
      <c r="G5" s="94">
        <f>'NIVEAU WAARDE - vorig jaar'!H9</f>
        <v>2.1</v>
      </c>
      <c r="H5" s="95">
        <f>'NIVEAU WAARDE - 1e toetsperiode'!H9</f>
        <v>2</v>
      </c>
      <c r="I5" s="96" t="str">
        <f>IF(H5=0,"",IF(H5&gt;4.5,"A-1+",IF(H5&gt;4,"A-1",IF(H5&gt;=4,"A-2",IF(H5&gt;3.4,"B-2",IF(H5&gt;=3,"B-3",IF(H5&gt;2.5,"C-3",IF(H5&gt;=2,"C-4",IF(H5&gt;1.6,"D-4",IF(H5&gt;=1,"D-5",IF(H5&gt;0.5,"E-5",IF(H5&gt;=0,"E-5-"))))))))))))</f>
        <v>C-4</v>
      </c>
      <c r="J5" s="236" t="str">
        <f>IF(H5=0,"",IF(G5-H5&gt;0.5,"!",IF(H5-G5&gt;0.5,"*",IF(H5-G5&lt;=0.5,""))))</f>
        <v/>
      </c>
      <c r="K5" s="331" t="s">
        <v>327</v>
      </c>
      <c r="L5" s="330" t="s">
        <v>326</v>
      </c>
      <c r="M5" s="330" t="s">
        <v>327</v>
      </c>
      <c r="N5" s="646"/>
      <c r="O5" s="646"/>
      <c r="P5" s="646"/>
      <c r="Q5" s="647"/>
      <c r="R5" s="236" t="b">
        <f>IF(K5="o","!",IF(L5="o","!",IF(M5="o","!",IF(N5="o","!",IF(O5="o","!",IF(P5="o","!",IF(Q5="o","!")))))))</f>
        <v>0</v>
      </c>
      <c r="S5" s="100"/>
    </row>
    <row r="6" spans="1:28" ht="19.5" customHeight="1" x14ac:dyDescent="0.2">
      <c r="A6" s="89"/>
      <c r="B6" s="1132"/>
      <c r="C6" s="101" t="s">
        <v>200</v>
      </c>
      <c r="D6" s="91">
        <v>0</v>
      </c>
      <c r="E6" s="92">
        <v>2</v>
      </c>
      <c r="F6" s="93" t="str">
        <f>BEGINBLAD!C5</f>
        <v>leerling 2</v>
      </c>
      <c r="G6" s="94">
        <f>'NIVEAU WAARDE - vorig jaar'!H10</f>
        <v>2.8</v>
      </c>
      <c r="H6" s="95">
        <f>'NIVEAU WAARDE - 1e toetsperiode'!H10</f>
        <v>2.9</v>
      </c>
      <c r="I6" s="96" t="str">
        <f t="shared" ref="I6:I40" si="0">IF(H6=0,"",IF(H6&gt;4.5,"A-1+",IF(H6&gt;4,"A-1",IF(H6&gt;=4,"A-2",IF(H6&gt;3.4,"B-2",IF(H6&gt;=3,"B-3",IF(H6&gt;2.5,"C-3",IF(H6&gt;=2,"C-4",IF(H6&gt;1.6,"D-4",IF(H6&gt;=1,"D-5",IF(H6&gt;0.5,"E-5",IF(H6&gt;=0,"E-5-"))))))))))))</f>
        <v>C-3</v>
      </c>
      <c r="J6" s="236" t="str">
        <f t="shared" ref="J6:J40" si="1">IF(H6=0,"",IF(G6-H6&gt;0.5,"!",IF(H6-G6&gt;0.5,"*",IF(H6-G6&lt;=0.5,""))))</f>
        <v/>
      </c>
      <c r="K6" s="331" t="s">
        <v>327</v>
      </c>
      <c r="L6" s="330" t="s">
        <v>327</v>
      </c>
      <c r="M6" s="330" t="s">
        <v>326</v>
      </c>
      <c r="N6" s="646"/>
      <c r="O6" s="646"/>
      <c r="P6" s="646"/>
      <c r="Q6" s="647"/>
      <c r="R6" s="236" t="b">
        <f t="shared" ref="R6:R40" si="2">IF(K6="o","!",IF(L6="o","!",IF(M6="o","!",IF(N6="o","!",IF(O6="o","!",IF(P6="o","!",IF(Q6="o","!")))))))</f>
        <v>0</v>
      </c>
      <c r="S6" s="100"/>
      <c r="V6" s="147"/>
      <c r="W6" s="147"/>
      <c r="X6" s="147"/>
      <c r="Y6" s="147"/>
      <c r="Z6" s="147"/>
    </row>
    <row r="7" spans="1:28" ht="19.5" customHeight="1" x14ac:dyDescent="0.2">
      <c r="A7" s="102"/>
      <c r="B7" s="326"/>
      <c r="C7" s="328"/>
      <c r="D7" s="91">
        <v>0</v>
      </c>
      <c r="E7" s="92">
        <v>3</v>
      </c>
      <c r="F7" s="93" t="str">
        <f>BEGINBLAD!C6</f>
        <v>leerling 3</v>
      </c>
      <c r="G7" s="94">
        <f>'NIVEAU WAARDE - vorig jaar'!H11</f>
        <v>0.6</v>
      </c>
      <c r="H7" s="95">
        <f>'NIVEAU WAARDE - 1e toetsperiode'!H11</f>
        <v>0.4</v>
      </c>
      <c r="I7" s="96" t="str">
        <f t="shared" si="0"/>
        <v>E-5-</v>
      </c>
      <c r="J7" s="236" t="str">
        <f t="shared" si="1"/>
        <v/>
      </c>
      <c r="K7" s="331" t="s">
        <v>327</v>
      </c>
      <c r="L7" s="330" t="s">
        <v>328</v>
      </c>
      <c r="M7" s="330" t="s">
        <v>328</v>
      </c>
      <c r="N7" s="646"/>
      <c r="O7" s="646"/>
      <c r="P7" s="646"/>
      <c r="Q7" s="647"/>
      <c r="R7" s="236" t="str">
        <f t="shared" si="2"/>
        <v>!</v>
      </c>
      <c r="S7" s="100"/>
      <c r="V7" s="148"/>
      <c r="W7" s="148"/>
      <c r="X7" s="148"/>
      <c r="Y7" s="148"/>
      <c r="Z7" s="148"/>
    </row>
    <row r="8" spans="1:28" ht="19.5" customHeight="1" x14ac:dyDescent="0.2">
      <c r="A8" s="102"/>
      <c r="B8" s="326"/>
      <c r="C8" s="328"/>
      <c r="D8" s="105">
        <v>0</v>
      </c>
      <c r="E8" s="92">
        <v>4</v>
      </c>
      <c r="F8" s="93" t="str">
        <f>BEGINBLAD!C7</f>
        <v>leerling 4</v>
      </c>
      <c r="G8" s="94">
        <f>'NIVEAU WAARDE - vorig jaar'!H12</f>
        <v>2.1</v>
      </c>
      <c r="H8" s="95">
        <f>'NIVEAU WAARDE - 1e toetsperiode'!H12</f>
        <v>3</v>
      </c>
      <c r="I8" s="96" t="str">
        <f t="shared" si="0"/>
        <v>B-3</v>
      </c>
      <c r="J8" s="236" t="str">
        <f t="shared" si="1"/>
        <v>*</v>
      </c>
      <c r="K8" s="331" t="s">
        <v>327</v>
      </c>
      <c r="L8" s="330" t="s">
        <v>325</v>
      </c>
      <c r="M8" s="330" t="s">
        <v>327</v>
      </c>
      <c r="N8" s="616"/>
      <c r="O8" s="616"/>
      <c r="P8" s="616"/>
      <c r="Q8" s="332"/>
      <c r="R8" s="236" t="b">
        <f t="shared" si="2"/>
        <v>0</v>
      </c>
      <c r="S8" s="107"/>
      <c r="V8" s="148"/>
      <c r="W8" s="148"/>
      <c r="X8" s="148"/>
      <c r="Y8" s="148"/>
      <c r="Z8" s="148"/>
    </row>
    <row r="9" spans="1:28" ht="19.5" customHeight="1" x14ac:dyDescent="0.2">
      <c r="A9" s="102"/>
      <c r="B9" s="326"/>
      <c r="C9" s="328"/>
      <c r="D9" s="108">
        <v>0</v>
      </c>
      <c r="E9" s="92">
        <v>5</v>
      </c>
      <c r="F9" s="93" t="str">
        <f>BEGINBLAD!C8</f>
        <v>leerling 5</v>
      </c>
      <c r="G9" s="94">
        <f>'NIVEAU WAARDE - vorig jaar'!H13</f>
        <v>4</v>
      </c>
      <c r="H9" s="95">
        <f>'NIVEAU WAARDE - 1e toetsperiode'!H13</f>
        <v>4.2</v>
      </c>
      <c r="I9" s="96" t="str">
        <f t="shared" si="0"/>
        <v>A-1</v>
      </c>
      <c r="J9" s="236" t="str">
        <f t="shared" si="1"/>
        <v/>
      </c>
      <c r="K9" s="331" t="s">
        <v>327</v>
      </c>
      <c r="L9" s="330" t="s">
        <v>327</v>
      </c>
      <c r="M9" s="330" t="s">
        <v>327</v>
      </c>
      <c r="N9" s="616"/>
      <c r="O9" s="616"/>
      <c r="P9" s="616"/>
      <c r="Q9" s="332"/>
      <c r="R9" s="236" t="b">
        <f t="shared" si="2"/>
        <v>0</v>
      </c>
      <c r="S9" s="110"/>
      <c r="V9" s="148"/>
      <c r="W9" s="148"/>
      <c r="X9" s="148"/>
      <c r="Y9" s="148"/>
      <c r="Z9" s="148"/>
    </row>
    <row r="10" spans="1:28" ht="19.5" customHeight="1" x14ac:dyDescent="0.2">
      <c r="A10" s="102"/>
      <c r="B10" s="326"/>
      <c r="C10" s="328"/>
      <c r="D10" s="111">
        <v>0</v>
      </c>
      <c r="E10" s="92">
        <v>6</v>
      </c>
      <c r="F10" s="93" t="str">
        <f>BEGINBLAD!C9</f>
        <v>leerling 6</v>
      </c>
      <c r="G10" s="94">
        <f>'NIVEAU WAARDE - vorig jaar'!H14</f>
        <v>0.3</v>
      </c>
      <c r="H10" s="95">
        <f>'NIVEAU WAARDE - 1e toetsperiode'!H14</f>
        <v>0.1</v>
      </c>
      <c r="I10" s="96" t="str">
        <f t="shared" si="0"/>
        <v>E-5-</v>
      </c>
      <c r="J10" s="236" t="str">
        <f t="shared" si="1"/>
        <v/>
      </c>
      <c r="K10" s="331" t="s">
        <v>327</v>
      </c>
      <c r="L10" s="330" t="s">
        <v>328</v>
      </c>
      <c r="M10" s="330" t="s">
        <v>326</v>
      </c>
      <c r="N10" s="616"/>
      <c r="O10" s="616"/>
      <c r="P10" s="616"/>
      <c r="Q10" s="332"/>
      <c r="R10" s="236" t="str">
        <f t="shared" si="2"/>
        <v>!</v>
      </c>
      <c r="S10" s="112"/>
      <c r="V10" s="148"/>
      <c r="W10" s="148"/>
      <c r="X10" s="148"/>
      <c r="Y10" s="148"/>
      <c r="Z10" s="148"/>
    </row>
    <row r="11" spans="1:28" ht="19.5" customHeight="1" x14ac:dyDescent="0.2">
      <c r="A11" s="102"/>
      <c r="B11" s="326"/>
      <c r="C11" s="328"/>
      <c r="D11" s="111">
        <v>0</v>
      </c>
      <c r="E11" s="92">
        <v>7</v>
      </c>
      <c r="F11" s="93" t="str">
        <f>BEGINBLAD!C10</f>
        <v>leerling 7</v>
      </c>
      <c r="G11" s="94">
        <f>'NIVEAU WAARDE - vorig jaar'!H15</f>
        <v>0.8</v>
      </c>
      <c r="H11" s="95">
        <f>'NIVEAU WAARDE - 1e toetsperiode'!H15</f>
        <v>0.4</v>
      </c>
      <c r="I11" s="96" t="str">
        <f t="shared" si="0"/>
        <v>E-5-</v>
      </c>
      <c r="J11" s="236" t="str">
        <f t="shared" si="1"/>
        <v/>
      </c>
      <c r="K11" s="331" t="s">
        <v>326</v>
      </c>
      <c r="L11" s="330" t="s">
        <v>328</v>
      </c>
      <c r="M11" s="330" t="s">
        <v>326</v>
      </c>
      <c r="N11" s="616"/>
      <c r="O11" s="616"/>
      <c r="P11" s="616"/>
      <c r="Q11" s="332"/>
      <c r="R11" s="236" t="str">
        <f t="shared" si="2"/>
        <v>!</v>
      </c>
      <c r="S11" s="77"/>
      <c r="V11" s="148"/>
      <c r="W11" s="148"/>
      <c r="X11" s="148"/>
      <c r="Y11" s="148"/>
      <c r="Z11" s="148"/>
    </row>
    <row r="12" spans="1:28" ht="19.5" customHeight="1" x14ac:dyDescent="0.2">
      <c r="A12" s="102"/>
      <c r="B12" s="326"/>
      <c r="C12" s="328"/>
      <c r="D12" s="91">
        <v>0</v>
      </c>
      <c r="E12" s="92">
        <v>8</v>
      </c>
      <c r="F12" s="93" t="str">
        <f>BEGINBLAD!C11</f>
        <v>leerling 8</v>
      </c>
      <c r="G12" s="94">
        <f>'NIVEAU WAARDE - vorig jaar'!H16</f>
        <v>4.0999999999999996</v>
      </c>
      <c r="H12" s="95">
        <f>'NIVEAU WAARDE - 1e toetsperiode'!H16</f>
        <v>4</v>
      </c>
      <c r="I12" s="96" t="str">
        <f t="shared" si="0"/>
        <v>A-2</v>
      </c>
      <c r="J12" s="236" t="str">
        <f t="shared" si="1"/>
        <v/>
      </c>
      <c r="K12" s="331" t="s">
        <v>327</v>
      </c>
      <c r="L12" s="330" t="s">
        <v>327</v>
      </c>
      <c r="M12" s="330" t="s">
        <v>327</v>
      </c>
      <c r="N12" s="616"/>
      <c r="O12" s="616"/>
      <c r="P12" s="616"/>
      <c r="Q12" s="332"/>
      <c r="R12" s="236" t="b">
        <f t="shared" si="2"/>
        <v>0</v>
      </c>
      <c r="S12" s="88"/>
      <c r="V12" s="148"/>
      <c r="W12" s="148"/>
      <c r="X12" s="148"/>
      <c r="Y12" s="148"/>
      <c r="Z12" s="148"/>
    </row>
    <row r="13" spans="1:28" ht="19.5" customHeight="1" x14ac:dyDescent="0.2">
      <c r="A13" s="102"/>
      <c r="B13" s="326"/>
      <c r="C13" s="328"/>
      <c r="D13" s="91">
        <v>0</v>
      </c>
      <c r="E13" s="92">
        <v>9</v>
      </c>
      <c r="F13" s="93" t="str">
        <f>BEGINBLAD!C12</f>
        <v>leerling 9</v>
      </c>
      <c r="G13" s="94">
        <f>'NIVEAU WAARDE - vorig jaar'!H17</f>
        <v>1.2</v>
      </c>
      <c r="H13" s="95">
        <f>'NIVEAU WAARDE - 1e toetsperiode'!H17</f>
        <v>0.6</v>
      </c>
      <c r="I13" s="96" t="str">
        <f t="shared" si="0"/>
        <v>E-5</v>
      </c>
      <c r="J13" s="236" t="str">
        <f t="shared" si="1"/>
        <v>!</v>
      </c>
      <c r="K13" s="331" t="s">
        <v>325</v>
      </c>
      <c r="L13" s="330" t="s">
        <v>328</v>
      </c>
      <c r="M13" s="330" t="s">
        <v>326</v>
      </c>
      <c r="N13" s="616"/>
      <c r="O13" s="616"/>
      <c r="P13" s="616"/>
      <c r="Q13" s="332"/>
      <c r="R13" s="236" t="str">
        <f t="shared" si="2"/>
        <v>!</v>
      </c>
      <c r="S13" s="100"/>
      <c r="V13" s="149"/>
      <c r="W13" s="149"/>
      <c r="X13" s="149"/>
      <c r="Y13" s="149"/>
      <c r="Z13" s="149"/>
    </row>
    <row r="14" spans="1:28" ht="19.5" customHeight="1" thickBot="1" x14ac:dyDescent="0.25">
      <c r="A14" s="102"/>
      <c r="B14" s="326"/>
      <c r="C14" s="328"/>
      <c r="D14" s="91">
        <v>0</v>
      </c>
      <c r="E14" s="92">
        <v>10</v>
      </c>
      <c r="F14" s="93" t="str">
        <f>BEGINBLAD!C13</f>
        <v>leerling 10</v>
      </c>
      <c r="G14" s="94">
        <f>'NIVEAU WAARDE - vorig jaar'!H18</f>
        <v>1.1000000000000001</v>
      </c>
      <c r="H14" s="95">
        <f>'NIVEAU WAARDE - 1e toetsperiode'!H18</f>
        <v>1.4</v>
      </c>
      <c r="I14" s="96" t="str">
        <f t="shared" si="0"/>
        <v>D-5</v>
      </c>
      <c r="J14" s="236" t="str">
        <f t="shared" si="1"/>
        <v/>
      </c>
      <c r="K14" s="331" t="s">
        <v>327</v>
      </c>
      <c r="L14" s="330" t="s">
        <v>327</v>
      </c>
      <c r="M14" s="330" t="s">
        <v>326</v>
      </c>
      <c r="N14" s="616"/>
      <c r="O14" s="616"/>
      <c r="P14" s="616"/>
      <c r="Q14" s="332"/>
      <c r="R14" s="236" t="b">
        <f t="shared" si="2"/>
        <v>0</v>
      </c>
      <c r="S14" s="107"/>
      <c r="T14" s="113" t="s">
        <v>109</v>
      </c>
      <c r="V14" s="149"/>
      <c r="W14" s="149"/>
      <c r="X14" s="149"/>
      <c r="Y14" s="149"/>
      <c r="Z14" s="149"/>
    </row>
    <row r="15" spans="1:28" ht="19.5" customHeight="1" x14ac:dyDescent="0.2">
      <c r="A15" s="102"/>
      <c r="B15" s="103"/>
      <c r="C15" s="689"/>
      <c r="D15" s="91">
        <v>0</v>
      </c>
      <c r="E15" s="92">
        <v>11</v>
      </c>
      <c r="F15" s="93" t="str">
        <f>BEGINBLAD!C14</f>
        <v>leerling 11</v>
      </c>
      <c r="G15" s="94">
        <f>'NIVEAU WAARDE - vorig jaar'!H19</f>
        <v>0.8</v>
      </c>
      <c r="H15" s="95">
        <f>'NIVEAU WAARDE - 1e toetsperiode'!H19</f>
        <v>1.4</v>
      </c>
      <c r="I15" s="96" t="str">
        <f t="shared" si="0"/>
        <v>D-5</v>
      </c>
      <c r="J15" s="236" t="str">
        <f t="shared" si="1"/>
        <v>*</v>
      </c>
      <c r="K15" s="331" t="s">
        <v>327</v>
      </c>
      <c r="L15" s="330" t="s">
        <v>328</v>
      </c>
      <c r="M15" s="330" t="s">
        <v>328</v>
      </c>
      <c r="N15" s="616"/>
      <c r="O15" s="616"/>
      <c r="P15" s="616"/>
      <c r="Q15" s="332"/>
      <c r="R15" s="236" t="str">
        <f t="shared" si="2"/>
        <v>!</v>
      </c>
      <c r="S15" s="1191" t="s">
        <v>135</v>
      </c>
      <c r="T15" s="1194">
        <f>'INTENSIEF - 1e periode'!I6</f>
        <v>0</v>
      </c>
      <c r="V15" s="149"/>
      <c r="W15" s="149"/>
      <c r="X15" s="149"/>
      <c r="Y15" s="149"/>
      <c r="Z15" s="149"/>
    </row>
    <row r="16" spans="1:28" ht="19.5" customHeight="1" x14ac:dyDescent="0.2">
      <c r="A16" s="102"/>
      <c r="B16" s="103"/>
      <c r="C16" s="689"/>
      <c r="D16" s="91">
        <v>0</v>
      </c>
      <c r="E16" s="92">
        <v>12</v>
      </c>
      <c r="F16" s="93" t="str">
        <f>BEGINBLAD!C15</f>
        <v>leerling 12</v>
      </c>
      <c r="G16" s="94">
        <f>'NIVEAU WAARDE - vorig jaar'!H20</f>
        <v>2.7</v>
      </c>
      <c r="H16" s="95">
        <f>'NIVEAU WAARDE - 1e toetsperiode'!H20</f>
        <v>3.2</v>
      </c>
      <c r="I16" s="96" t="str">
        <f t="shared" si="0"/>
        <v>B-3</v>
      </c>
      <c r="J16" s="236" t="str">
        <f t="shared" si="1"/>
        <v/>
      </c>
      <c r="K16" s="331" t="s">
        <v>327</v>
      </c>
      <c r="L16" s="330" t="s">
        <v>327</v>
      </c>
      <c r="M16" s="330" t="s">
        <v>327</v>
      </c>
      <c r="N16" s="616"/>
      <c r="O16" s="616"/>
      <c r="P16" s="616"/>
      <c r="Q16" s="332"/>
      <c r="R16" s="236" t="b">
        <f t="shared" si="2"/>
        <v>0</v>
      </c>
      <c r="S16" s="1192"/>
      <c r="T16" s="1195"/>
      <c r="V16" s="149"/>
      <c r="W16" s="149"/>
      <c r="X16" s="149"/>
      <c r="Y16" s="149"/>
      <c r="Z16" s="149"/>
    </row>
    <row r="17" spans="1:28" ht="19.5" customHeight="1" x14ac:dyDescent="0.2">
      <c r="A17" s="102"/>
      <c r="B17" s="103"/>
      <c r="C17" s="689"/>
      <c r="D17" s="105">
        <v>0</v>
      </c>
      <c r="E17" s="92">
        <v>13</v>
      </c>
      <c r="F17" s="93" t="str">
        <f>BEGINBLAD!C16</f>
        <v>leerling 13</v>
      </c>
      <c r="G17" s="94">
        <f>'NIVEAU WAARDE - vorig jaar'!H21</f>
        <v>3.1</v>
      </c>
      <c r="H17" s="95">
        <f>'NIVEAU WAARDE - 1e toetsperiode'!H21</f>
        <v>3.3</v>
      </c>
      <c r="I17" s="96" t="str">
        <f t="shared" si="0"/>
        <v>B-3</v>
      </c>
      <c r="J17" s="236" t="str">
        <f t="shared" si="1"/>
        <v/>
      </c>
      <c r="K17" s="331" t="s">
        <v>327</v>
      </c>
      <c r="L17" s="330" t="s">
        <v>327</v>
      </c>
      <c r="M17" s="330" t="s">
        <v>327</v>
      </c>
      <c r="N17" s="616"/>
      <c r="O17" s="616"/>
      <c r="P17" s="616"/>
      <c r="Q17" s="332"/>
      <c r="R17" s="236" t="b">
        <f t="shared" si="2"/>
        <v>0</v>
      </c>
      <c r="S17" s="1198" t="s">
        <v>137</v>
      </c>
      <c r="T17" s="1196">
        <f>'INTENSIEF - 1e periode'!I8</f>
        <v>0</v>
      </c>
      <c r="V17" s="120"/>
      <c r="W17" s="120"/>
      <c r="X17" s="120"/>
      <c r="Y17" s="120"/>
      <c r="Z17" s="120"/>
    </row>
    <row r="18" spans="1:28" ht="19.5" customHeight="1" x14ac:dyDescent="0.2">
      <c r="A18" s="102"/>
      <c r="B18" s="103"/>
      <c r="C18" s="689"/>
      <c r="D18" s="111">
        <v>0</v>
      </c>
      <c r="E18" s="92">
        <v>14</v>
      </c>
      <c r="F18" s="93" t="str">
        <f>BEGINBLAD!C17</f>
        <v>leerling 14</v>
      </c>
      <c r="G18" s="94">
        <f>'NIVEAU WAARDE - vorig jaar'!H22</f>
        <v>4.5</v>
      </c>
      <c r="H18" s="95">
        <f>'NIVEAU WAARDE - 1e toetsperiode'!H22</f>
        <v>4.7</v>
      </c>
      <c r="I18" s="96" t="str">
        <f t="shared" si="0"/>
        <v>A-1+</v>
      </c>
      <c r="J18" s="236" t="str">
        <f t="shared" si="1"/>
        <v/>
      </c>
      <c r="K18" s="331" t="s">
        <v>327</v>
      </c>
      <c r="L18" s="330" t="s">
        <v>327</v>
      </c>
      <c r="M18" s="330" t="s">
        <v>326</v>
      </c>
      <c r="N18" s="616"/>
      <c r="O18" s="616"/>
      <c r="P18" s="616"/>
      <c r="Q18" s="332"/>
      <c r="R18" s="236" t="b">
        <f t="shared" si="2"/>
        <v>0</v>
      </c>
      <c r="S18" s="1198"/>
      <c r="T18" s="1196"/>
      <c r="U18" s="89"/>
      <c r="V18" s="114"/>
      <c r="W18" s="114"/>
      <c r="X18" s="114"/>
      <c r="Y18" s="114"/>
      <c r="Z18" s="114"/>
      <c r="AA18" s="114"/>
    </row>
    <row r="19" spans="1:28" ht="19.5" customHeight="1" x14ac:dyDescent="0.2">
      <c r="D19" s="111">
        <v>0</v>
      </c>
      <c r="E19" s="92">
        <v>15</v>
      </c>
      <c r="F19" s="93" t="str">
        <f>BEGINBLAD!C18</f>
        <v>leerling 15</v>
      </c>
      <c r="G19" s="94">
        <f>'NIVEAU WAARDE - vorig jaar'!H23</f>
        <v>1.6</v>
      </c>
      <c r="H19" s="95">
        <f>'NIVEAU WAARDE - 1e toetsperiode'!H23</f>
        <v>2.4</v>
      </c>
      <c r="I19" s="96" t="str">
        <f t="shared" si="0"/>
        <v>C-4</v>
      </c>
      <c r="J19" s="236" t="str">
        <f t="shared" si="1"/>
        <v>*</v>
      </c>
      <c r="K19" s="331" t="s">
        <v>327</v>
      </c>
      <c r="L19" s="330" t="s">
        <v>328</v>
      </c>
      <c r="M19" s="330" t="s">
        <v>325</v>
      </c>
      <c r="N19" s="616"/>
      <c r="O19" s="616"/>
      <c r="P19" s="616"/>
      <c r="Q19" s="332"/>
      <c r="R19" s="236" t="str">
        <f t="shared" si="2"/>
        <v>!</v>
      </c>
      <c r="S19" s="1198"/>
      <c r="T19" s="1196"/>
      <c r="U19" s="116"/>
      <c r="V19" s="117"/>
      <c r="W19" s="117"/>
      <c r="X19" s="117"/>
      <c r="Y19" s="118"/>
      <c r="Z19" s="118"/>
      <c r="AA19" s="118"/>
      <c r="AB19" s="119"/>
    </row>
    <row r="20" spans="1:28" ht="19.5" customHeight="1" x14ac:dyDescent="0.2">
      <c r="D20" s="111">
        <v>0</v>
      </c>
      <c r="E20" s="92">
        <v>16</v>
      </c>
      <c r="F20" s="93" t="str">
        <f>BEGINBLAD!C19</f>
        <v>leerling 16</v>
      </c>
      <c r="G20" s="94">
        <f>'NIVEAU WAARDE - vorig jaar'!H24</f>
        <v>0</v>
      </c>
      <c r="H20" s="95">
        <f>'NIVEAU WAARDE - 1e toetsperiode'!H24</f>
        <v>3.1</v>
      </c>
      <c r="I20" s="96" t="str">
        <f t="shared" si="0"/>
        <v>B-3</v>
      </c>
      <c r="J20" s="236" t="str">
        <f t="shared" si="1"/>
        <v>*</v>
      </c>
      <c r="K20" s="331" t="s">
        <v>327</v>
      </c>
      <c r="L20" s="330" t="s">
        <v>328</v>
      </c>
      <c r="M20" s="330" t="s">
        <v>326</v>
      </c>
      <c r="N20" s="616"/>
      <c r="O20" s="616"/>
      <c r="P20" s="616"/>
      <c r="Q20" s="332"/>
      <c r="R20" s="236" t="str">
        <f t="shared" si="2"/>
        <v>!</v>
      </c>
      <c r="S20" s="1198"/>
      <c r="T20" s="1196"/>
      <c r="U20" s="116"/>
      <c r="V20" s="120"/>
      <c r="W20" s="120"/>
      <c r="X20" s="120"/>
      <c r="Y20" s="120"/>
      <c r="Z20" s="120"/>
      <c r="AA20" s="120"/>
    </row>
    <row r="21" spans="1:28" ht="19.5" customHeight="1" x14ac:dyDescent="0.2">
      <c r="D21" s="111">
        <v>0</v>
      </c>
      <c r="E21" s="92">
        <v>17</v>
      </c>
      <c r="F21" s="93" t="str">
        <f>BEGINBLAD!C20</f>
        <v>leerling 17</v>
      </c>
      <c r="G21" s="94">
        <f>'NIVEAU WAARDE - vorig jaar'!H25</f>
        <v>4.5</v>
      </c>
      <c r="H21" s="95">
        <f>'NIVEAU WAARDE - 1e toetsperiode'!H25</f>
        <v>4.5999999999999996</v>
      </c>
      <c r="I21" s="96" t="str">
        <f t="shared" si="0"/>
        <v>A-1+</v>
      </c>
      <c r="J21" s="236" t="str">
        <f t="shared" si="1"/>
        <v/>
      </c>
      <c r="K21" s="331" t="s">
        <v>327</v>
      </c>
      <c r="L21" s="330" t="s">
        <v>327</v>
      </c>
      <c r="M21" s="330" t="s">
        <v>327</v>
      </c>
      <c r="N21" s="616"/>
      <c r="O21" s="616"/>
      <c r="P21" s="616"/>
      <c r="Q21" s="332"/>
      <c r="R21" s="236" t="b">
        <f t="shared" si="2"/>
        <v>0</v>
      </c>
      <c r="S21" s="1198"/>
      <c r="T21" s="1196"/>
      <c r="U21" s="116"/>
      <c r="V21" s="120"/>
      <c r="W21" s="120"/>
      <c r="X21" s="120"/>
      <c r="Y21" s="120"/>
      <c r="Z21" s="120"/>
      <c r="AA21" s="120"/>
    </row>
    <row r="22" spans="1:28" ht="19.5" customHeight="1" x14ac:dyDescent="0.2">
      <c r="D22" s="111">
        <v>0</v>
      </c>
      <c r="E22" s="92">
        <v>18</v>
      </c>
      <c r="F22" s="93" t="str">
        <f>BEGINBLAD!C21</f>
        <v>leerling 18</v>
      </c>
      <c r="G22" s="94">
        <f>'NIVEAU WAARDE - vorig jaar'!H26</f>
        <v>3</v>
      </c>
      <c r="H22" s="95">
        <f>'NIVEAU WAARDE - 1e toetsperiode'!H26</f>
        <v>3</v>
      </c>
      <c r="I22" s="96" t="str">
        <f t="shared" si="0"/>
        <v>B-3</v>
      </c>
      <c r="J22" s="236" t="str">
        <f t="shared" si="1"/>
        <v/>
      </c>
      <c r="K22" s="331" t="s">
        <v>327</v>
      </c>
      <c r="L22" s="330" t="s">
        <v>326</v>
      </c>
      <c r="M22" s="330" t="s">
        <v>327</v>
      </c>
      <c r="N22" s="616"/>
      <c r="O22" s="616"/>
      <c r="P22" s="616"/>
      <c r="Q22" s="332"/>
      <c r="R22" s="236" t="b">
        <f t="shared" si="2"/>
        <v>0</v>
      </c>
      <c r="S22" s="1198"/>
      <c r="T22" s="1196"/>
      <c r="U22" s="116"/>
      <c r="V22" s="120"/>
      <c r="W22" s="120"/>
      <c r="X22" s="120"/>
      <c r="Y22" s="120"/>
      <c r="Z22" s="120"/>
      <c r="AA22" s="120"/>
    </row>
    <row r="23" spans="1:28" ht="19.5" customHeight="1" x14ac:dyDescent="0.2">
      <c r="B23" s="122"/>
      <c r="C23" s="122"/>
      <c r="D23" s="111">
        <v>0</v>
      </c>
      <c r="E23" s="92">
        <v>19</v>
      </c>
      <c r="F23" s="93" t="str">
        <f>BEGINBLAD!C22</f>
        <v>leerling 19</v>
      </c>
      <c r="G23" s="94">
        <f>'NIVEAU WAARDE - vorig jaar'!H27</f>
        <v>1</v>
      </c>
      <c r="H23" s="95">
        <f>'NIVEAU WAARDE - 1e toetsperiode'!H27</f>
        <v>1.4</v>
      </c>
      <c r="I23" s="96" t="str">
        <f t="shared" si="0"/>
        <v>D-5</v>
      </c>
      <c r="J23" s="236" t="str">
        <f t="shared" si="1"/>
        <v/>
      </c>
      <c r="K23" s="331" t="s">
        <v>327</v>
      </c>
      <c r="L23" s="330" t="s">
        <v>328</v>
      </c>
      <c r="M23" s="330" t="s">
        <v>328</v>
      </c>
      <c r="N23" s="616"/>
      <c r="O23" s="616"/>
      <c r="P23" s="616"/>
      <c r="Q23" s="332"/>
      <c r="R23" s="236" t="str">
        <f t="shared" si="2"/>
        <v>!</v>
      </c>
      <c r="S23" s="1198"/>
      <c r="T23" s="1196"/>
    </row>
    <row r="24" spans="1:28" ht="19.5" customHeight="1" thickBot="1" x14ac:dyDescent="0.25">
      <c r="B24" s="123"/>
      <c r="C24" s="122"/>
      <c r="D24" s="111">
        <v>0</v>
      </c>
      <c r="E24" s="92">
        <v>20</v>
      </c>
      <c r="F24" s="93" t="str">
        <f>BEGINBLAD!C23</f>
        <v>leerling 20</v>
      </c>
      <c r="G24" s="94">
        <f>'NIVEAU WAARDE - vorig jaar'!H28</f>
        <v>4.5</v>
      </c>
      <c r="H24" s="95">
        <f>'NIVEAU WAARDE - 1e toetsperiode'!H28</f>
        <v>4.2</v>
      </c>
      <c r="I24" s="96" t="str">
        <f t="shared" si="0"/>
        <v>A-1</v>
      </c>
      <c r="J24" s="236" t="str">
        <f t="shared" si="1"/>
        <v/>
      </c>
      <c r="K24" s="331" t="s">
        <v>327</v>
      </c>
      <c r="L24" s="330" t="s">
        <v>327</v>
      </c>
      <c r="M24" s="330" t="s">
        <v>327</v>
      </c>
      <c r="N24" s="616"/>
      <c r="O24" s="616"/>
      <c r="P24" s="616"/>
      <c r="Q24" s="332"/>
      <c r="R24" s="236" t="b">
        <f t="shared" si="2"/>
        <v>0</v>
      </c>
      <c r="S24" s="1199"/>
      <c r="T24" s="1197"/>
      <c r="U24" s="116"/>
      <c r="V24" s="120"/>
      <c r="W24" s="120"/>
      <c r="X24" s="120"/>
      <c r="Y24" s="120"/>
      <c r="Z24" s="120"/>
      <c r="AA24" s="120"/>
    </row>
    <row r="25" spans="1:28" ht="19.5" customHeight="1" thickBot="1" x14ac:dyDescent="0.25">
      <c r="B25" s="123"/>
      <c r="C25" s="122"/>
      <c r="D25" s="111">
        <v>0</v>
      </c>
      <c r="E25" s="92">
        <v>21</v>
      </c>
      <c r="F25" s="93" t="str">
        <f>BEGINBLAD!C24</f>
        <v>leerling 21</v>
      </c>
      <c r="G25" s="94">
        <f>'NIVEAU WAARDE - vorig jaar'!H29</f>
        <v>3.6</v>
      </c>
      <c r="H25" s="95">
        <f>'NIVEAU WAARDE - 1e toetsperiode'!H29</f>
        <v>3.3</v>
      </c>
      <c r="I25" s="96" t="str">
        <f t="shared" si="0"/>
        <v>B-3</v>
      </c>
      <c r="J25" s="236" t="str">
        <f t="shared" si="1"/>
        <v/>
      </c>
      <c r="K25" s="331" t="s">
        <v>327</v>
      </c>
      <c r="L25" s="330" t="s">
        <v>327</v>
      </c>
      <c r="M25" s="330" t="s">
        <v>327</v>
      </c>
      <c r="N25" s="616"/>
      <c r="O25" s="616"/>
      <c r="P25" s="616"/>
      <c r="Q25" s="332"/>
      <c r="R25" s="236" t="b">
        <f t="shared" si="2"/>
        <v>0</v>
      </c>
      <c r="S25" s="107"/>
      <c r="T25" s="113" t="s">
        <v>282</v>
      </c>
      <c r="U25" s="116"/>
      <c r="V25" s="120"/>
      <c r="W25" s="120"/>
      <c r="X25" s="120"/>
      <c r="Y25" s="120"/>
      <c r="Z25" s="120"/>
      <c r="AA25" s="120"/>
    </row>
    <row r="26" spans="1:28" ht="19.5" customHeight="1" x14ac:dyDescent="0.2">
      <c r="D26" s="111">
        <v>0</v>
      </c>
      <c r="E26" s="92">
        <v>22</v>
      </c>
      <c r="F26" s="93" t="str">
        <f>BEGINBLAD!C25</f>
        <v>leerling 22</v>
      </c>
      <c r="G26" s="94">
        <f>'NIVEAU WAARDE - vorig jaar'!H30</f>
        <v>1.7</v>
      </c>
      <c r="H26" s="95">
        <f>'NIVEAU WAARDE - 1e toetsperiode'!H30</f>
        <v>1.6</v>
      </c>
      <c r="I26" s="96" t="str">
        <f t="shared" si="0"/>
        <v>D-5</v>
      </c>
      <c r="J26" s="236" t="str">
        <f t="shared" si="1"/>
        <v/>
      </c>
      <c r="K26" s="331" t="s">
        <v>327</v>
      </c>
      <c r="L26" s="330" t="s">
        <v>326</v>
      </c>
      <c r="M26" s="330" t="s">
        <v>328</v>
      </c>
      <c r="N26" s="616"/>
      <c r="O26" s="616"/>
      <c r="P26" s="616"/>
      <c r="Q26" s="332"/>
      <c r="R26" s="236" t="str">
        <f t="shared" si="2"/>
        <v>!</v>
      </c>
      <c r="S26" s="1191" t="s">
        <v>135</v>
      </c>
      <c r="T26" s="1194" t="str">
        <f>'BASISAANPAK - 1e periode'!I6</f>
        <v>niveau DLE-rekenen moet voldoende scoren (C-niveau = onvoldoende)
Na 4 weken komen de sommen terug - dan moeten de kinderen meer sommen maken - 80% moet beter scoren</v>
      </c>
      <c r="U26" s="89"/>
      <c r="V26" s="114"/>
      <c r="W26" s="114"/>
      <c r="X26" s="114"/>
      <c r="Y26" s="114"/>
      <c r="Z26" s="114"/>
      <c r="AA26" s="114"/>
    </row>
    <row r="27" spans="1:28" s="126" customFormat="1" ht="19.5" customHeight="1" x14ac:dyDescent="0.4">
      <c r="A27" s="89"/>
      <c r="B27" s="1132" t="s">
        <v>43</v>
      </c>
      <c r="C27" s="90" t="s">
        <v>210</v>
      </c>
      <c r="D27" s="105">
        <v>0</v>
      </c>
      <c r="E27" s="92">
        <v>23</v>
      </c>
      <c r="F27" s="93" t="str">
        <f>BEGINBLAD!C26</f>
        <v>leerling 23</v>
      </c>
      <c r="G27" s="94">
        <f>'NIVEAU WAARDE - vorig jaar'!H31</f>
        <v>3.8</v>
      </c>
      <c r="H27" s="95">
        <f>'NIVEAU WAARDE - 1e toetsperiode'!H31</f>
        <v>3.9</v>
      </c>
      <c r="I27" s="96" t="str">
        <f t="shared" si="0"/>
        <v>B-2</v>
      </c>
      <c r="J27" s="236" t="str">
        <f t="shared" si="1"/>
        <v/>
      </c>
      <c r="K27" s="331" t="s">
        <v>327</v>
      </c>
      <c r="L27" s="330" t="s">
        <v>327</v>
      </c>
      <c r="M27" s="330" t="s">
        <v>327</v>
      </c>
      <c r="N27" s="616"/>
      <c r="O27" s="616"/>
      <c r="P27" s="616"/>
      <c r="Q27" s="332"/>
      <c r="R27" s="236" t="b">
        <f t="shared" si="2"/>
        <v>0</v>
      </c>
      <c r="S27" s="1192"/>
      <c r="T27" s="1195"/>
      <c r="U27" s="125"/>
      <c r="V27" s="125"/>
      <c r="W27" s="125"/>
      <c r="X27" s="125"/>
      <c r="Y27" s="125"/>
      <c r="Z27" s="125"/>
      <c r="AA27" s="125"/>
    </row>
    <row r="28" spans="1:28" ht="19.5" customHeight="1" x14ac:dyDescent="0.4">
      <c r="A28" s="89"/>
      <c r="B28" s="1132"/>
      <c r="C28" s="101" t="s">
        <v>200</v>
      </c>
      <c r="D28" s="105">
        <v>0</v>
      </c>
      <c r="E28" s="92">
        <v>24</v>
      </c>
      <c r="F28" s="93" t="str">
        <f>BEGINBLAD!C27</f>
        <v>leerling 24</v>
      </c>
      <c r="G28" s="94">
        <f>'NIVEAU WAARDE - vorig jaar'!H32</f>
        <v>4.7</v>
      </c>
      <c r="H28" s="95">
        <f>'NIVEAU WAARDE - 1e toetsperiode'!H32</f>
        <v>4.8</v>
      </c>
      <c r="I28" s="96" t="str">
        <f t="shared" si="0"/>
        <v>A-1+</v>
      </c>
      <c r="J28" s="236" t="str">
        <f t="shared" si="1"/>
        <v/>
      </c>
      <c r="K28" s="331" t="s">
        <v>327</v>
      </c>
      <c r="L28" s="330" t="s">
        <v>327</v>
      </c>
      <c r="M28" s="330" t="s">
        <v>327</v>
      </c>
      <c r="N28" s="616"/>
      <c r="O28" s="616"/>
      <c r="P28" s="616"/>
      <c r="Q28" s="332"/>
      <c r="R28" s="236" t="b">
        <f t="shared" si="2"/>
        <v>0</v>
      </c>
      <c r="S28" s="1192" t="s">
        <v>137</v>
      </c>
      <c r="T28" s="1200" t="str">
        <f>'BASISAANPAK - 1e periode'!I8</f>
        <v>ma: tafels oefenen (tafeltoetsje)
di, do, vr: 5 minuten hoofdrekenen voor de rekenles (sommenblad - bordrijen op computer)
gr.6: oefenen dagelijks met Ambrasoft (tafels). Groep 7/8 dagelijks ambrasoft breuken of procenten en/of maten en gewichten of iets dergelijks.</v>
      </c>
      <c r="U28" s="77"/>
      <c r="V28" s="127"/>
      <c r="W28" s="88"/>
      <c r="X28" s="88"/>
      <c r="Y28" s="88"/>
      <c r="Z28" s="88"/>
      <c r="AA28" s="88"/>
    </row>
    <row r="29" spans="1:28" ht="19.5" customHeight="1" x14ac:dyDescent="0.2">
      <c r="A29" s="102"/>
      <c r="B29" s="326"/>
      <c r="C29" s="328"/>
      <c r="D29" s="91">
        <v>0</v>
      </c>
      <c r="E29" s="92">
        <v>25</v>
      </c>
      <c r="F29" s="93" t="str">
        <f>BEGINBLAD!C28</f>
        <v>leerling 25</v>
      </c>
      <c r="G29" s="94">
        <f>'NIVEAU WAARDE - vorig jaar'!H33</f>
        <v>2.2000000000000002</v>
      </c>
      <c r="H29" s="95">
        <f>'NIVEAU WAARDE - 1e toetsperiode'!H33</f>
        <v>1.7</v>
      </c>
      <c r="I29" s="96" t="str">
        <f t="shared" si="0"/>
        <v>D-4</v>
      </c>
      <c r="J29" s="236" t="str">
        <f t="shared" si="1"/>
        <v/>
      </c>
      <c r="K29" s="331" t="s">
        <v>327</v>
      </c>
      <c r="L29" s="330" t="s">
        <v>326</v>
      </c>
      <c r="M29" s="330" t="s">
        <v>326</v>
      </c>
      <c r="N29" s="616"/>
      <c r="O29" s="616"/>
      <c r="P29" s="616"/>
      <c r="Q29" s="332"/>
      <c r="R29" s="236" t="b">
        <f t="shared" si="2"/>
        <v>0</v>
      </c>
      <c r="S29" s="1192"/>
      <c r="T29" s="1200"/>
      <c r="U29" s="128"/>
      <c r="V29" s="117"/>
      <c r="W29" s="117"/>
      <c r="X29" s="117"/>
      <c r="Y29" s="117"/>
      <c r="Z29" s="117"/>
      <c r="AA29" s="117"/>
    </row>
    <row r="30" spans="1:28" ht="19.5" customHeight="1" x14ac:dyDescent="0.2">
      <c r="A30" s="102"/>
      <c r="B30" s="326"/>
      <c r="C30" s="328"/>
      <c r="D30" s="91">
        <v>0</v>
      </c>
      <c r="E30" s="92">
        <v>26</v>
      </c>
      <c r="F30" s="93" t="str">
        <f>BEGINBLAD!C29</f>
        <v>leerling 26</v>
      </c>
      <c r="G30" s="94">
        <f>'NIVEAU WAARDE - vorig jaar'!H34</f>
        <v>0.8</v>
      </c>
      <c r="H30" s="95">
        <f>'NIVEAU WAARDE - 1e toetsperiode'!H34</f>
        <v>1.2</v>
      </c>
      <c r="I30" s="96" t="str">
        <f t="shared" si="0"/>
        <v>D-5</v>
      </c>
      <c r="J30" s="236" t="str">
        <f t="shared" si="1"/>
        <v/>
      </c>
      <c r="K30" s="331" t="s">
        <v>327</v>
      </c>
      <c r="L30" s="330" t="s">
        <v>325</v>
      </c>
      <c r="M30" s="330" t="s">
        <v>327</v>
      </c>
      <c r="N30" s="616"/>
      <c r="O30" s="616"/>
      <c r="P30" s="616"/>
      <c r="Q30" s="332"/>
      <c r="R30" s="236" t="b">
        <f t="shared" si="2"/>
        <v>0</v>
      </c>
      <c r="S30" s="1192"/>
      <c r="T30" s="1200"/>
      <c r="U30" s="116"/>
      <c r="V30" s="120"/>
      <c r="W30" s="120"/>
      <c r="X30" s="120"/>
      <c r="Y30" s="120"/>
      <c r="Z30" s="120"/>
      <c r="AA30" s="120"/>
    </row>
    <row r="31" spans="1:28" ht="19.5" customHeight="1" x14ac:dyDescent="0.2">
      <c r="A31" s="102"/>
      <c r="B31" s="326"/>
      <c r="C31" s="328"/>
      <c r="D31" s="91">
        <v>0</v>
      </c>
      <c r="E31" s="92">
        <v>27</v>
      </c>
      <c r="F31" s="93">
        <f>BEGINBLAD!C30</f>
        <v>0</v>
      </c>
      <c r="G31" s="94">
        <f>'NIVEAU WAARDE - vorig jaar'!H35</f>
        <v>0</v>
      </c>
      <c r="H31" s="95">
        <f>'NIVEAU WAARDE - 1e toetsperiode'!H35</f>
        <v>0</v>
      </c>
      <c r="I31" s="96" t="str">
        <f t="shared" si="0"/>
        <v/>
      </c>
      <c r="J31" s="236" t="str">
        <f t="shared" si="1"/>
        <v/>
      </c>
      <c r="K31" s="331"/>
      <c r="L31" s="330"/>
      <c r="M31" s="330"/>
      <c r="N31" s="616"/>
      <c r="O31" s="616"/>
      <c r="P31" s="616"/>
      <c r="Q31" s="332"/>
      <c r="R31" s="236" t="b">
        <f t="shared" si="2"/>
        <v>0</v>
      </c>
      <c r="S31" s="1192"/>
      <c r="T31" s="1200"/>
      <c r="U31" s="116"/>
      <c r="V31" s="120"/>
      <c r="W31" s="120"/>
      <c r="X31" s="120"/>
      <c r="Y31" s="120"/>
      <c r="Z31" s="120"/>
      <c r="AA31" s="120"/>
    </row>
    <row r="32" spans="1:28" ht="19.5" customHeight="1" x14ac:dyDescent="0.2">
      <c r="A32" s="102"/>
      <c r="B32" s="326"/>
      <c r="C32" s="328"/>
      <c r="D32" s="91">
        <v>0</v>
      </c>
      <c r="E32" s="92">
        <v>28</v>
      </c>
      <c r="F32" s="93">
        <f>BEGINBLAD!C31</f>
        <v>0</v>
      </c>
      <c r="G32" s="94">
        <f>'NIVEAU WAARDE - vorig jaar'!H36</f>
        <v>0</v>
      </c>
      <c r="H32" s="95">
        <f>'NIVEAU WAARDE - 1e toetsperiode'!H36</f>
        <v>0</v>
      </c>
      <c r="I32" s="96" t="str">
        <f t="shared" si="0"/>
        <v/>
      </c>
      <c r="J32" s="236" t="str">
        <f t="shared" si="1"/>
        <v/>
      </c>
      <c r="K32" s="331"/>
      <c r="L32" s="330"/>
      <c r="M32" s="616"/>
      <c r="N32" s="616"/>
      <c r="O32" s="616"/>
      <c r="P32" s="616"/>
      <c r="Q32" s="332"/>
      <c r="R32" s="236" t="b">
        <f t="shared" si="2"/>
        <v>0</v>
      </c>
      <c r="S32" s="1192"/>
      <c r="T32" s="1200"/>
      <c r="U32" s="116"/>
      <c r="V32" s="120"/>
      <c r="W32" s="120"/>
      <c r="X32" s="120"/>
      <c r="Y32" s="120"/>
      <c r="Z32" s="120"/>
      <c r="AA32" s="120"/>
    </row>
    <row r="33" spans="1:31" ht="19.5" customHeight="1" x14ac:dyDescent="0.2">
      <c r="A33" s="102"/>
      <c r="B33" s="326"/>
      <c r="C33" s="328"/>
      <c r="D33" s="91">
        <v>0</v>
      </c>
      <c r="E33" s="92">
        <v>29</v>
      </c>
      <c r="F33" s="93">
        <f>BEGINBLAD!C32</f>
        <v>0</v>
      </c>
      <c r="G33" s="94">
        <f>'NIVEAU WAARDE - vorig jaar'!H37</f>
        <v>0</v>
      </c>
      <c r="H33" s="95">
        <f>'NIVEAU WAARDE - 1e toetsperiode'!H37</f>
        <v>0</v>
      </c>
      <c r="I33" s="96" t="str">
        <f t="shared" si="0"/>
        <v/>
      </c>
      <c r="J33" s="236" t="str">
        <f t="shared" si="1"/>
        <v/>
      </c>
      <c r="K33" s="331"/>
      <c r="L33" s="330"/>
      <c r="M33" s="616"/>
      <c r="N33" s="616"/>
      <c r="O33" s="616"/>
      <c r="P33" s="616"/>
      <c r="Q33" s="332"/>
      <c r="R33" s="236" t="b">
        <f t="shared" si="2"/>
        <v>0</v>
      </c>
      <c r="S33" s="1192"/>
      <c r="T33" s="1200"/>
      <c r="U33" s="116"/>
      <c r="V33" s="120"/>
      <c r="W33" s="120"/>
      <c r="X33" s="120"/>
      <c r="Y33" s="120"/>
      <c r="Z33" s="120"/>
      <c r="AA33" s="120"/>
    </row>
    <row r="34" spans="1:31" ht="19.5" customHeight="1" x14ac:dyDescent="0.2">
      <c r="A34" s="102"/>
      <c r="B34" s="326"/>
      <c r="C34" s="328"/>
      <c r="D34" s="91">
        <v>0</v>
      </c>
      <c r="E34" s="92">
        <v>30</v>
      </c>
      <c r="F34" s="93">
        <f>BEGINBLAD!C33</f>
        <v>0</v>
      </c>
      <c r="G34" s="94">
        <f>'NIVEAU WAARDE - vorig jaar'!H38</f>
        <v>0</v>
      </c>
      <c r="H34" s="95">
        <f>'NIVEAU WAARDE - 1e toetsperiode'!H38</f>
        <v>0</v>
      </c>
      <c r="I34" s="96" t="str">
        <f t="shared" si="0"/>
        <v/>
      </c>
      <c r="J34" s="236" t="str">
        <f t="shared" si="1"/>
        <v/>
      </c>
      <c r="K34" s="246"/>
      <c r="L34" s="247"/>
      <c r="M34" s="617"/>
      <c r="N34" s="617"/>
      <c r="O34" s="617"/>
      <c r="P34" s="617"/>
      <c r="Q34" s="248"/>
      <c r="R34" s="236" t="b">
        <f t="shared" si="2"/>
        <v>0</v>
      </c>
      <c r="S34" s="1192"/>
      <c r="T34" s="1200"/>
      <c r="U34" s="116"/>
      <c r="V34" s="120"/>
      <c r="W34" s="120"/>
      <c r="X34" s="120"/>
      <c r="Y34" s="120"/>
      <c r="Z34" s="120"/>
      <c r="AA34" s="120"/>
    </row>
    <row r="35" spans="1:31" ht="19.5" customHeight="1" thickBot="1" x14ac:dyDescent="0.25">
      <c r="A35" s="102"/>
      <c r="B35" s="103"/>
      <c r="C35" s="689"/>
      <c r="D35" s="91">
        <v>0</v>
      </c>
      <c r="E35" s="92">
        <v>31</v>
      </c>
      <c r="F35" s="93">
        <f>BEGINBLAD!C34</f>
        <v>0</v>
      </c>
      <c r="G35" s="94">
        <f>'NIVEAU WAARDE - vorig jaar'!H39</f>
        <v>0</v>
      </c>
      <c r="H35" s="95">
        <f>'NIVEAU WAARDE - 1e toetsperiode'!H39</f>
        <v>0</v>
      </c>
      <c r="I35" s="96" t="str">
        <f t="shared" si="0"/>
        <v/>
      </c>
      <c r="J35" s="236" t="str">
        <f t="shared" si="1"/>
        <v/>
      </c>
      <c r="K35" s="246"/>
      <c r="L35" s="247"/>
      <c r="M35" s="617"/>
      <c r="N35" s="617"/>
      <c r="O35" s="617"/>
      <c r="P35" s="617"/>
      <c r="Q35" s="248"/>
      <c r="R35" s="236" t="b">
        <f t="shared" si="2"/>
        <v>0</v>
      </c>
      <c r="S35" s="1193"/>
      <c r="T35" s="1201"/>
      <c r="U35" s="116"/>
      <c r="V35" s="120"/>
      <c r="W35" s="120"/>
      <c r="X35" s="120"/>
      <c r="Y35" s="120"/>
      <c r="Z35" s="120"/>
      <c r="AA35" s="120"/>
    </row>
    <row r="36" spans="1:31" ht="19.5" customHeight="1" thickBot="1" x14ac:dyDescent="0.25">
      <c r="A36" s="102"/>
      <c r="B36" s="103"/>
      <c r="C36" s="689"/>
      <c r="D36" s="91">
        <v>0</v>
      </c>
      <c r="E36" s="92">
        <v>32</v>
      </c>
      <c r="F36" s="93">
        <f>BEGINBLAD!C35</f>
        <v>0</v>
      </c>
      <c r="G36" s="94">
        <f>'NIVEAU WAARDE - vorig jaar'!H40</f>
        <v>0</v>
      </c>
      <c r="H36" s="95">
        <f>'NIVEAU WAARDE - 1e toetsperiode'!H40</f>
        <v>0</v>
      </c>
      <c r="I36" s="96" t="str">
        <f t="shared" si="0"/>
        <v/>
      </c>
      <c r="J36" s="236" t="str">
        <f t="shared" si="1"/>
        <v/>
      </c>
      <c r="K36" s="246"/>
      <c r="L36" s="247"/>
      <c r="M36" s="617"/>
      <c r="N36" s="617"/>
      <c r="O36" s="617"/>
      <c r="P36" s="617"/>
      <c r="Q36" s="248"/>
      <c r="R36" s="236" t="b">
        <f t="shared" si="2"/>
        <v>0</v>
      </c>
      <c r="S36" s="107"/>
      <c r="T36" s="113" t="s">
        <v>108</v>
      </c>
      <c r="U36" s="116"/>
      <c r="V36" s="120"/>
      <c r="W36" s="120"/>
      <c r="X36" s="120"/>
      <c r="Y36" s="120"/>
      <c r="Z36" s="120"/>
      <c r="AA36" s="120"/>
    </row>
    <row r="37" spans="1:31" ht="19.5" customHeight="1" x14ac:dyDescent="0.2">
      <c r="A37" s="102"/>
      <c r="B37" s="103"/>
      <c r="C37" s="689"/>
      <c r="D37" s="91">
        <v>0</v>
      </c>
      <c r="E37" s="92">
        <v>33</v>
      </c>
      <c r="F37" s="93">
        <f>BEGINBLAD!C36</f>
        <v>0</v>
      </c>
      <c r="G37" s="94">
        <f>'NIVEAU WAARDE - vorig jaar'!H41</f>
        <v>0</v>
      </c>
      <c r="H37" s="95">
        <f>'NIVEAU WAARDE - 1e toetsperiode'!H41</f>
        <v>0</v>
      </c>
      <c r="I37" s="96" t="str">
        <f t="shared" si="0"/>
        <v/>
      </c>
      <c r="J37" s="236" t="str">
        <f t="shared" si="1"/>
        <v/>
      </c>
      <c r="K37" s="246"/>
      <c r="L37" s="247"/>
      <c r="M37" s="617"/>
      <c r="N37" s="617"/>
      <c r="O37" s="617"/>
      <c r="P37" s="617"/>
      <c r="Q37" s="248"/>
      <c r="R37" s="236" t="b">
        <f t="shared" si="2"/>
        <v>0</v>
      </c>
      <c r="S37" s="1191" t="s">
        <v>135</v>
      </c>
      <c r="T37" s="1194">
        <f>'VERRIJKT - 1e periode'!I6</f>
        <v>0</v>
      </c>
      <c r="U37" s="116"/>
      <c r="V37" s="120"/>
      <c r="W37" s="120"/>
      <c r="X37" s="120"/>
      <c r="Y37" s="120"/>
      <c r="Z37" s="120"/>
      <c r="AA37" s="120"/>
    </row>
    <row r="38" spans="1:31" ht="19.5" customHeight="1" x14ac:dyDescent="0.2">
      <c r="A38" s="102"/>
      <c r="B38" s="103"/>
      <c r="C38" s="689"/>
      <c r="D38" s="91">
        <v>0</v>
      </c>
      <c r="E38" s="92">
        <v>34</v>
      </c>
      <c r="F38" s="93">
        <f>BEGINBLAD!C37</f>
        <v>0</v>
      </c>
      <c r="G38" s="94">
        <f>'NIVEAU WAARDE - vorig jaar'!H42</f>
        <v>0</v>
      </c>
      <c r="H38" s="95">
        <f>'NIVEAU WAARDE - 1e toetsperiode'!H42</f>
        <v>0</v>
      </c>
      <c r="I38" s="96" t="str">
        <f t="shared" si="0"/>
        <v/>
      </c>
      <c r="J38" s="236" t="str">
        <f t="shared" si="1"/>
        <v/>
      </c>
      <c r="K38" s="246"/>
      <c r="L38" s="247"/>
      <c r="M38" s="617"/>
      <c r="N38" s="617"/>
      <c r="O38" s="617"/>
      <c r="P38" s="617"/>
      <c r="Q38" s="248"/>
      <c r="R38" s="236" t="b">
        <f t="shared" si="2"/>
        <v>0</v>
      </c>
      <c r="S38" s="1192"/>
      <c r="T38" s="1195"/>
      <c r="U38" s="116"/>
      <c r="V38" s="120"/>
      <c r="W38" s="120"/>
      <c r="X38" s="120"/>
      <c r="Y38" s="120"/>
      <c r="Z38" s="120"/>
      <c r="AA38" s="120"/>
    </row>
    <row r="39" spans="1:31" ht="19.5" customHeight="1" x14ac:dyDescent="0.2">
      <c r="A39" s="102"/>
      <c r="B39" s="103"/>
      <c r="C39" s="689"/>
      <c r="D39" s="91">
        <v>0</v>
      </c>
      <c r="E39" s="92">
        <v>35</v>
      </c>
      <c r="F39" s="93">
        <f>BEGINBLAD!C38</f>
        <v>0</v>
      </c>
      <c r="G39" s="94">
        <f>'NIVEAU WAARDE - vorig jaar'!H43</f>
        <v>0</v>
      </c>
      <c r="H39" s="95">
        <f>'NIVEAU WAARDE - 1e toetsperiode'!H43</f>
        <v>0</v>
      </c>
      <c r="I39" s="96" t="str">
        <f t="shared" si="0"/>
        <v/>
      </c>
      <c r="J39" s="236" t="str">
        <f t="shared" si="1"/>
        <v/>
      </c>
      <c r="K39" s="246"/>
      <c r="L39" s="247"/>
      <c r="M39" s="617"/>
      <c r="N39" s="617"/>
      <c r="O39" s="617"/>
      <c r="P39" s="617"/>
      <c r="Q39" s="248"/>
      <c r="R39" s="236" t="b">
        <f t="shared" si="2"/>
        <v>0</v>
      </c>
      <c r="S39" s="1192" t="s">
        <v>137</v>
      </c>
      <c r="T39" s="1189">
        <f>'VERRIJKT - 1e periode'!I8</f>
        <v>0</v>
      </c>
      <c r="U39" s="116"/>
      <c r="V39" s="120"/>
      <c r="W39" s="120"/>
      <c r="X39" s="120"/>
      <c r="Y39" s="120"/>
      <c r="Z39" s="120"/>
      <c r="AA39" s="120"/>
    </row>
    <row r="40" spans="1:31" s="89" customFormat="1" ht="19.5" customHeight="1" thickBot="1" x14ac:dyDescent="0.25">
      <c r="A40" s="102"/>
      <c r="B40" s="103"/>
      <c r="C40" s="689"/>
      <c r="D40" s="91">
        <v>0</v>
      </c>
      <c r="E40" s="130">
        <v>36</v>
      </c>
      <c r="F40" s="131">
        <f>BEGINBLAD!C39</f>
        <v>0</v>
      </c>
      <c r="G40" s="132">
        <f>'NIVEAU WAARDE - vorig jaar'!H44</f>
        <v>0</v>
      </c>
      <c r="H40" s="133">
        <f>'NIVEAU WAARDE - 1e toetsperiode'!H44</f>
        <v>0</v>
      </c>
      <c r="I40" s="134" t="str">
        <f t="shared" si="0"/>
        <v/>
      </c>
      <c r="J40" s="236" t="str">
        <f t="shared" si="1"/>
        <v/>
      </c>
      <c r="K40" s="333"/>
      <c r="L40" s="251"/>
      <c r="M40" s="618"/>
      <c r="N40" s="618"/>
      <c r="O40" s="618"/>
      <c r="P40" s="618"/>
      <c r="Q40" s="252"/>
      <c r="R40" s="236" t="b">
        <f t="shared" si="2"/>
        <v>0</v>
      </c>
      <c r="S40" s="1192"/>
      <c r="T40" s="1189"/>
      <c r="U40" s="116"/>
      <c r="V40" s="120"/>
      <c r="W40" s="120"/>
      <c r="X40" s="120"/>
      <c r="Y40" s="120"/>
      <c r="Z40" s="120"/>
      <c r="AA40" s="120"/>
      <c r="AB40" s="114"/>
      <c r="AC40" s="114"/>
      <c r="AD40" s="114"/>
      <c r="AE40" s="114"/>
    </row>
    <row r="41" spans="1:31" ht="19.5" customHeight="1" thickBot="1" x14ac:dyDescent="0.25">
      <c r="A41" s="137"/>
      <c r="B41" s="138"/>
      <c r="C41" s="1202" t="s">
        <v>109</v>
      </c>
      <c r="D41" s="1202"/>
      <c r="E41" s="1202"/>
      <c r="F41" s="1202"/>
      <c r="G41" s="1203" t="s">
        <v>108</v>
      </c>
      <c r="H41" s="1203"/>
      <c r="I41" s="1203"/>
      <c r="J41" s="1203"/>
      <c r="K41" s="1203"/>
      <c r="L41" s="1203"/>
      <c r="M41" s="1203"/>
      <c r="N41" s="1203"/>
      <c r="O41" s="1203"/>
      <c r="P41" s="1203"/>
      <c r="Q41" s="1203"/>
      <c r="S41" s="1192"/>
      <c r="T41" s="1189"/>
      <c r="U41" s="116"/>
      <c r="V41" s="139"/>
      <c r="W41" s="139"/>
      <c r="X41" s="139"/>
      <c r="Y41" s="139"/>
      <c r="Z41" s="139"/>
      <c r="AA41" s="139"/>
    </row>
    <row r="42" spans="1:31" ht="19.5" customHeight="1" x14ac:dyDescent="0.2">
      <c r="A42" s="116"/>
      <c r="B42" s="159"/>
      <c r="C42" s="166" t="s">
        <v>214</v>
      </c>
      <c r="D42" s="1204"/>
      <c r="E42" s="1205"/>
      <c r="F42" s="1206"/>
      <c r="G42" s="1207" t="s">
        <v>214</v>
      </c>
      <c r="H42" s="1208"/>
      <c r="I42" s="1219"/>
      <c r="J42" s="1220"/>
      <c r="K42" s="1220"/>
      <c r="L42" s="1220"/>
      <c r="M42" s="1220"/>
      <c r="N42" s="1220"/>
      <c r="O42" s="1220"/>
      <c r="P42" s="1220"/>
      <c r="Q42" s="1221"/>
      <c r="S42" s="1192"/>
      <c r="T42" s="1189"/>
      <c r="U42" s="116"/>
      <c r="V42" s="139"/>
      <c r="W42" s="139"/>
      <c r="X42" s="139"/>
      <c r="Y42" s="139"/>
      <c r="Z42" s="139"/>
      <c r="AA42" s="139"/>
    </row>
    <row r="43" spans="1:31" ht="19.5" customHeight="1" x14ac:dyDescent="0.2">
      <c r="A43" s="116"/>
      <c r="B43" s="160"/>
      <c r="C43" s="167" t="s">
        <v>215</v>
      </c>
      <c r="D43" s="1210"/>
      <c r="E43" s="1211"/>
      <c r="F43" s="1212"/>
      <c r="G43" s="1213" t="s">
        <v>215</v>
      </c>
      <c r="H43" s="1214"/>
      <c r="I43" s="1215"/>
      <c r="J43" s="1216"/>
      <c r="K43" s="1216"/>
      <c r="L43" s="1216"/>
      <c r="M43" s="1216"/>
      <c r="N43" s="1216"/>
      <c r="O43" s="1216"/>
      <c r="P43" s="1216"/>
      <c r="Q43" s="1217"/>
      <c r="S43" s="1192"/>
      <c r="T43" s="1189"/>
      <c r="U43" s="116"/>
      <c r="V43" s="139"/>
      <c r="W43" s="139"/>
      <c r="X43" s="139"/>
      <c r="Y43" s="139"/>
      <c r="Z43" s="139"/>
      <c r="AA43" s="139"/>
    </row>
    <row r="44" spans="1:31" ht="19.5" customHeight="1" x14ac:dyDescent="0.2">
      <c r="A44" s="116"/>
      <c r="B44" s="160"/>
      <c r="C44" s="167" t="s">
        <v>216</v>
      </c>
      <c r="D44" s="1210"/>
      <c r="E44" s="1211"/>
      <c r="F44" s="1212"/>
      <c r="G44" s="1213" t="s">
        <v>216</v>
      </c>
      <c r="H44" s="1214"/>
      <c r="I44" s="1215"/>
      <c r="J44" s="1216"/>
      <c r="K44" s="1216"/>
      <c r="L44" s="1216"/>
      <c r="M44" s="1216"/>
      <c r="N44" s="1216"/>
      <c r="O44" s="1216"/>
      <c r="P44" s="1216"/>
      <c r="Q44" s="1217"/>
      <c r="S44" s="1192"/>
      <c r="T44" s="1189"/>
      <c r="U44" s="116"/>
      <c r="V44" s="139"/>
      <c r="W44" s="139"/>
      <c r="X44" s="139"/>
      <c r="Y44" s="139"/>
      <c r="Z44" s="139"/>
      <c r="AA44" s="139"/>
    </row>
    <row r="45" spans="1:31" ht="19.5" customHeight="1" x14ac:dyDescent="0.2">
      <c r="A45" s="116"/>
      <c r="B45" s="160"/>
      <c r="C45" s="167" t="s">
        <v>217</v>
      </c>
      <c r="D45" s="1210"/>
      <c r="E45" s="1211"/>
      <c r="F45" s="1212"/>
      <c r="G45" s="1213" t="s">
        <v>217</v>
      </c>
      <c r="H45" s="1214"/>
      <c r="I45" s="1215"/>
      <c r="J45" s="1216"/>
      <c r="K45" s="1216"/>
      <c r="L45" s="1216"/>
      <c r="M45" s="1216"/>
      <c r="N45" s="1216"/>
      <c r="O45" s="1216"/>
      <c r="P45" s="1216"/>
      <c r="Q45" s="1217"/>
      <c r="S45" s="1192"/>
      <c r="T45" s="1189"/>
      <c r="U45" s="116"/>
      <c r="V45" s="139"/>
      <c r="W45" s="139"/>
      <c r="X45" s="139"/>
      <c r="Y45" s="139"/>
      <c r="Z45" s="139"/>
      <c r="AA45" s="139"/>
    </row>
    <row r="46" spans="1:31" ht="19.5" customHeight="1" thickBot="1" x14ac:dyDescent="0.25">
      <c r="A46" s="116"/>
      <c r="B46" s="160"/>
      <c r="C46" s="168" t="s">
        <v>218</v>
      </c>
      <c r="D46" s="1222"/>
      <c r="E46" s="1223"/>
      <c r="F46" s="1224"/>
      <c r="G46" s="1225" t="s">
        <v>218</v>
      </c>
      <c r="H46" s="1226"/>
      <c r="I46" s="1227"/>
      <c r="J46" s="1228"/>
      <c r="K46" s="1228"/>
      <c r="L46" s="1228"/>
      <c r="M46" s="1228"/>
      <c r="N46" s="1228"/>
      <c r="O46" s="1228"/>
      <c r="P46" s="1228"/>
      <c r="Q46" s="1229"/>
      <c r="S46" s="1193"/>
      <c r="T46" s="1190"/>
      <c r="U46" s="116"/>
      <c r="V46" s="120"/>
      <c r="W46" s="120"/>
      <c r="X46" s="120"/>
      <c r="Y46" s="120"/>
      <c r="Z46" s="120"/>
      <c r="AA46" s="120"/>
    </row>
    <row r="47" spans="1:31" x14ac:dyDescent="0.2">
      <c r="B47" s="140"/>
      <c r="C47" s="145"/>
      <c r="D47" s="499"/>
      <c r="E47" s="500"/>
      <c r="F47" s="500"/>
      <c r="G47" s="500"/>
      <c r="H47" s="197"/>
      <c r="I47" s="142"/>
      <c r="J47" s="142"/>
      <c r="K47" s="1235" t="s">
        <v>213</v>
      </c>
      <c r="L47" s="1235"/>
      <c r="M47" s="1235"/>
      <c r="N47" s="1235"/>
      <c r="O47" s="1235"/>
      <c r="P47" s="1235"/>
      <c r="Q47" s="1235"/>
      <c r="R47" s="141"/>
      <c r="S47" s="151"/>
      <c r="T47" s="151"/>
      <c r="U47" s="116"/>
      <c r="V47" s="120"/>
      <c r="W47" s="120"/>
      <c r="X47" s="120"/>
      <c r="Y47" s="120"/>
      <c r="Z47" s="120"/>
      <c r="AA47" s="120"/>
    </row>
    <row r="48" spans="1:31" x14ac:dyDescent="0.2">
      <c r="B48" s="161"/>
      <c r="C48" s="154"/>
      <c r="D48" s="208">
        <f>BEGINBLAD!$D$40</f>
        <v>26</v>
      </c>
      <c r="E48" s="199"/>
      <c r="F48" s="200" t="s">
        <v>288</v>
      </c>
      <c r="G48" s="207">
        <f>H48/$D$49</f>
        <v>0.11538461538461539</v>
      </c>
      <c r="H48" s="111">
        <f>COUNTIF($I$5:$I$40,"A-1+")</f>
        <v>3</v>
      </c>
      <c r="I48" s="111"/>
      <c r="J48" s="198" t="s">
        <v>289</v>
      </c>
      <c r="K48" s="198"/>
      <c r="L48" s="198"/>
      <c r="M48" s="198"/>
      <c r="N48" s="198"/>
      <c r="O48" s="198"/>
      <c r="P48" s="198"/>
      <c r="Q48" s="222">
        <f>G48+G49+G50+G51+G52</f>
        <v>0.53846153846153844</v>
      </c>
      <c r="R48" s="222">
        <v>1</v>
      </c>
      <c r="S48" s="223"/>
      <c r="T48" s="141"/>
      <c r="U48" s="116"/>
      <c r="V48" s="120"/>
      <c r="W48" s="120"/>
      <c r="X48" s="120"/>
      <c r="Y48" s="120"/>
      <c r="Z48" s="120"/>
      <c r="AA48" s="120"/>
    </row>
    <row r="49" spans="2:27" x14ac:dyDescent="0.2">
      <c r="B49" s="161"/>
      <c r="C49" s="154"/>
      <c r="D49" s="205">
        <f>COUNTIF(H5:H40,"&gt;0")</f>
        <v>26</v>
      </c>
      <c r="E49" s="199"/>
      <c r="F49" s="200" t="s">
        <v>290</v>
      </c>
      <c r="G49" s="207">
        <f>H49/$D$49</f>
        <v>7.6923076923076927E-2</v>
      </c>
      <c r="H49" s="111">
        <f>COUNTIF($I$5:$I$40,"A-1")</f>
        <v>2</v>
      </c>
      <c r="I49" s="111"/>
      <c r="J49" s="198"/>
      <c r="K49" s="198"/>
      <c r="L49" s="198"/>
      <c r="M49" s="198"/>
      <c r="N49" s="198"/>
      <c r="O49" s="198"/>
      <c r="P49" s="198"/>
      <c r="Q49" s="222"/>
      <c r="R49" s="222">
        <v>0.7</v>
      </c>
      <c r="S49" s="224"/>
      <c r="T49" s="153"/>
      <c r="U49" s="116"/>
      <c r="V49" s="120"/>
      <c r="W49" s="120"/>
      <c r="X49" s="120"/>
      <c r="Y49" s="120"/>
      <c r="Z49" s="120"/>
      <c r="AA49" s="120"/>
    </row>
    <row r="50" spans="2:27" x14ac:dyDescent="0.2">
      <c r="B50" s="161"/>
      <c r="C50" s="154"/>
      <c r="D50" s="201"/>
      <c r="E50" s="199"/>
      <c r="F50" s="202" t="s">
        <v>291</v>
      </c>
      <c r="G50" s="207">
        <f>(H50+I50)/$D$49</f>
        <v>7.6923076923076927E-2</v>
      </c>
      <c r="H50" s="111">
        <f>COUNTIF($I$5:$I$40,"A-2")</f>
        <v>1</v>
      </c>
      <c r="I50" s="111">
        <f>COUNTIF($I$5:$I$40,"B-2")</f>
        <v>1</v>
      </c>
      <c r="J50" s="198"/>
      <c r="K50" s="198"/>
      <c r="L50" s="198"/>
      <c r="M50" s="198"/>
      <c r="N50" s="198"/>
      <c r="O50" s="198"/>
      <c r="P50" s="198"/>
      <c r="Q50" s="222"/>
      <c r="R50" s="222">
        <v>0.6</v>
      </c>
      <c r="S50" s="224"/>
      <c r="T50" s="153"/>
      <c r="U50" s="116"/>
      <c r="V50" s="120"/>
      <c r="W50" s="120"/>
      <c r="X50" s="120"/>
      <c r="Y50" s="120"/>
      <c r="Z50" s="120"/>
      <c r="AA50" s="120"/>
    </row>
    <row r="51" spans="2:27" x14ac:dyDescent="0.2">
      <c r="B51" s="161"/>
      <c r="C51" s="154"/>
      <c r="D51" s="201"/>
      <c r="E51" s="199"/>
      <c r="F51" s="200" t="s">
        <v>292</v>
      </c>
      <c r="G51" s="207">
        <f>H51/$D$49</f>
        <v>0.23076923076923078</v>
      </c>
      <c r="H51" s="111">
        <f>COUNTIF($I$5:$I$40,"B-3")</f>
        <v>6</v>
      </c>
      <c r="I51" s="111"/>
      <c r="J51" s="198"/>
      <c r="K51" s="198"/>
      <c r="L51" s="198"/>
      <c r="M51" s="198"/>
      <c r="N51" s="198"/>
      <c r="O51" s="198"/>
      <c r="P51" s="198"/>
      <c r="Q51" s="222"/>
      <c r="R51" s="222">
        <f>$Q$48</f>
        <v>0.53846153846153844</v>
      </c>
      <c r="S51" s="224"/>
      <c r="T51" s="153"/>
      <c r="U51" s="116"/>
      <c r="V51" s="120"/>
      <c r="W51" s="120"/>
      <c r="X51" s="120"/>
      <c r="Y51" s="120"/>
      <c r="Z51" s="120"/>
      <c r="AA51" s="120"/>
    </row>
    <row r="52" spans="2:27" x14ac:dyDescent="0.2">
      <c r="B52" s="161"/>
      <c r="C52" s="154"/>
      <c r="D52" s="201"/>
      <c r="E52" s="199"/>
      <c r="F52" s="200" t="s">
        <v>293</v>
      </c>
      <c r="G52" s="207">
        <f>H52/$D$49</f>
        <v>3.8461538461538464E-2</v>
      </c>
      <c r="H52" s="111">
        <f>COUNTIF($I$5:$I$40,"c-3")</f>
        <v>1</v>
      </c>
      <c r="I52" s="111"/>
      <c r="J52" s="198" t="s">
        <v>294</v>
      </c>
      <c r="K52" s="198"/>
      <c r="L52" s="198"/>
      <c r="M52" s="198"/>
      <c r="N52" s="198"/>
      <c r="O52" s="198"/>
      <c r="P52" s="198"/>
      <c r="Q52" s="222">
        <f>G53+G54+G55+G57</f>
        <v>0.46153846153846156</v>
      </c>
      <c r="R52" s="225"/>
      <c r="S52" s="224"/>
      <c r="T52" s="153"/>
      <c r="U52" s="116"/>
      <c r="V52" s="120"/>
      <c r="W52" s="120"/>
      <c r="X52" s="120"/>
      <c r="Y52" s="120"/>
      <c r="Z52" s="120"/>
      <c r="AA52" s="120"/>
    </row>
    <row r="53" spans="2:27" x14ac:dyDescent="0.2">
      <c r="B53" s="161"/>
      <c r="C53" s="154"/>
      <c r="D53" s="201"/>
      <c r="E53" s="199"/>
      <c r="F53" s="202" t="s">
        <v>295</v>
      </c>
      <c r="G53" s="207">
        <f>H53/$D$49</f>
        <v>7.6923076923076927E-2</v>
      </c>
      <c r="H53" s="111">
        <f>COUNTIF($I$5:$I$40,"c-4")</f>
        <v>2</v>
      </c>
      <c r="I53" s="208"/>
      <c r="J53" s="198"/>
      <c r="K53" s="198"/>
      <c r="L53" s="198"/>
      <c r="M53" s="198"/>
      <c r="N53" s="198"/>
      <c r="O53" s="198"/>
      <c r="P53" s="198"/>
      <c r="Q53" s="222"/>
      <c r="R53" s="225"/>
      <c r="S53" s="224"/>
      <c r="T53" s="153"/>
      <c r="U53" s="116"/>
      <c r="V53" s="120"/>
      <c r="W53" s="120"/>
      <c r="X53" s="120"/>
      <c r="Y53" s="120"/>
      <c r="Z53" s="120"/>
      <c r="AA53" s="120"/>
    </row>
    <row r="54" spans="2:27" x14ac:dyDescent="0.2">
      <c r="B54" s="161"/>
      <c r="C54" s="154"/>
      <c r="D54" s="201"/>
      <c r="E54" s="199"/>
      <c r="F54" s="199" t="s">
        <v>296</v>
      </c>
      <c r="G54" s="207">
        <f>H54/$D$49</f>
        <v>3.8461538461538464E-2</v>
      </c>
      <c r="H54" s="111">
        <f>COUNTIF($I$5:$I$40,"d-4")</f>
        <v>1</v>
      </c>
      <c r="I54" s="208"/>
      <c r="J54" s="198"/>
      <c r="K54" s="198"/>
      <c r="L54" s="198"/>
      <c r="M54" s="198"/>
      <c r="N54" s="198"/>
      <c r="O54" s="198"/>
      <c r="P54" s="198"/>
      <c r="Q54" s="222"/>
      <c r="R54" s="225"/>
      <c r="S54" s="224"/>
      <c r="T54" s="153"/>
      <c r="U54" s="116"/>
      <c r="V54" s="120"/>
      <c r="W54" s="120"/>
      <c r="X54" s="120"/>
      <c r="Y54" s="120"/>
      <c r="Z54" s="120"/>
      <c r="AA54" s="120"/>
    </row>
    <row r="55" spans="2:27" x14ac:dyDescent="0.2">
      <c r="B55" s="161"/>
      <c r="C55" s="154"/>
      <c r="D55" s="201"/>
      <c r="E55" s="199"/>
      <c r="F55" s="200" t="s">
        <v>297</v>
      </c>
      <c r="G55" s="207">
        <f>(H55+I55)/$D$49</f>
        <v>0.23076923076923078</v>
      </c>
      <c r="H55" s="111">
        <f>COUNTIF($I$5:$I$40,"d-5")</f>
        <v>5</v>
      </c>
      <c r="I55" s="111">
        <f>COUNTIF($I$5:$I$40,"e-5")</f>
        <v>1</v>
      </c>
      <c r="J55" s="198"/>
      <c r="K55" s="198"/>
      <c r="L55" s="198"/>
      <c r="M55" s="198"/>
      <c r="N55" s="198"/>
      <c r="O55" s="198"/>
      <c r="P55" s="198"/>
      <c r="Q55" s="222"/>
      <c r="R55" s="225"/>
      <c r="S55" s="224"/>
      <c r="T55" s="153"/>
      <c r="U55" s="116"/>
      <c r="V55" s="120"/>
      <c r="W55" s="120"/>
      <c r="X55" s="120"/>
      <c r="Y55" s="120"/>
      <c r="Z55" s="120"/>
      <c r="AA55" s="120"/>
    </row>
    <row r="56" spans="2:27" x14ac:dyDescent="0.2">
      <c r="B56" s="161"/>
      <c r="C56" s="154"/>
      <c r="D56" s="201"/>
      <c r="E56" s="199"/>
      <c r="F56" s="200"/>
      <c r="G56" s="207"/>
      <c r="H56" s="111"/>
      <c r="I56" s="111"/>
      <c r="J56" s="198" t="s">
        <v>50</v>
      </c>
      <c r="K56" s="198"/>
      <c r="L56" s="198"/>
      <c r="M56" s="198"/>
      <c r="N56" s="198"/>
      <c r="O56" s="198"/>
      <c r="P56" s="198"/>
      <c r="Q56" s="222">
        <f>Q48+Q52</f>
        <v>1</v>
      </c>
      <c r="R56" s="1209"/>
      <c r="S56" s="224"/>
      <c r="T56" s="153"/>
      <c r="U56" s="116"/>
      <c r="V56" s="120"/>
      <c r="W56" s="120"/>
      <c r="X56" s="120"/>
      <c r="Y56" s="120"/>
      <c r="Z56" s="120"/>
      <c r="AA56" s="120"/>
    </row>
    <row r="57" spans="2:27" x14ac:dyDescent="0.2">
      <c r="B57" s="161"/>
      <c r="C57" s="154"/>
      <c r="D57" s="201"/>
      <c r="E57" s="199"/>
      <c r="F57" s="203" t="s">
        <v>298</v>
      </c>
      <c r="G57" s="207">
        <f>H57/$D$49</f>
        <v>0.11538461538461539</v>
      </c>
      <c r="H57" s="111">
        <f>COUNTIF($I$5:$I$40,"e-5-")</f>
        <v>3</v>
      </c>
      <c r="I57" s="111"/>
      <c r="J57" s="198"/>
      <c r="K57" s="198"/>
      <c r="L57" s="198"/>
      <c r="M57" s="198"/>
      <c r="N57" s="198"/>
      <c r="O57" s="198"/>
      <c r="P57" s="198"/>
      <c r="Q57" s="222"/>
      <c r="R57" s="1209"/>
      <c r="S57" s="224"/>
      <c r="T57" s="153"/>
      <c r="U57" s="116"/>
      <c r="V57" s="120"/>
      <c r="W57" s="120"/>
      <c r="X57" s="120"/>
      <c r="Y57" s="120"/>
      <c r="Z57" s="120"/>
      <c r="AA57" s="120"/>
    </row>
    <row r="58" spans="2:27" x14ac:dyDescent="0.2">
      <c r="B58" s="161"/>
      <c r="C58" s="145"/>
      <c r="D58" s="201"/>
      <c r="E58" s="199"/>
      <c r="F58" s="200" t="s">
        <v>50</v>
      </c>
      <c r="G58" s="204">
        <f>SUM(G48:G57)</f>
        <v>1</v>
      </c>
      <c r="H58" s="693">
        <f>SUM(H48:H57)</f>
        <v>24</v>
      </c>
      <c r="I58" s="693">
        <f>SUM(I48:I57)</f>
        <v>2</v>
      </c>
      <c r="J58" s="208"/>
      <c r="K58" s="208"/>
      <c r="L58" s="223"/>
      <c r="M58" s="223"/>
      <c r="N58" s="223"/>
      <c r="O58" s="223"/>
      <c r="P58" s="223"/>
      <c r="Q58" s="223"/>
      <c r="R58" s="223"/>
      <c r="S58" s="223"/>
      <c r="T58" s="151"/>
      <c r="U58" s="116"/>
      <c r="V58" s="120"/>
      <c r="W58" s="120"/>
      <c r="X58" s="120"/>
      <c r="Y58" s="120"/>
      <c r="Z58" s="120"/>
      <c r="AA58" s="120"/>
    </row>
    <row r="59" spans="2:27" x14ac:dyDescent="0.2">
      <c r="B59" s="161"/>
      <c r="C59" s="145"/>
      <c r="D59" s="201"/>
      <c r="E59" s="199"/>
      <c r="F59" s="196"/>
      <c r="G59" s="196"/>
      <c r="H59" s="208">
        <f>SUM(H58+I58)</f>
        <v>26</v>
      </c>
      <c r="I59" s="208"/>
      <c r="J59" s="208"/>
      <c r="K59" s="208"/>
      <c r="L59" s="223"/>
      <c r="M59" s="223"/>
      <c r="N59" s="223"/>
      <c r="O59" s="223"/>
      <c r="P59" s="223"/>
      <c r="Q59" s="223"/>
      <c r="R59" s="223"/>
      <c r="S59" s="223"/>
      <c r="T59" s="151"/>
      <c r="U59" s="116"/>
      <c r="V59" s="120"/>
      <c r="W59" s="120"/>
      <c r="X59" s="120"/>
      <c r="Y59" s="120"/>
      <c r="Z59" s="120"/>
      <c r="AA59" s="120"/>
    </row>
    <row r="60" spans="2:27" x14ac:dyDescent="0.2">
      <c r="B60" s="161"/>
      <c r="C60" s="145"/>
      <c r="D60" s="205"/>
      <c r="E60" s="196"/>
      <c r="F60" s="199"/>
      <c r="G60" s="207"/>
      <c r="H60" s="197"/>
      <c r="I60" s="197"/>
      <c r="J60" s="197"/>
      <c r="K60" s="197"/>
      <c r="L60" s="223"/>
      <c r="M60" s="223"/>
      <c r="N60" s="223"/>
      <c r="O60" s="223"/>
      <c r="P60" s="223"/>
      <c r="Q60" s="223"/>
      <c r="R60" s="223"/>
      <c r="S60" s="223"/>
      <c r="T60" s="151"/>
      <c r="U60" s="116"/>
      <c r="V60" s="120"/>
      <c r="W60" s="120"/>
      <c r="X60" s="120"/>
      <c r="Y60" s="120"/>
      <c r="Z60" s="120"/>
      <c r="AA60" s="120"/>
    </row>
    <row r="61" spans="2:27" x14ac:dyDescent="0.2">
      <c r="B61" s="161"/>
      <c r="C61" s="145"/>
      <c r="D61" s="205"/>
      <c r="E61" s="196"/>
      <c r="F61" s="206"/>
      <c r="G61" s="207"/>
      <c r="H61" s="197"/>
      <c r="I61" s="197"/>
      <c r="J61" s="197"/>
      <c r="K61" s="197"/>
      <c r="L61" s="223"/>
      <c r="M61" s="223"/>
      <c r="N61" s="223"/>
      <c r="O61" s="223"/>
      <c r="P61" s="223"/>
      <c r="Q61" s="223"/>
      <c r="R61" s="223"/>
      <c r="S61" s="223"/>
      <c r="T61" s="151"/>
      <c r="U61" s="116"/>
      <c r="V61" s="120"/>
      <c r="W61" s="120"/>
      <c r="X61" s="120"/>
      <c r="Y61" s="120"/>
      <c r="Z61" s="120"/>
      <c r="AA61" s="120"/>
    </row>
    <row r="62" spans="2:27" x14ac:dyDescent="0.2">
      <c r="B62" s="162"/>
      <c r="C62" s="169"/>
      <c r="D62" s="144"/>
      <c r="E62" s="145"/>
      <c r="F62" s="170"/>
      <c r="G62" s="171"/>
      <c r="H62" s="142"/>
      <c r="I62" s="142"/>
      <c r="J62" s="142"/>
      <c r="K62" s="142"/>
      <c r="L62" s="141"/>
      <c r="M62" s="141"/>
      <c r="N62" s="141"/>
      <c r="O62" s="141"/>
      <c r="P62" s="141"/>
      <c r="Q62" s="141"/>
      <c r="R62" s="141"/>
      <c r="S62" s="141"/>
      <c r="T62" s="151"/>
      <c r="U62" s="116"/>
      <c r="V62" s="120"/>
      <c r="W62" s="120"/>
      <c r="X62" s="120"/>
      <c r="Y62" s="120"/>
      <c r="Z62" s="120"/>
      <c r="AA62" s="120"/>
    </row>
    <row r="63" spans="2:27" x14ac:dyDescent="0.2">
      <c r="B63" s="161"/>
      <c r="C63" s="145"/>
      <c r="D63" s="144"/>
      <c r="E63" s="145"/>
      <c r="F63" s="145"/>
      <c r="G63" s="145"/>
      <c r="H63" s="142"/>
      <c r="I63" s="142"/>
      <c r="J63" s="142"/>
      <c r="K63" s="142"/>
      <c r="L63" s="141"/>
      <c r="M63" s="141"/>
      <c r="N63" s="141"/>
      <c r="O63" s="141"/>
      <c r="P63" s="141"/>
      <c r="Q63" s="141"/>
      <c r="R63" s="141"/>
      <c r="S63" s="141"/>
      <c r="T63" s="151"/>
      <c r="U63" s="116"/>
      <c r="V63" s="120"/>
      <c r="W63" s="120"/>
      <c r="X63" s="120"/>
      <c r="Y63" s="120"/>
      <c r="Z63" s="120"/>
      <c r="AA63" s="120"/>
    </row>
    <row r="64" spans="2:27" x14ac:dyDescent="0.2">
      <c r="B64" s="161"/>
      <c r="C64" s="143"/>
      <c r="D64" s="144"/>
      <c r="E64" s="145"/>
      <c r="F64" s="145"/>
      <c r="G64" s="145"/>
      <c r="H64" s="142"/>
      <c r="I64" s="142"/>
      <c r="J64" s="142"/>
      <c r="K64" s="142"/>
      <c r="L64" s="143"/>
      <c r="M64" s="143"/>
      <c r="N64" s="143"/>
      <c r="O64" s="143"/>
      <c r="P64" s="143"/>
      <c r="Q64" s="141"/>
      <c r="R64" s="141"/>
      <c r="S64" s="141"/>
      <c r="T64" s="141"/>
      <c r="U64" s="116"/>
      <c r="V64" s="120"/>
      <c r="W64" s="120"/>
      <c r="X64" s="120"/>
      <c r="Y64" s="120"/>
      <c r="Z64" s="120"/>
      <c r="AA64" s="120"/>
    </row>
    <row r="65" spans="3:28" x14ac:dyDescent="0.2">
      <c r="C65" s="143"/>
      <c r="D65" s="144"/>
      <c r="E65" s="145"/>
      <c r="F65" s="145"/>
      <c r="G65" s="145"/>
      <c r="H65" s="142"/>
      <c r="I65" s="142"/>
      <c r="J65" s="142"/>
      <c r="K65" s="142"/>
      <c r="L65" s="143"/>
      <c r="M65" s="143"/>
      <c r="N65" s="143"/>
      <c r="O65" s="143"/>
      <c r="P65" s="143"/>
      <c r="Q65" s="141"/>
      <c r="R65" s="141"/>
      <c r="S65" s="141"/>
      <c r="T65" s="141"/>
      <c r="U65" s="116"/>
      <c r="V65" s="120"/>
      <c r="W65" s="120"/>
      <c r="X65" s="120"/>
      <c r="Y65" s="120"/>
      <c r="Z65" s="120"/>
      <c r="AA65" s="120"/>
    </row>
    <row r="66" spans="3:28" x14ac:dyDescent="0.2">
      <c r="C66" s="143"/>
      <c r="D66" s="144"/>
      <c r="E66" s="145"/>
      <c r="F66" s="145"/>
      <c r="G66" s="145"/>
      <c r="H66" s="142"/>
      <c r="I66" s="142"/>
      <c r="J66" s="142"/>
      <c r="K66" s="142"/>
      <c r="L66" s="143"/>
      <c r="M66" s="143"/>
      <c r="N66" s="143"/>
      <c r="O66" s="143"/>
      <c r="P66" s="143"/>
      <c r="Q66" s="141"/>
      <c r="R66" s="155"/>
      <c r="S66" s="141"/>
      <c r="T66" s="141"/>
      <c r="U66" s="116"/>
      <c r="V66" s="120"/>
      <c r="W66" s="120"/>
      <c r="X66" s="120"/>
      <c r="Y66" s="120"/>
      <c r="Z66" s="120"/>
      <c r="AA66" s="120"/>
      <c r="AB66" s="146"/>
    </row>
    <row r="67" spans="3:28" ht="20.25" x14ac:dyDescent="0.2">
      <c r="C67" s="145"/>
      <c r="D67" s="154"/>
      <c r="E67" s="145"/>
      <c r="F67" s="145"/>
      <c r="G67" s="145"/>
      <c r="H67" s="142"/>
      <c r="I67" s="142"/>
      <c r="J67" s="156"/>
      <c r="K67" s="142"/>
      <c r="L67" s="145"/>
      <c r="M67" s="145"/>
      <c r="N67" s="145"/>
      <c r="O67" s="145"/>
      <c r="P67" s="145"/>
      <c r="Q67" s="141"/>
      <c r="R67" s="141"/>
      <c r="S67" s="155"/>
      <c r="T67" s="155"/>
      <c r="U67" s="116"/>
      <c r="V67" s="117"/>
      <c r="W67" s="117"/>
      <c r="X67" s="117"/>
      <c r="Y67" s="118"/>
      <c r="Z67" s="118"/>
      <c r="AA67" s="118"/>
      <c r="AB67" s="119"/>
    </row>
    <row r="68" spans="3:28" ht="20.25" x14ac:dyDescent="0.2">
      <c r="C68" s="145"/>
      <c r="D68" s="154"/>
      <c r="E68" s="145"/>
      <c r="F68" s="145"/>
      <c r="G68" s="145"/>
      <c r="H68" s="142"/>
      <c r="I68" s="142"/>
      <c r="J68" s="156"/>
      <c r="K68" s="142"/>
      <c r="L68" s="145"/>
      <c r="M68" s="145"/>
      <c r="N68" s="145"/>
      <c r="O68" s="145"/>
      <c r="P68" s="145"/>
      <c r="Q68" s="141"/>
      <c r="R68" s="141"/>
      <c r="S68" s="141"/>
      <c r="T68" s="141"/>
      <c r="U68" s="116"/>
      <c r="V68" s="120"/>
      <c r="W68" s="120"/>
      <c r="X68" s="120"/>
      <c r="Y68" s="120"/>
      <c r="Z68" s="120"/>
      <c r="AA68" s="120"/>
    </row>
    <row r="69" spans="3:28" ht="20.25" x14ac:dyDescent="0.2">
      <c r="C69" s="143"/>
      <c r="D69" s="154"/>
      <c r="E69" s="143"/>
      <c r="F69" s="143"/>
      <c r="G69" s="143"/>
      <c r="H69" s="142"/>
      <c r="I69" s="142"/>
      <c r="J69" s="156"/>
      <c r="K69" s="142"/>
      <c r="L69" s="143"/>
      <c r="M69" s="143"/>
      <c r="N69" s="143"/>
      <c r="O69" s="143"/>
      <c r="P69" s="143"/>
      <c r="Q69" s="141"/>
      <c r="R69" s="141"/>
      <c r="S69" s="141"/>
      <c r="T69" s="141"/>
      <c r="U69" s="116"/>
      <c r="V69" s="120"/>
      <c r="W69" s="120"/>
      <c r="X69" s="120"/>
      <c r="Y69" s="120"/>
      <c r="Z69" s="120"/>
      <c r="AA69" s="120"/>
    </row>
    <row r="70" spans="3:28" ht="20.25" x14ac:dyDescent="0.2">
      <c r="C70" s="143"/>
      <c r="D70" s="154"/>
      <c r="E70" s="143"/>
      <c r="F70" s="143"/>
      <c r="G70" s="143"/>
      <c r="H70" s="142"/>
      <c r="I70" s="142"/>
      <c r="J70" s="156"/>
      <c r="K70" s="142"/>
      <c r="L70" s="143"/>
      <c r="M70" s="143"/>
      <c r="N70" s="143"/>
      <c r="O70" s="143"/>
      <c r="P70" s="143"/>
      <c r="Q70" s="141"/>
      <c r="R70" s="141"/>
      <c r="S70" s="141"/>
      <c r="T70" s="141"/>
      <c r="U70" s="116"/>
      <c r="V70" s="120"/>
      <c r="W70" s="120"/>
      <c r="X70" s="120"/>
      <c r="Y70" s="120"/>
      <c r="Z70" s="120"/>
      <c r="AA70" s="120"/>
    </row>
    <row r="71" spans="3:28" ht="20.25" x14ac:dyDescent="0.2">
      <c r="C71" s="143"/>
      <c r="D71" s="154"/>
      <c r="E71" s="143"/>
      <c r="F71" s="143"/>
      <c r="G71" s="143"/>
      <c r="H71" s="142"/>
      <c r="I71" s="142"/>
      <c r="J71" s="156"/>
      <c r="K71" s="142"/>
      <c r="L71" s="143"/>
      <c r="M71" s="143"/>
      <c r="N71" s="143"/>
      <c r="O71" s="143"/>
      <c r="P71" s="143"/>
      <c r="Q71" s="141"/>
      <c r="R71" s="141"/>
      <c r="S71" s="141"/>
      <c r="T71" s="141"/>
      <c r="U71" s="116"/>
      <c r="V71" s="120"/>
      <c r="W71" s="120"/>
      <c r="X71" s="120"/>
      <c r="Y71" s="120"/>
      <c r="Z71" s="120"/>
      <c r="AA71" s="120"/>
    </row>
    <row r="72" spans="3:28" x14ac:dyDescent="0.2">
      <c r="C72" s="143"/>
      <c r="D72" s="144"/>
      <c r="E72" s="143"/>
      <c r="F72" s="143"/>
      <c r="G72" s="143"/>
      <c r="H72" s="142"/>
      <c r="I72" s="142"/>
      <c r="J72" s="142"/>
      <c r="K72" s="142"/>
      <c r="L72" s="143"/>
      <c r="M72" s="143"/>
      <c r="N72" s="143"/>
      <c r="O72" s="143"/>
      <c r="P72" s="143"/>
      <c r="Q72" s="141"/>
      <c r="R72" s="141"/>
      <c r="S72" s="141"/>
      <c r="T72" s="141"/>
      <c r="U72" s="116"/>
      <c r="V72" s="120"/>
      <c r="W72" s="120"/>
      <c r="X72" s="120"/>
      <c r="Y72" s="120"/>
      <c r="Z72" s="120"/>
      <c r="AA72" s="120"/>
    </row>
    <row r="73" spans="3:28" x14ac:dyDescent="0.2">
      <c r="C73" s="143"/>
      <c r="D73" s="144"/>
      <c r="E73" s="143"/>
      <c r="F73" s="143"/>
      <c r="G73" s="143"/>
      <c r="H73" s="142"/>
      <c r="I73" s="142"/>
      <c r="J73" s="142"/>
      <c r="K73" s="142"/>
      <c r="L73" s="143"/>
      <c r="M73" s="143"/>
      <c r="N73" s="143"/>
      <c r="O73" s="143"/>
      <c r="P73" s="143"/>
      <c r="Q73" s="141"/>
      <c r="R73" s="141"/>
      <c r="S73" s="141"/>
      <c r="T73" s="141"/>
      <c r="U73" s="116"/>
      <c r="V73" s="120"/>
      <c r="W73" s="120"/>
      <c r="X73" s="120"/>
      <c r="Y73" s="120"/>
      <c r="Z73" s="120"/>
      <c r="AA73" s="120"/>
    </row>
    <row r="74" spans="3:28" x14ac:dyDescent="0.2">
      <c r="C74" s="143"/>
      <c r="D74" s="144"/>
      <c r="E74" s="143"/>
      <c r="F74" s="143"/>
      <c r="G74" s="143"/>
      <c r="H74" s="142"/>
      <c r="I74" s="142"/>
      <c r="J74" s="142"/>
      <c r="K74" s="142"/>
      <c r="L74" s="143"/>
      <c r="M74" s="143"/>
      <c r="N74" s="143"/>
      <c r="O74" s="143"/>
      <c r="P74" s="143"/>
      <c r="Q74" s="141"/>
      <c r="R74" s="141"/>
      <c r="S74" s="141"/>
      <c r="T74" s="141"/>
      <c r="U74" s="116"/>
      <c r="V74" s="120"/>
      <c r="W74" s="120"/>
      <c r="X74" s="120"/>
      <c r="Y74" s="120"/>
      <c r="Z74" s="120"/>
      <c r="AA74" s="120"/>
    </row>
    <row r="75" spans="3:28" x14ac:dyDescent="0.2">
      <c r="C75" s="143"/>
      <c r="D75" s="144"/>
      <c r="E75" s="143"/>
      <c r="F75" s="143"/>
      <c r="G75" s="143"/>
      <c r="H75" s="142"/>
      <c r="I75" s="142"/>
      <c r="J75" s="142"/>
      <c r="K75" s="142"/>
      <c r="L75" s="143"/>
      <c r="M75" s="143"/>
      <c r="N75" s="143"/>
      <c r="O75" s="143"/>
      <c r="P75" s="143"/>
      <c r="Q75" s="141"/>
      <c r="R75" s="141"/>
      <c r="S75" s="141"/>
      <c r="T75" s="141"/>
      <c r="U75" s="116"/>
      <c r="V75" s="120"/>
      <c r="W75" s="120"/>
      <c r="X75" s="120"/>
      <c r="Y75" s="120"/>
      <c r="Z75" s="120"/>
      <c r="AA75" s="120"/>
    </row>
    <row r="76" spans="3:28" x14ac:dyDescent="0.2">
      <c r="C76" s="143"/>
      <c r="D76" s="144"/>
      <c r="E76" s="143"/>
      <c r="F76" s="143"/>
      <c r="G76" s="143"/>
      <c r="H76" s="142"/>
      <c r="I76" s="142"/>
      <c r="J76" s="142"/>
      <c r="K76" s="142"/>
      <c r="L76" s="143"/>
      <c r="M76" s="143"/>
      <c r="N76" s="143"/>
      <c r="O76" s="143"/>
      <c r="P76" s="143"/>
      <c r="Q76" s="141"/>
      <c r="R76" s="141"/>
      <c r="S76" s="141"/>
      <c r="T76" s="141"/>
      <c r="U76" s="116"/>
      <c r="V76" s="120"/>
      <c r="W76" s="120"/>
      <c r="X76" s="120"/>
      <c r="Y76" s="120"/>
      <c r="Z76" s="120"/>
      <c r="AA76" s="120"/>
    </row>
    <row r="77" spans="3:28" x14ac:dyDescent="0.2">
      <c r="C77" s="143"/>
      <c r="D77" s="144"/>
      <c r="E77" s="143"/>
      <c r="F77" s="143"/>
      <c r="G77" s="143"/>
      <c r="H77" s="142"/>
      <c r="I77" s="142"/>
      <c r="J77" s="142"/>
      <c r="K77" s="142"/>
      <c r="L77" s="143"/>
      <c r="M77" s="143"/>
      <c r="N77" s="143"/>
      <c r="O77" s="143"/>
      <c r="P77" s="143"/>
      <c r="Q77" s="141"/>
      <c r="R77" s="141"/>
      <c r="S77" s="141"/>
      <c r="T77" s="141"/>
      <c r="U77" s="116"/>
      <c r="V77" s="120"/>
      <c r="W77" s="120"/>
      <c r="X77" s="120"/>
      <c r="Y77" s="120"/>
      <c r="Z77" s="120"/>
      <c r="AA77" s="120"/>
    </row>
    <row r="78" spans="3:28" x14ac:dyDescent="0.2">
      <c r="C78" s="143"/>
      <c r="D78" s="144"/>
      <c r="E78" s="143"/>
      <c r="F78" s="143"/>
      <c r="G78" s="143"/>
      <c r="H78" s="142"/>
      <c r="I78" s="142"/>
      <c r="J78" s="142"/>
      <c r="K78" s="142"/>
      <c r="L78" s="143"/>
      <c r="M78" s="143"/>
      <c r="N78" s="143"/>
      <c r="O78" s="143"/>
      <c r="P78" s="143"/>
      <c r="Q78" s="141"/>
      <c r="R78" s="141"/>
      <c r="S78" s="141"/>
      <c r="T78" s="141"/>
      <c r="U78" s="116"/>
      <c r="V78" s="120"/>
      <c r="W78" s="120"/>
      <c r="X78" s="120"/>
      <c r="Y78" s="120"/>
      <c r="Z78" s="120"/>
      <c r="AA78" s="120"/>
    </row>
    <row r="79" spans="3:28" x14ac:dyDescent="0.2">
      <c r="C79" s="143"/>
      <c r="D79" s="144"/>
      <c r="E79" s="143"/>
      <c r="F79" s="143"/>
      <c r="G79" s="143"/>
      <c r="H79" s="142"/>
      <c r="I79" s="142"/>
      <c r="J79" s="142"/>
      <c r="K79" s="142"/>
      <c r="L79" s="143"/>
      <c r="M79" s="143"/>
      <c r="N79" s="143"/>
      <c r="O79" s="143"/>
      <c r="P79" s="143"/>
      <c r="Q79" s="141"/>
      <c r="R79" s="141"/>
      <c r="S79" s="141"/>
      <c r="T79" s="141"/>
      <c r="U79" s="116"/>
      <c r="V79" s="120"/>
      <c r="W79" s="120"/>
      <c r="X79" s="120"/>
      <c r="Y79" s="120"/>
      <c r="Z79" s="120"/>
      <c r="AA79" s="120"/>
    </row>
    <row r="80" spans="3:28" x14ac:dyDescent="0.2">
      <c r="C80" s="143"/>
      <c r="D80" s="144"/>
      <c r="E80" s="143"/>
      <c r="F80" s="143"/>
      <c r="G80" s="143"/>
      <c r="H80" s="142"/>
      <c r="I80" s="142"/>
      <c r="J80" s="142"/>
      <c r="K80" s="142"/>
      <c r="L80" s="143"/>
      <c r="M80" s="143"/>
      <c r="N80" s="143"/>
      <c r="O80" s="143"/>
      <c r="P80" s="143"/>
      <c r="Q80" s="141"/>
      <c r="R80" s="141"/>
      <c r="S80" s="141"/>
      <c r="T80" s="141"/>
      <c r="U80" s="116"/>
      <c r="V80" s="120"/>
      <c r="W80" s="120"/>
      <c r="X80" s="120"/>
      <c r="Y80" s="120"/>
      <c r="Z80" s="120"/>
      <c r="AA80" s="120"/>
    </row>
    <row r="81" spans="3:27" x14ac:dyDescent="0.2">
      <c r="C81" s="143"/>
      <c r="D81" s="144"/>
      <c r="E81" s="143"/>
      <c r="F81" s="143"/>
      <c r="G81" s="143"/>
      <c r="H81" s="142"/>
      <c r="I81" s="142"/>
      <c r="J81" s="142"/>
      <c r="K81" s="142"/>
      <c r="L81" s="143"/>
      <c r="M81" s="143"/>
      <c r="N81" s="143"/>
      <c r="O81" s="143"/>
      <c r="P81" s="143"/>
      <c r="Q81" s="141"/>
      <c r="R81" s="141"/>
      <c r="S81" s="141"/>
      <c r="T81" s="141"/>
      <c r="U81" s="116"/>
      <c r="V81" s="120"/>
      <c r="W81" s="120"/>
      <c r="X81" s="120"/>
      <c r="Y81" s="120"/>
      <c r="Z81" s="120"/>
      <c r="AA81" s="120"/>
    </row>
    <row r="82" spans="3:27" x14ac:dyDescent="0.2">
      <c r="C82" s="143"/>
      <c r="D82" s="144"/>
      <c r="E82" s="143"/>
      <c r="F82" s="143"/>
      <c r="G82" s="143"/>
      <c r="H82" s="142"/>
      <c r="I82" s="142"/>
      <c r="J82" s="142"/>
      <c r="K82" s="142"/>
      <c r="L82" s="143"/>
      <c r="M82" s="143"/>
      <c r="N82" s="143"/>
      <c r="O82" s="143"/>
      <c r="P82" s="143"/>
      <c r="Q82" s="141"/>
      <c r="R82" s="141"/>
      <c r="S82" s="141"/>
      <c r="T82" s="141"/>
      <c r="U82" s="116"/>
      <c r="V82" s="120"/>
      <c r="W82" s="120"/>
      <c r="X82" s="120"/>
      <c r="Y82" s="120"/>
      <c r="Z82" s="120"/>
      <c r="AA82" s="120"/>
    </row>
    <row r="83" spans="3:27" x14ac:dyDescent="0.2">
      <c r="C83" s="143"/>
      <c r="D83" s="144"/>
      <c r="E83" s="143"/>
      <c r="F83" s="143"/>
      <c r="G83" s="143"/>
      <c r="H83" s="142"/>
      <c r="I83" s="142"/>
      <c r="J83" s="142"/>
      <c r="K83" s="142"/>
      <c r="L83" s="143"/>
      <c r="M83" s="143"/>
      <c r="N83" s="143"/>
      <c r="O83" s="143"/>
      <c r="P83" s="143"/>
      <c r="Q83" s="141"/>
      <c r="R83" s="141"/>
      <c r="S83" s="141"/>
      <c r="T83" s="141"/>
      <c r="U83" s="116"/>
      <c r="V83" s="120"/>
      <c r="W83" s="120"/>
      <c r="X83" s="120"/>
      <c r="Y83" s="120"/>
      <c r="Z83" s="120"/>
      <c r="AA83" s="120"/>
    </row>
    <row r="84" spans="3:27" x14ac:dyDescent="0.2">
      <c r="C84" s="143"/>
      <c r="D84" s="144"/>
      <c r="E84" s="143"/>
      <c r="F84" s="143"/>
      <c r="G84" s="143"/>
      <c r="H84" s="142"/>
      <c r="I84" s="142"/>
      <c r="J84" s="142"/>
      <c r="K84" s="142"/>
      <c r="L84" s="143"/>
      <c r="M84" s="143"/>
      <c r="N84" s="143"/>
      <c r="O84" s="143"/>
      <c r="P84" s="143"/>
      <c r="Q84" s="141"/>
      <c r="R84" s="141"/>
      <c r="S84" s="141"/>
      <c r="T84" s="141"/>
      <c r="U84" s="116"/>
      <c r="V84" s="120"/>
      <c r="W84" s="120"/>
      <c r="X84" s="120"/>
      <c r="Y84" s="120"/>
      <c r="Z84" s="120"/>
      <c r="AA84" s="120"/>
    </row>
    <row r="85" spans="3:27" x14ac:dyDescent="0.2">
      <c r="C85" s="143"/>
      <c r="D85" s="152"/>
      <c r="E85" s="157"/>
      <c r="F85" s="157"/>
      <c r="G85" s="157"/>
      <c r="H85" s="158"/>
      <c r="I85" s="158"/>
      <c r="J85" s="158"/>
      <c r="K85" s="158"/>
      <c r="L85" s="143"/>
      <c r="M85" s="143"/>
      <c r="N85" s="143"/>
      <c r="O85" s="143"/>
      <c r="P85" s="143"/>
      <c r="Q85" s="141"/>
      <c r="R85" s="141"/>
      <c r="S85" s="141"/>
      <c r="T85" s="141"/>
      <c r="U85" s="116"/>
      <c r="V85" s="120"/>
      <c r="W85" s="120"/>
      <c r="X85" s="120"/>
      <c r="Y85" s="120"/>
      <c r="Z85" s="120"/>
      <c r="AA85" s="120"/>
    </row>
    <row r="86" spans="3:27" x14ac:dyDescent="0.2">
      <c r="Q86" s="89"/>
      <c r="R86" s="89"/>
      <c r="S86" s="89"/>
      <c r="T86" s="89"/>
      <c r="U86" s="116"/>
      <c r="V86" s="120"/>
      <c r="W86" s="120"/>
      <c r="X86" s="120"/>
      <c r="Y86" s="120"/>
      <c r="Z86" s="120"/>
      <c r="AA86" s="120"/>
    </row>
    <row r="87" spans="3:27" x14ac:dyDescent="0.2">
      <c r="Q87" s="89"/>
      <c r="R87" s="89"/>
      <c r="S87" s="89"/>
      <c r="T87" s="89"/>
      <c r="U87" s="116"/>
      <c r="V87" s="120"/>
      <c r="W87" s="120"/>
      <c r="X87" s="120"/>
      <c r="Y87" s="120"/>
      <c r="Z87" s="120"/>
      <c r="AA87" s="120"/>
    </row>
    <row r="88" spans="3:27" x14ac:dyDescent="0.2">
      <c r="Q88" s="89"/>
      <c r="R88" s="89"/>
      <c r="S88" s="89"/>
      <c r="T88" s="89"/>
      <c r="U88" s="89"/>
      <c r="V88" s="120"/>
      <c r="W88" s="120"/>
      <c r="X88" s="120"/>
      <c r="Y88" s="120"/>
      <c r="Z88" s="120"/>
      <c r="AA88" s="120"/>
    </row>
    <row r="89" spans="3:27" x14ac:dyDescent="0.2">
      <c r="Q89" s="89"/>
      <c r="R89" s="89"/>
      <c r="S89" s="89"/>
      <c r="T89" s="89"/>
      <c r="U89" s="89"/>
      <c r="V89" s="120"/>
      <c r="W89" s="120"/>
      <c r="X89" s="120"/>
      <c r="Y89" s="120"/>
      <c r="Z89" s="120"/>
      <c r="AA89" s="120"/>
    </row>
    <row r="90" spans="3:27" x14ac:dyDescent="0.2">
      <c r="Q90" s="89"/>
      <c r="R90" s="89"/>
      <c r="S90" s="89"/>
      <c r="T90" s="89"/>
      <c r="U90" s="89"/>
      <c r="V90" s="120"/>
      <c r="W90" s="120"/>
      <c r="X90" s="120"/>
      <c r="Y90" s="120"/>
      <c r="Z90" s="120"/>
      <c r="AA90" s="120"/>
    </row>
    <row r="91" spans="3:27" x14ac:dyDescent="0.2">
      <c r="Q91" s="89"/>
      <c r="R91" s="89"/>
      <c r="S91" s="89"/>
      <c r="T91" s="89"/>
      <c r="U91" s="89"/>
      <c r="V91" s="120"/>
      <c r="W91" s="120"/>
      <c r="X91" s="120"/>
      <c r="Y91" s="120"/>
      <c r="Z91" s="120"/>
      <c r="AA91" s="120"/>
    </row>
    <row r="92" spans="3:27" x14ac:dyDescent="0.2">
      <c r="V92" s="146"/>
      <c r="W92" s="146"/>
      <c r="X92" s="146"/>
      <c r="Y92" s="146"/>
      <c r="Z92" s="146"/>
      <c r="AA92" s="146"/>
    </row>
    <row r="93" spans="3:27" x14ac:dyDescent="0.2">
      <c r="V93" s="146"/>
      <c r="W93" s="146"/>
      <c r="X93" s="146"/>
      <c r="Y93" s="146"/>
      <c r="Z93" s="146"/>
      <c r="AA93" s="146"/>
    </row>
    <row r="94" spans="3:27" x14ac:dyDescent="0.2">
      <c r="V94" s="146"/>
      <c r="W94" s="146"/>
      <c r="X94" s="146"/>
      <c r="Y94" s="146"/>
      <c r="Z94" s="146"/>
      <c r="AA94" s="146"/>
    </row>
    <row r="95" spans="3:27" x14ac:dyDescent="0.2">
      <c r="V95" s="146"/>
      <c r="W95" s="146"/>
      <c r="X95" s="146"/>
      <c r="Y95" s="146"/>
      <c r="Z95" s="146"/>
      <c r="AA95" s="146"/>
    </row>
    <row r="96" spans="3:27" x14ac:dyDescent="0.2">
      <c r="V96" s="146"/>
      <c r="W96" s="146"/>
      <c r="X96" s="146"/>
      <c r="Y96" s="146"/>
      <c r="Z96" s="146"/>
      <c r="AA96" s="146"/>
    </row>
    <row r="97" spans="22:27" x14ac:dyDescent="0.2">
      <c r="V97" s="146"/>
      <c r="W97" s="146"/>
      <c r="X97" s="146"/>
      <c r="Y97" s="146"/>
      <c r="Z97" s="146"/>
      <c r="AA97" s="146"/>
    </row>
    <row r="98" spans="22:27" x14ac:dyDescent="0.2">
      <c r="V98" s="146"/>
      <c r="W98" s="146"/>
      <c r="X98" s="146"/>
      <c r="Y98" s="146"/>
      <c r="Z98" s="146"/>
      <c r="AA98" s="146"/>
    </row>
    <row r="99" spans="22:27" x14ac:dyDescent="0.2">
      <c r="V99" s="146"/>
      <c r="W99" s="146"/>
      <c r="X99" s="146"/>
      <c r="Y99" s="146"/>
      <c r="Z99" s="146"/>
      <c r="AA99" s="146"/>
    </row>
    <row r="100" spans="22:27" x14ac:dyDescent="0.2">
      <c r="V100" s="146"/>
      <c r="W100" s="146"/>
      <c r="X100" s="146"/>
      <c r="Y100" s="146"/>
      <c r="Z100" s="146"/>
      <c r="AA100" s="146"/>
    </row>
    <row r="101" spans="22:27" x14ac:dyDescent="0.2">
      <c r="V101" s="146"/>
      <c r="W101" s="146"/>
      <c r="X101" s="146"/>
      <c r="Y101" s="146"/>
      <c r="Z101" s="146"/>
      <c r="AA101" s="146"/>
    </row>
    <row r="102" spans="22:27" x14ac:dyDescent="0.2">
      <c r="V102" s="146"/>
      <c r="W102" s="146"/>
      <c r="X102" s="146"/>
      <c r="Y102" s="146"/>
      <c r="Z102" s="146"/>
      <c r="AA102" s="146"/>
    </row>
    <row r="103" spans="22:27" x14ac:dyDescent="0.2">
      <c r="V103" s="146"/>
      <c r="W103" s="146"/>
      <c r="X103" s="146"/>
      <c r="Y103" s="146"/>
      <c r="Z103" s="146"/>
      <c r="AA103" s="146"/>
    </row>
    <row r="104" spans="22:27" x14ac:dyDescent="0.2">
      <c r="V104" s="146"/>
      <c r="W104" s="146"/>
      <c r="X104" s="146"/>
      <c r="Y104" s="146"/>
      <c r="Z104" s="146"/>
      <c r="AA104" s="146"/>
    </row>
    <row r="105" spans="22:27" x14ac:dyDescent="0.2">
      <c r="V105" s="146"/>
      <c r="W105" s="146"/>
      <c r="X105" s="146"/>
      <c r="Y105" s="146"/>
      <c r="Z105" s="146"/>
      <c r="AA105" s="146"/>
    </row>
    <row r="106" spans="22:27" x14ac:dyDescent="0.2">
      <c r="V106" s="146"/>
      <c r="W106" s="146"/>
      <c r="X106" s="146"/>
      <c r="Y106" s="146"/>
      <c r="Z106" s="146"/>
      <c r="AA106" s="146"/>
    </row>
    <row r="107" spans="22:27" x14ac:dyDescent="0.2">
      <c r="V107" s="146"/>
      <c r="W107" s="146"/>
      <c r="X107" s="146"/>
      <c r="Y107" s="146"/>
      <c r="Z107" s="146"/>
      <c r="AA107" s="146"/>
    </row>
    <row r="108" spans="22:27" x14ac:dyDescent="0.2">
      <c r="V108" s="146"/>
      <c r="W108" s="146"/>
      <c r="X108" s="146"/>
      <c r="Y108" s="146"/>
      <c r="Z108" s="146"/>
      <c r="AA108" s="146"/>
    </row>
    <row r="109" spans="22:27" x14ac:dyDescent="0.2">
      <c r="V109" s="146"/>
      <c r="W109" s="146"/>
      <c r="X109" s="146"/>
      <c r="Y109" s="146"/>
      <c r="Z109" s="146"/>
      <c r="AA109" s="146"/>
    </row>
    <row r="110" spans="22:27" x14ac:dyDescent="0.2">
      <c r="V110" s="146"/>
      <c r="W110" s="146"/>
      <c r="X110" s="146"/>
      <c r="Y110" s="146"/>
      <c r="Z110" s="146"/>
      <c r="AA110" s="146"/>
    </row>
    <row r="111" spans="22:27" x14ac:dyDescent="0.2">
      <c r="V111" s="146"/>
      <c r="W111" s="146"/>
      <c r="X111" s="146"/>
      <c r="Y111" s="146"/>
      <c r="Z111" s="146"/>
      <c r="AA111" s="146"/>
    </row>
    <row r="112" spans="22:27" x14ac:dyDescent="0.2">
      <c r="V112" s="146"/>
      <c r="W112" s="146"/>
      <c r="X112" s="146"/>
      <c r="Y112" s="146"/>
      <c r="Z112" s="146"/>
      <c r="AA112" s="146"/>
    </row>
    <row r="113" spans="22:27" x14ac:dyDescent="0.2">
      <c r="V113" s="146"/>
      <c r="W113" s="146"/>
      <c r="X113" s="146"/>
      <c r="Y113" s="146"/>
      <c r="Z113" s="146"/>
      <c r="AA113" s="146"/>
    </row>
    <row r="114" spans="22:27" x14ac:dyDescent="0.2">
      <c r="V114" s="146"/>
      <c r="W114" s="146"/>
      <c r="X114" s="146"/>
      <c r="Y114" s="146"/>
      <c r="Z114" s="146"/>
      <c r="AA114" s="146"/>
    </row>
    <row r="115" spans="22:27" x14ac:dyDescent="0.2">
      <c r="V115" s="146"/>
      <c r="W115" s="146"/>
      <c r="X115" s="146"/>
      <c r="Y115" s="146"/>
      <c r="Z115" s="146"/>
      <c r="AA115" s="146"/>
    </row>
    <row r="116" spans="22:27" x14ac:dyDescent="0.2">
      <c r="V116" s="146"/>
      <c r="W116" s="146"/>
      <c r="X116" s="146"/>
      <c r="Y116" s="146"/>
      <c r="Z116" s="146"/>
      <c r="AA116" s="146"/>
    </row>
    <row r="117" spans="22:27" x14ac:dyDescent="0.2">
      <c r="V117" s="146"/>
      <c r="W117" s="146"/>
      <c r="X117" s="146"/>
      <c r="Y117" s="146"/>
      <c r="Z117" s="146"/>
      <c r="AA117" s="146"/>
    </row>
    <row r="118" spans="22:27" x14ac:dyDescent="0.2">
      <c r="V118" s="146"/>
      <c r="W118" s="146"/>
      <c r="X118" s="146"/>
      <c r="Y118" s="146"/>
      <c r="Z118" s="146"/>
      <c r="AA118" s="146"/>
    </row>
    <row r="119" spans="22:27" x14ac:dyDescent="0.2">
      <c r="V119" s="146"/>
      <c r="W119" s="146"/>
      <c r="X119" s="146"/>
      <c r="Y119" s="146"/>
      <c r="Z119" s="146"/>
      <c r="AA119" s="146"/>
    </row>
    <row r="120" spans="22:27" x14ac:dyDescent="0.2">
      <c r="V120" s="146"/>
      <c r="W120" s="146"/>
      <c r="X120" s="146"/>
      <c r="Y120" s="146"/>
      <c r="Z120" s="146"/>
      <c r="AA120" s="146"/>
    </row>
    <row r="121" spans="22:27" x14ac:dyDescent="0.2">
      <c r="V121" s="146"/>
      <c r="W121" s="146"/>
      <c r="X121" s="146"/>
      <c r="Y121" s="146"/>
      <c r="Z121" s="146"/>
      <c r="AA121" s="146"/>
    </row>
    <row r="122" spans="22:27" x14ac:dyDescent="0.2">
      <c r="V122" s="146"/>
      <c r="W122" s="146"/>
      <c r="X122" s="146"/>
      <c r="Y122" s="146"/>
      <c r="Z122" s="146"/>
      <c r="AA122" s="146"/>
    </row>
    <row r="123" spans="22:27" x14ac:dyDescent="0.2">
      <c r="V123" s="146"/>
      <c r="W123" s="146"/>
      <c r="X123" s="146"/>
      <c r="Y123" s="146"/>
      <c r="Z123" s="146"/>
      <c r="AA123" s="146"/>
    </row>
    <row r="124" spans="22:27" x14ac:dyDescent="0.2">
      <c r="V124" s="146"/>
      <c r="W124" s="146"/>
      <c r="X124" s="146"/>
      <c r="Y124" s="146"/>
      <c r="Z124" s="146"/>
      <c r="AA124" s="146"/>
    </row>
    <row r="125" spans="22:27" x14ac:dyDescent="0.2">
      <c r="V125" s="146"/>
      <c r="W125" s="146"/>
      <c r="X125" s="146"/>
      <c r="Y125" s="146"/>
      <c r="Z125" s="146"/>
      <c r="AA125" s="146"/>
    </row>
    <row r="126" spans="22:27" x14ac:dyDescent="0.2">
      <c r="V126" s="146"/>
      <c r="W126" s="146"/>
      <c r="X126" s="146"/>
      <c r="Y126" s="146"/>
      <c r="Z126" s="146"/>
      <c r="AA126" s="146"/>
    </row>
    <row r="127" spans="22:27" x14ac:dyDescent="0.2">
      <c r="V127" s="146"/>
      <c r="W127" s="146"/>
      <c r="X127" s="146"/>
      <c r="Y127" s="146"/>
      <c r="Z127" s="146"/>
      <c r="AA127" s="146"/>
    </row>
    <row r="128" spans="22:27" x14ac:dyDescent="0.2">
      <c r="V128" s="146"/>
      <c r="W128" s="146"/>
      <c r="X128" s="146"/>
      <c r="Y128" s="146"/>
      <c r="Z128" s="146"/>
      <c r="AA128" s="146"/>
    </row>
    <row r="129" spans="22:27" x14ac:dyDescent="0.2">
      <c r="V129" s="146"/>
      <c r="W129" s="146"/>
      <c r="X129" s="146"/>
      <c r="Y129" s="146"/>
      <c r="Z129" s="146"/>
      <c r="AA129" s="146"/>
    </row>
    <row r="130" spans="22:27" x14ac:dyDescent="0.2">
      <c r="V130" s="146"/>
      <c r="W130" s="146"/>
      <c r="X130" s="146"/>
      <c r="Y130" s="146"/>
      <c r="Z130" s="146"/>
      <c r="AA130" s="146"/>
    </row>
    <row r="131" spans="22:27" x14ac:dyDescent="0.2">
      <c r="V131" s="146"/>
      <c r="W131" s="146"/>
      <c r="X131" s="146"/>
      <c r="Y131" s="146"/>
      <c r="Z131" s="146"/>
      <c r="AA131" s="146"/>
    </row>
    <row r="132" spans="22:27" x14ac:dyDescent="0.2">
      <c r="V132" s="146"/>
      <c r="W132" s="146"/>
      <c r="X132" s="146"/>
      <c r="Y132" s="146"/>
      <c r="Z132" s="146"/>
      <c r="AA132" s="146"/>
    </row>
    <row r="133" spans="22:27" x14ac:dyDescent="0.2">
      <c r="V133" s="146"/>
      <c r="W133" s="146"/>
      <c r="X133" s="146"/>
      <c r="Y133" s="146"/>
      <c r="Z133" s="146"/>
      <c r="AA133" s="146"/>
    </row>
    <row r="134" spans="22:27" x14ac:dyDescent="0.2">
      <c r="V134" s="146"/>
      <c r="W134" s="146"/>
      <c r="X134" s="146"/>
      <c r="Y134" s="146"/>
      <c r="Z134" s="146"/>
      <c r="AA134" s="146"/>
    </row>
    <row r="135" spans="22:27" x14ac:dyDescent="0.2">
      <c r="V135" s="146"/>
      <c r="W135" s="146"/>
      <c r="X135" s="146"/>
      <c r="Y135" s="146"/>
      <c r="Z135" s="146"/>
      <c r="AA135" s="146"/>
    </row>
    <row r="136" spans="22:27" x14ac:dyDescent="0.2">
      <c r="V136" s="146"/>
      <c r="W136" s="146"/>
      <c r="X136" s="146"/>
      <c r="Y136" s="146"/>
      <c r="Z136" s="146"/>
      <c r="AA136" s="146"/>
    </row>
    <row r="137" spans="22:27" x14ac:dyDescent="0.2">
      <c r="V137" s="146"/>
      <c r="W137" s="146"/>
      <c r="X137" s="146"/>
      <c r="Y137" s="146"/>
      <c r="Z137" s="146"/>
      <c r="AA137" s="146"/>
    </row>
    <row r="138" spans="22:27" x14ac:dyDescent="0.2">
      <c r="V138" s="146"/>
      <c r="W138" s="146"/>
      <c r="X138" s="146"/>
      <c r="Y138" s="146"/>
      <c r="Z138" s="146"/>
      <c r="AA138" s="146"/>
    </row>
    <row r="139" spans="22:27" x14ac:dyDescent="0.2">
      <c r="V139" s="146"/>
      <c r="W139" s="146"/>
      <c r="X139" s="146"/>
      <c r="Y139" s="146"/>
      <c r="Z139" s="146"/>
      <c r="AA139" s="146"/>
    </row>
    <row r="140" spans="22:27" x14ac:dyDescent="0.2">
      <c r="V140" s="146"/>
      <c r="W140" s="146"/>
      <c r="X140" s="146"/>
      <c r="Y140" s="146"/>
      <c r="Z140" s="146"/>
      <c r="AA140" s="146"/>
    </row>
    <row r="141" spans="22:27" x14ac:dyDescent="0.2">
      <c r="V141" s="146"/>
      <c r="W141" s="146"/>
      <c r="X141" s="146"/>
      <c r="Y141" s="146"/>
      <c r="Z141" s="146"/>
      <c r="AA141" s="146"/>
    </row>
    <row r="142" spans="22:27" x14ac:dyDescent="0.2">
      <c r="V142" s="146"/>
      <c r="W142" s="146"/>
      <c r="X142" s="146"/>
      <c r="Y142" s="146"/>
      <c r="Z142" s="146"/>
      <c r="AA142" s="146"/>
    </row>
    <row r="143" spans="22:27" x14ac:dyDescent="0.2">
      <c r="V143" s="146"/>
      <c r="W143" s="146"/>
      <c r="X143" s="146"/>
      <c r="Y143" s="146"/>
      <c r="Z143" s="146"/>
      <c r="AA143" s="146"/>
    </row>
    <row r="144" spans="22:27" x14ac:dyDescent="0.2">
      <c r="V144" s="146"/>
      <c r="W144" s="146"/>
      <c r="X144" s="146"/>
      <c r="Y144" s="146"/>
      <c r="Z144" s="146"/>
      <c r="AA144" s="146"/>
    </row>
    <row r="145" spans="22:27" x14ac:dyDescent="0.2">
      <c r="V145" s="146"/>
      <c r="W145" s="146"/>
      <c r="X145" s="146"/>
      <c r="Y145" s="146"/>
      <c r="Z145" s="146"/>
      <c r="AA145" s="146"/>
    </row>
    <row r="146" spans="22:27" x14ac:dyDescent="0.2">
      <c r="V146" s="146"/>
      <c r="W146" s="146"/>
      <c r="X146" s="146"/>
      <c r="Y146" s="146"/>
      <c r="Z146" s="146"/>
      <c r="AA146" s="146"/>
    </row>
    <row r="147" spans="22:27" x14ac:dyDescent="0.2">
      <c r="V147" s="146"/>
      <c r="W147" s="146"/>
      <c r="X147" s="146"/>
      <c r="Y147" s="146"/>
      <c r="Z147" s="146"/>
      <c r="AA147" s="146"/>
    </row>
    <row r="148" spans="22:27" x14ac:dyDescent="0.2">
      <c r="V148" s="146"/>
      <c r="W148" s="146"/>
      <c r="X148" s="146"/>
      <c r="Y148" s="146"/>
      <c r="Z148" s="146"/>
      <c r="AA148" s="146"/>
    </row>
    <row r="149" spans="22:27" x14ac:dyDescent="0.2">
      <c r="V149" s="146"/>
      <c r="W149" s="146"/>
      <c r="X149" s="146"/>
      <c r="Y149" s="146"/>
      <c r="Z149" s="146"/>
      <c r="AA149" s="146"/>
    </row>
    <row r="150" spans="22:27" x14ac:dyDescent="0.2">
      <c r="V150" s="146"/>
      <c r="W150" s="146"/>
      <c r="X150" s="146"/>
      <c r="Y150" s="146"/>
      <c r="Z150" s="146"/>
      <c r="AA150" s="146"/>
    </row>
    <row r="151" spans="22:27" x14ac:dyDescent="0.2">
      <c r="V151" s="146"/>
      <c r="W151" s="146"/>
      <c r="X151" s="146"/>
      <c r="Y151" s="146"/>
      <c r="Z151" s="146"/>
      <c r="AA151" s="146"/>
    </row>
    <row r="152" spans="22:27" x14ac:dyDescent="0.2">
      <c r="V152" s="146"/>
      <c r="W152" s="146"/>
      <c r="X152" s="146"/>
      <c r="Y152" s="146"/>
      <c r="Z152" s="146"/>
      <c r="AA152" s="146"/>
    </row>
    <row r="153" spans="22:27" x14ac:dyDescent="0.2">
      <c r="V153" s="146"/>
      <c r="W153" s="146"/>
      <c r="X153" s="146"/>
      <c r="Y153" s="146"/>
      <c r="Z153" s="146"/>
      <c r="AA153" s="146"/>
    </row>
    <row r="154" spans="22:27" x14ac:dyDescent="0.2">
      <c r="V154" s="146"/>
      <c r="W154" s="146"/>
      <c r="X154" s="146"/>
      <c r="Y154" s="146"/>
      <c r="Z154" s="146"/>
      <c r="AA154" s="146"/>
    </row>
    <row r="155" spans="22:27" x14ac:dyDescent="0.2">
      <c r="V155" s="146"/>
      <c r="W155" s="146"/>
      <c r="X155" s="146"/>
      <c r="Y155" s="146"/>
      <c r="Z155" s="146"/>
      <c r="AA155" s="146"/>
    </row>
    <row r="156" spans="22:27" x14ac:dyDescent="0.2">
      <c r="V156" s="146"/>
      <c r="W156" s="146"/>
      <c r="X156" s="146"/>
      <c r="Y156" s="146"/>
      <c r="Z156" s="146"/>
      <c r="AA156" s="146"/>
    </row>
    <row r="157" spans="22:27" x14ac:dyDescent="0.2">
      <c r="V157" s="146"/>
      <c r="W157" s="146"/>
      <c r="X157" s="146"/>
      <c r="Y157" s="146"/>
      <c r="Z157" s="146"/>
      <c r="AA157" s="146"/>
    </row>
    <row r="158" spans="22:27" x14ac:dyDescent="0.2">
      <c r="V158" s="146"/>
      <c r="W158" s="146"/>
      <c r="X158" s="146"/>
      <c r="Y158" s="146"/>
      <c r="Z158" s="146"/>
      <c r="AA158" s="146"/>
    </row>
    <row r="159" spans="22:27" x14ac:dyDescent="0.2">
      <c r="V159" s="146"/>
      <c r="W159" s="146"/>
      <c r="X159" s="146"/>
      <c r="Y159" s="146"/>
      <c r="Z159" s="146"/>
      <c r="AA159" s="146"/>
    </row>
    <row r="160" spans="22:27" x14ac:dyDescent="0.2">
      <c r="V160" s="146"/>
      <c r="W160" s="146"/>
      <c r="X160" s="146"/>
      <c r="Y160" s="146"/>
      <c r="Z160" s="146"/>
      <c r="AA160" s="146"/>
    </row>
    <row r="161" spans="22:27" x14ac:dyDescent="0.2">
      <c r="V161" s="146"/>
      <c r="W161" s="146"/>
      <c r="X161" s="146"/>
      <c r="Y161" s="146"/>
      <c r="Z161" s="146"/>
      <c r="AA161" s="146"/>
    </row>
    <row r="162" spans="22:27" x14ac:dyDescent="0.2">
      <c r="V162" s="146"/>
      <c r="W162" s="146"/>
      <c r="X162" s="146"/>
      <c r="Y162" s="146"/>
      <c r="Z162" s="146"/>
      <c r="AA162" s="146"/>
    </row>
    <row r="163" spans="22:27" x14ac:dyDescent="0.2">
      <c r="V163" s="146"/>
      <c r="W163" s="146"/>
      <c r="X163" s="146"/>
      <c r="Y163" s="146"/>
      <c r="Z163" s="146"/>
      <c r="AA163" s="146"/>
    </row>
    <row r="164" spans="22:27" x14ac:dyDescent="0.2">
      <c r="V164" s="146"/>
      <c r="W164" s="146"/>
      <c r="X164" s="146"/>
      <c r="Y164" s="146"/>
      <c r="Z164" s="146"/>
      <c r="AA164" s="146"/>
    </row>
    <row r="165" spans="22:27" x14ac:dyDescent="0.2">
      <c r="V165" s="146"/>
      <c r="W165" s="146"/>
      <c r="X165" s="146"/>
      <c r="Y165" s="146"/>
      <c r="Z165" s="146"/>
      <c r="AA165" s="146"/>
    </row>
    <row r="166" spans="22:27" x14ac:dyDescent="0.2">
      <c r="V166" s="146"/>
      <c r="W166" s="146"/>
      <c r="X166" s="146"/>
      <c r="Y166" s="146"/>
      <c r="Z166" s="146"/>
      <c r="AA166" s="146"/>
    </row>
    <row r="167" spans="22:27" x14ac:dyDescent="0.2">
      <c r="V167" s="146"/>
      <c r="W167" s="146"/>
      <c r="X167" s="146"/>
      <c r="Y167" s="146"/>
      <c r="Z167" s="146"/>
      <c r="AA167" s="146"/>
    </row>
    <row r="168" spans="22:27" x14ac:dyDescent="0.2">
      <c r="V168" s="146"/>
      <c r="W168" s="146"/>
      <c r="X168" s="146"/>
      <c r="Y168" s="146"/>
      <c r="Z168" s="146"/>
      <c r="AA168" s="146"/>
    </row>
    <row r="169" spans="22:27" x14ac:dyDescent="0.2">
      <c r="V169" s="146"/>
      <c r="W169" s="146"/>
      <c r="X169" s="146"/>
      <c r="Y169" s="146"/>
      <c r="Z169" s="146"/>
      <c r="AA169" s="146"/>
    </row>
    <row r="170" spans="22:27" x14ac:dyDescent="0.2">
      <c r="V170" s="146"/>
      <c r="W170" s="146"/>
      <c r="X170" s="146"/>
      <c r="Y170" s="146"/>
      <c r="Z170" s="146"/>
      <c r="AA170" s="146"/>
    </row>
    <row r="171" spans="22:27" x14ac:dyDescent="0.2">
      <c r="V171" s="146"/>
      <c r="W171" s="146"/>
      <c r="X171" s="146"/>
      <c r="Y171" s="146"/>
      <c r="Z171" s="146"/>
      <c r="AA171" s="146"/>
    </row>
    <row r="172" spans="22:27" x14ac:dyDescent="0.2">
      <c r="V172" s="146"/>
      <c r="W172" s="146"/>
      <c r="X172" s="146"/>
      <c r="Y172" s="146"/>
      <c r="Z172" s="146"/>
      <c r="AA172" s="146"/>
    </row>
    <row r="173" spans="22:27" x14ac:dyDescent="0.2">
      <c r="V173" s="146"/>
      <c r="W173" s="146"/>
      <c r="X173" s="146"/>
      <c r="Y173" s="146"/>
      <c r="Z173" s="146"/>
      <c r="AA173" s="146"/>
    </row>
    <row r="174" spans="22:27" x14ac:dyDescent="0.2">
      <c r="V174" s="146"/>
      <c r="W174" s="146"/>
      <c r="X174" s="146"/>
      <c r="Y174" s="146"/>
      <c r="Z174" s="146"/>
      <c r="AA174" s="146"/>
    </row>
    <row r="175" spans="22:27" x14ac:dyDescent="0.2">
      <c r="V175" s="146"/>
      <c r="W175" s="146"/>
      <c r="X175" s="146"/>
      <c r="Y175" s="146"/>
      <c r="Z175" s="146"/>
      <c r="AA175" s="146"/>
    </row>
    <row r="176" spans="22:27" x14ac:dyDescent="0.2">
      <c r="V176" s="146"/>
      <c r="W176" s="146"/>
      <c r="X176" s="146"/>
      <c r="Y176" s="146"/>
      <c r="Z176" s="146"/>
      <c r="AA176" s="146"/>
    </row>
    <row r="177" spans="22:27" x14ac:dyDescent="0.2">
      <c r="V177" s="146"/>
      <c r="W177" s="146"/>
      <c r="X177" s="146"/>
      <c r="Y177" s="146"/>
      <c r="Z177" s="146"/>
      <c r="AA177" s="146"/>
    </row>
    <row r="178" spans="22:27" x14ac:dyDescent="0.2">
      <c r="V178" s="146"/>
      <c r="W178" s="146"/>
      <c r="X178" s="146"/>
      <c r="Y178" s="146"/>
      <c r="Z178" s="146"/>
      <c r="AA178" s="146"/>
    </row>
    <row r="179" spans="22:27" x14ac:dyDescent="0.2">
      <c r="V179" s="146"/>
      <c r="W179" s="146"/>
      <c r="X179" s="146"/>
      <c r="Y179" s="146"/>
      <c r="Z179" s="146"/>
      <c r="AA179" s="146"/>
    </row>
    <row r="180" spans="22:27" x14ac:dyDescent="0.2">
      <c r="V180" s="146"/>
      <c r="W180" s="146"/>
      <c r="X180" s="146"/>
      <c r="Y180" s="146"/>
      <c r="Z180" s="146"/>
      <c r="AA180" s="146"/>
    </row>
    <row r="181" spans="22:27" x14ac:dyDescent="0.2">
      <c r="V181" s="146"/>
      <c r="W181" s="146"/>
      <c r="X181" s="146"/>
      <c r="Y181" s="146"/>
      <c r="Z181" s="146"/>
      <c r="AA181" s="146"/>
    </row>
    <row r="182" spans="22:27" x14ac:dyDescent="0.2">
      <c r="V182" s="146"/>
      <c r="W182" s="146"/>
      <c r="X182" s="146"/>
      <c r="Y182" s="146"/>
      <c r="Z182" s="146"/>
      <c r="AA182" s="146"/>
    </row>
    <row r="183" spans="22:27" x14ac:dyDescent="0.2">
      <c r="V183" s="146"/>
      <c r="W183" s="146"/>
      <c r="X183" s="146"/>
      <c r="Y183" s="146"/>
      <c r="Z183" s="146"/>
      <c r="AA183" s="146"/>
    </row>
    <row r="184" spans="22:27" x14ac:dyDescent="0.2">
      <c r="V184" s="146"/>
      <c r="W184" s="146"/>
      <c r="X184" s="146"/>
      <c r="Y184" s="146"/>
      <c r="Z184" s="146"/>
      <c r="AA184" s="146"/>
    </row>
    <row r="185" spans="22:27" x14ac:dyDescent="0.2">
      <c r="V185" s="146"/>
      <c r="W185" s="146"/>
      <c r="X185" s="146"/>
      <c r="Y185" s="146"/>
      <c r="Z185" s="146"/>
      <c r="AA185" s="146"/>
    </row>
    <row r="186" spans="22:27" x14ac:dyDescent="0.2">
      <c r="V186" s="146"/>
      <c r="W186" s="146"/>
      <c r="X186" s="146"/>
      <c r="Y186" s="146"/>
      <c r="Z186" s="146"/>
      <c r="AA186" s="146"/>
    </row>
    <row r="187" spans="22:27" x14ac:dyDescent="0.2">
      <c r="V187" s="146"/>
      <c r="W187" s="146"/>
      <c r="X187" s="146"/>
      <c r="Y187" s="146"/>
      <c r="Z187" s="146"/>
      <c r="AA187" s="146"/>
    </row>
    <row r="188" spans="22:27" x14ac:dyDescent="0.2">
      <c r="V188" s="146"/>
      <c r="W188" s="146"/>
      <c r="X188" s="146"/>
      <c r="Y188" s="146"/>
      <c r="Z188" s="146"/>
      <c r="AA188" s="146"/>
    </row>
    <row r="189" spans="22:27" x14ac:dyDescent="0.2">
      <c r="V189" s="146"/>
      <c r="W189" s="146"/>
      <c r="X189" s="146"/>
      <c r="Y189" s="146"/>
      <c r="Z189" s="146"/>
      <c r="AA189" s="146"/>
    </row>
  </sheetData>
  <sheetProtection sheet="1" objects="1" scenarios="1"/>
  <dataConsolidate link="1"/>
  <mergeCells count="37">
    <mergeCell ref="K47:Q47"/>
    <mergeCell ref="R56:R57"/>
    <mergeCell ref="G44:H44"/>
    <mergeCell ref="I44:Q44"/>
    <mergeCell ref="D46:F46"/>
    <mergeCell ref="G46:H46"/>
    <mergeCell ref="I46:Q46"/>
    <mergeCell ref="D45:F45"/>
    <mergeCell ref="G45:H45"/>
    <mergeCell ref="I45:Q45"/>
    <mergeCell ref="S37:S38"/>
    <mergeCell ref="T37:T38"/>
    <mergeCell ref="S39:S46"/>
    <mergeCell ref="T39:T46"/>
    <mergeCell ref="C41:F41"/>
    <mergeCell ref="G41:Q41"/>
    <mergeCell ref="D42:F42"/>
    <mergeCell ref="G42:H42"/>
    <mergeCell ref="I42:Q42"/>
    <mergeCell ref="D43:F43"/>
    <mergeCell ref="G43:H43"/>
    <mergeCell ref="I43:Q43"/>
    <mergeCell ref="D44:F44"/>
    <mergeCell ref="B27:B28"/>
    <mergeCell ref="S28:S35"/>
    <mergeCell ref="T28:T35"/>
    <mergeCell ref="C1:J1"/>
    <mergeCell ref="K1:S1"/>
    <mergeCell ref="C2:D2"/>
    <mergeCell ref="G2:I2"/>
    <mergeCell ref="B5:B6"/>
    <mergeCell ref="S15:S16"/>
    <mergeCell ref="T15:T16"/>
    <mergeCell ref="S17:S24"/>
    <mergeCell ref="T17:T24"/>
    <mergeCell ref="S26:S27"/>
    <mergeCell ref="T26:T27"/>
  </mergeCells>
  <conditionalFormatting sqref="C15:C18">
    <cfRule type="expression" dxfId="494" priority="374" stopIfTrue="1">
      <formula>B15=3</formula>
    </cfRule>
    <cfRule type="expression" dxfId="493" priority="375" stopIfTrue="1">
      <formula>B15=4</formula>
    </cfRule>
    <cfRule type="expression" dxfId="492" priority="376" stopIfTrue="1">
      <formula>B15=5</formula>
    </cfRule>
  </conditionalFormatting>
  <conditionalFormatting sqref="F5:F40">
    <cfRule type="expression" dxfId="491" priority="370">
      <formula>$H5=0</formula>
    </cfRule>
    <cfRule type="expression" dxfId="490" priority="373">
      <formula>$H5=0</formula>
    </cfRule>
  </conditionalFormatting>
  <conditionalFormatting sqref="H5:H40">
    <cfRule type="cellIs" dxfId="489" priority="377" stopIfTrue="1" operator="between">
      <formula>0.1</formula>
      <formula>1.9</formula>
    </cfRule>
    <cfRule type="cellIs" dxfId="488" priority="378" stopIfTrue="1" operator="between">
      <formula>3</formula>
      <formula>3.9</formula>
    </cfRule>
    <cfRule type="cellIs" dxfId="487" priority="379" stopIfTrue="1" operator="between">
      <formula>4</formula>
      <formula>5</formula>
    </cfRule>
  </conditionalFormatting>
  <conditionalFormatting sqref="F5:F40">
    <cfRule type="expression" dxfId="486" priority="371">
      <formula>$H5&lt;#REF!</formula>
    </cfRule>
    <cfRule type="expression" dxfId="485" priority="372">
      <formula>$H5&gt;=#REF!</formula>
    </cfRule>
  </conditionalFormatting>
  <conditionalFormatting sqref="E5:E40">
    <cfRule type="expression" dxfId="484" priority="364">
      <formula>$D5=3</formula>
    </cfRule>
    <cfRule type="expression" dxfId="483" priority="365">
      <formula>$D5=4</formula>
    </cfRule>
    <cfRule type="expression" dxfId="482" priority="366">
      <formula>$D5=5</formula>
    </cfRule>
    <cfRule type="expression" dxfId="481" priority="367">
      <formula>$D5=8</formula>
    </cfRule>
    <cfRule type="expression" dxfId="480" priority="368">
      <formula>$D5=7</formula>
    </cfRule>
    <cfRule type="expression" dxfId="479" priority="369">
      <formula>$D5=6</formula>
    </cfRule>
  </conditionalFormatting>
  <conditionalFormatting sqref="C15:C18">
    <cfRule type="cellIs" dxfId="478" priority="360" operator="equal">
      <formula>""</formula>
    </cfRule>
    <cfRule type="expression" dxfId="477" priority="361" stopIfTrue="1">
      <formula>B15=8</formula>
    </cfRule>
    <cfRule type="expression" dxfId="476" priority="362" stopIfTrue="1">
      <formula>B15=7</formula>
    </cfRule>
    <cfRule type="expression" dxfId="475" priority="363" stopIfTrue="1">
      <formula>B15=6</formula>
    </cfRule>
  </conditionalFormatting>
  <conditionalFormatting sqref="C35:C40">
    <cfRule type="expression" dxfId="474" priority="357" stopIfTrue="1">
      <formula>B35=3</formula>
    </cfRule>
    <cfRule type="expression" dxfId="473" priority="358" stopIfTrue="1">
      <formula>B35=4</formula>
    </cfRule>
    <cfRule type="expression" dxfId="472" priority="359" stopIfTrue="1">
      <formula>B35=5</formula>
    </cfRule>
  </conditionalFormatting>
  <conditionalFormatting sqref="C35:C40">
    <cfRule type="cellIs" dxfId="471" priority="353" operator="equal">
      <formula>""</formula>
    </cfRule>
    <cfRule type="expression" dxfId="470" priority="354" stopIfTrue="1">
      <formula>B35=8</formula>
    </cfRule>
    <cfRule type="expression" dxfId="469" priority="355" stopIfTrue="1">
      <formula>B35=7</formula>
    </cfRule>
    <cfRule type="expression" dxfId="468" priority="356" stopIfTrue="1">
      <formula>B35=6</formula>
    </cfRule>
  </conditionalFormatting>
  <conditionalFormatting sqref="G42:G46">
    <cfRule type="cellIs" dxfId="467" priority="352" operator="notEqual">
      <formula>""</formula>
    </cfRule>
  </conditionalFormatting>
  <conditionalFormatting sqref="W7:Y7 W9:Y9 W11:Y11">
    <cfRule type="cellIs" dxfId="466" priority="351" operator="equal">
      <formula>0</formula>
    </cfRule>
  </conditionalFormatting>
  <conditionalFormatting sqref="Z13 Z15">
    <cfRule type="cellIs" dxfId="465" priority="350" operator="equal">
      <formula>0</formula>
    </cfRule>
  </conditionalFormatting>
  <conditionalFormatting sqref="V13 V15">
    <cfRule type="cellIs" dxfId="464" priority="349" operator="equal">
      <formula>0</formula>
    </cfRule>
  </conditionalFormatting>
  <conditionalFormatting sqref="V7 V9 V11">
    <cfRule type="cellIs" dxfId="463" priority="348" operator="equal">
      <formula>0</formula>
    </cfRule>
  </conditionalFormatting>
  <conditionalFormatting sqref="Z7 Z9 Z11">
    <cfRule type="cellIs" dxfId="462" priority="347" operator="equal">
      <formula>0</formula>
    </cfRule>
  </conditionalFormatting>
  <conditionalFormatting sqref="W13:Y13 W15:Y15">
    <cfRule type="cellIs" dxfId="461" priority="346" operator="equal">
      <formula>0</formula>
    </cfRule>
  </conditionalFormatting>
  <conditionalFormatting sqref="V6">
    <cfRule type="cellIs" dxfId="460" priority="345" operator="equal">
      <formula>0</formula>
    </cfRule>
  </conditionalFormatting>
  <conditionalFormatting sqref="Z6">
    <cfRule type="cellIs" dxfId="459" priority="344" operator="equal">
      <formula>0</formula>
    </cfRule>
  </conditionalFormatting>
  <conditionalFormatting sqref="I5:I40">
    <cfRule type="cellIs" dxfId="458" priority="341" stopIfTrue="1" operator="between">
      <formula>"D-3"</formula>
      <formula>"E-5"</formula>
    </cfRule>
    <cfRule type="cellIs" dxfId="457" priority="342" stopIfTrue="1" operator="between">
      <formula>"B-2"</formula>
      <formula>"B-3"</formula>
    </cfRule>
    <cfRule type="cellIs" dxfId="456" priority="343" stopIfTrue="1" operator="between">
      <formula>"A-1"</formula>
      <formula>"A-2"</formula>
    </cfRule>
  </conditionalFormatting>
  <conditionalFormatting sqref="I5:I40">
    <cfRule type="cellIs" dxfId="455" priority="339" operator="equal">
      <formula>"E-5-"</formula>
    </cfRule>
    <cfRule type="cellIs" dxfId="454" priority="340" operator="equal">
      <formula>"A-1+"</formula>
    </cfRule>
  </conditionalFormatting>
  <conditionalFormatting sqref="C42:C46">
    <cfRule type="cellIs" dxfId="453" priority="331" operator="notEqual">
      <formula>""</formula>
    </cfRule>
  </conditionalFormatting>
  <conditionalFormatting sqref="J5:J40">
    <cfRule type="cellIs" dxfId="452" priority="307" operator="equal">
      <formula>"*"</formula>
    </cfRule>
    <cfRule type="cellIs" dxfId="451" priority="308" operator="equal">
      <formula>"!"</formula>
    </cfRule>
  </conditionalFormatting>
  <conditionalFormatting sqref="K34:Q40">
    <cfRule type="cellIs" dxfId="450" priority="297" stopIfTrue="1" operator="equal">
      <formula>"G"</formula>
    </cfRule>
    <cfRule type="cellIs" dxfId="449" priority="298" stopIfTrue="1" operator="equal">
      <formula>"M"</formula>
    </cfRule>
    <cfRule type="cellIs" dxfId="448" priority="299" stopIfTrue="1" operator="equal">
      <formula>"O"</formula>
    </cfRule>
  </conditionalFormatting>
  <conditionalFormatting sqref="N33:Q33">
    <cfRule type="cellIs" dxfId="447" priority="294" stopIfTrue="1" operator="equal">
      <formula>"G"</formula>
    </cfRule>
    <cfRule type="cellIs" dxfId="446" priority="295" stopIfTrue="1" operator="equal">
      <formula>"M"</formula>
    </cfRule>
    <cfRule type="cellIs" dxfId="445" priority="296" stopIfTrue="1" operator="equal">
      <formula>"O"</formula>
    </cfRule>
  </conditionalFormatting>
  <conditionalFormatting sqref="N32:Q32">
    <cfRule type="cellIs" dxfId="444" priority="291" stopIfTrue="1" operator="equal">
      <formula>"G"</formula>
    </cfRule>
    <cfRule type="cellIs" dxfId="443" priority="292" stopIfTrue="1" operator="equal">
      <formula>"M"</formula>
    </cfRule>
    <cfRule type="cellIs" dxfId="442" priority="293" stopIfTrue="1" operator="equal">
      <formula>"O"</formula>
    </cfRule>
  </conditionalFormatting>
  <conditionalFormatting sqref="N31:Q33">
    <cfRule type="cellIs" dxfId="441" priority="288" stopIfTrue="1" operator="equal">
      <formula>"G"</formula>
    </cfRule>
    <cfRule type="cellIs" dxfId="440" priority="289" stopIfTrue="1" operator="equal">
      <formula>"M"</formula>
    </cfRule>
    <cfRule type="cellIs" dxfId="439" priority="290" stopIfTrue="1" operator="equal">
      <formula>"O"</formula>
    </cfRule>
  </conditionalFormatting>
  <conditionalFormatting sqref="N33:Q33">
    <cfRule type="cellIs" dxfId="438" priority="228" stopIfTrue="1" operator="equal">
      <formula>"G"</formula>
    </cfRule>
    <cfRule type="cellIs" dxfId="437" priority="229" stopIfTrue="1" operator="equal">
      <formula>"M"</formula>
    </cfRule>
    <cfRule type="cellIs" dxfId="436" priority="230" stopIfTrue="1" operator="equal">
      <formula>"O"</formula>
    </cfRule>
  </conditionalFormatting>
  <conditionalFormatting sqref="N28:Q30">
    <cfRule type="cellIs" dxfId="435" priority="222" stopIfTrue="1" operator="equal">
      <formula>"G"</formula>
    </cfRule>
    <cfRule type="cellIs" dxfId="434" priority="223" stopIfTrue="1" operator="equal">
      <formula>"M"</formula>
    </cfRule>
    <cfRule type="cellIs" dxfId="433" priority="224" stopIfTrue="1" operator="equal">
      <formula>"O"</formula>
    </cfRule>
  </conditionalFormatting>
  <conditionalFormatting sqref="N26:Q28">
    <cfRule type="cellIs" dxfId="432" priority="216" stopIfTrue="1" operator="equal">
      <formula>"G"</formula>
    </cfRule>
    <cfRule type="cellIs" dxfId="431" priority="217" stopIfTrue="1" operator="equal">
      <formula>"M"</formula>
    </cfRule>
    <cfRule type="cellIs" dxfId="430" priority="218" stopIfTrue="1" operator="equal">
      <formula>"O"</formula>
    </cfRule>
  </conditionalFormatting>
  <conditionalFormatting sqref="N15:Q15">
    <cfRule type="cellIs" dxfId="429" priority="213" stopIfTrue="1" operator="equal">
      <formula>"G"</formula>
    </cfRule>
    <cfRule type="cellIs" dxfId="428" priority="214" stopIfTrue="1" operator="equal">
      <formula>"M"</formula>
    </cfRule>
    <cfRule type="cellIs" dxfId="427" priority="215" stopIfTrue="1" operator="equal">
      <formula>"O"</formula>
    </cfRule>
  </conditionalFormatting>
  <conditionalFormatting sqref="N8:Q8 N15:Q16">
    <cfRule type="cellIs" dxfId="426" priority="210" stopIfTrue="1" operator="equal">
      <formula>"G"</formula>
    </cfRule>
    <cfRule type="cellIs" dxfId="425" priority="211" stopIfTrue="1" operator="equal">
      <formula>"M"</formula>
    </cfRule>
    <cfRule type="cellIs" dxfId="424" priority="212" stopIfTrue="1" operator="equal">
      <formula>"O"</formula>
    </cfRule>
  </conditionalFormatting>
  <conditionalFormatting sqref="N21:Q21">
    <cfRule type="cellIs" dxfId="423" priority="207" stopIfTrue="1" operator="equal">
      <formula>"G"</formula>
    </cfRule>
    <cfRule type="cellIs" dxfId="422" priority="208" stopIfTrue="1" operator="equal">
      <formula>"M"</formula>
    </cfRule>
    <cfRule type="cellIs" dxfId="421" priority="209" stopIfTrue="1" operator="equal">
      <formula>"O"</formula>
    </cfRule>
  </conditionalFormatting>
  <conditionalFormatting sqref="N15:Q22">
    <cfRule type="cellIs" dxfId="420" priority="201" stopIfTrue="1" operator="equal">
      <formula>"G"</formula>
    </cfRule>
    <cfRule type="cellIs" dxfId="419" priority="202" stopIfTrue="1" operator="equal">
      <formula>"M"</formula>
    </cfRule>
    <cfRule type="cellIs" dxfId="418" priority="203" stopIfTrue="1" operator="equal">
      <formula>"O"</formula>
    </cfRule>
  </conditionalFormatting>
  <conditionalFormatting sqref="N20:Q26">
    <cfRule type="cellIs" dxfId="417" priority="195" stopIfTrue="1" operator="equal">
      <formula>"G"</formula>
    </cfRule>
    <cfRule type="cellIs" dxfId="416" priority="196" stopIfTrue="1" operator="equal">
      <formula>"M"</formula>
    </cfRule>
    <cfRule type="cellIs" dxfId="415" priority="197" stopIfTrue="1" operator="equal">
      <formula>"O"</formula>
    </cfRule>
  </conditionalFormatting>
  <conditionalFormatting sqref="N16:Q16">
    <cfRule type="cellIs" dxfId="414" priority="192" stopIfTrue="1" operator="equal">
      <formula>"G"</formula>
    </cfRule>
    <cfRule type="cellIs" dxfId="413" priority="193" stopIfTrue="1" operator="equal">
      <formula>"M"</formula>
    </cfRule>
    <cfRule type="cellIs" dxfId="412" priority="194" stopIfTrue="1" operator="equal">
      <formula>"O"</formula>
    </cfRule>
  </conditionalFormatting>
  <conditionalFormatting sqref="N22:Q22">
    <cfRule type="cellIs" dxfId="411" priority="189" stopIfTrue="1" operator="equal">
      <formula>"G"</formula>
    </cfRule>
    <cfRule type="cellIs" dxfId="410" priority="190" stopIfTrue="1" operator="equal">
      <formula>"M"</formula>
    </cfRule>
    <cfRule type="cellIs" dxfId="409" priority="191" stopIfTrue="1" operator="equal">
      <formula>"O"</formula>
    </cfRule>
  </conditionalFormatting>
  <conditionalFormatting sqref="N20:Q20">
    <cfRule type="cellIs" dxfId="408" priority="186" stopIfTrue="1" operator="equal">
      <formula>"G"</formula>
    </cfRule>
    <cfRule type="cellIs" dxfId="407" priority="187" stopIfTrue="1" operator="equal">
      <formula>"M"</formula>
    </cfRule>
    <cfRule type="cellIs" dxfId="406" priority="188" stopIfTrue="1" operator="equal">
      <formula>"O"</formula>
    </cfRule>
  </conditionalFormatting>
  <conditionalFormatting sqref="N21:Q21">
    <cfRule type="cellIs" dxfId="405" priority="183" stopIfTrue="1" operator="equal">
      <formula>"G"</formula>
    </cfRule>
    <cfRule type="cellIs" dxfId="404" priority="184" stopIfTrue="1" operator="equal">
      <formula>"M"</formula>
    </cfRule>
    <cfRule type="cellIs" dxfId="403" priority="185" stopIfTrue="1" operator="equal">
      <formula>"O"</formula>
    </cfRule>
  </conditionalFormatting>
  <conditionalFormatting sqref="N30:Q30">
    <cfRule type="cellIs" dxfId="402" priority="180" stopIfTrue="1" operator="equal">
      <formula>"G"</formula>
    </cfRule>
    <cfRule type="cellIs" dxfId="401" priority="181" stopIfTrue="1" operator="equal">
      <formula>"M"</formula>
    </cfRule>
    <cfRule type="cellIs" dxfId="400" priority="182" stopIfTrue="1" operator="equal">
      <formula>"O"</formula>
    </cfRule>
  </conditionalFormatting>
  <conditionalFormatting sqref="N20:Q20">
    <cfRule type="cellIs" dxfId="399" priority="174" stopIfTrue="1" operator="equal">
      <formula>"G"</formula>
    </cfRule>
    <cfRule type="cellIs" dxfId="398" priority="175" stopIfTrue="1" operator="equal">
      <formula>"M"</formula>
    </cfRule>
    <cfRule type="cellIs" dxfId="397" priority="176" stopIfTrue="1" operator="equal">
      <formula>"O"</formula>
    </cfRule>
  </conditionalFormatting>
  <conditionalFormatting sqref="N15:Q15">
    <cfRule type="cellIs" dxfId="396" priority="171" stopIfTrue="1" operator="equal">
      <formula>"G"</formula>
    </cfRule>
    <cfRule type="cellIs" dxfId="395" priority="172" stopIfTrue="1" operator="equal">
      <formula>"M"</formula>
    </cfRule>
    <cfRule type="cellIs" dxfId="394" priority="173" stopIfTrue="1" operator="equal">
      <formula>"O"</formula>
    </cfRule>
  </conditionalFormatting>
  <conditionalFormatting sqref="N21:Q21">
    <cfRule type="cellIs" dxfId="393" priority="168" stopIfTrue="1" operator="equal">
      <formula>"G"</formula>
    </cfRule>
    <cfRule type="cellIs" dxfId="392" priority="169" stopIfTrue="1" operator="equal">
      <formula>"M"</formula>
    </cfRule>
    <cfRule type="cellIs" dxfId="391" priority="170" stopIfTrue="1" operator="equal">
      <formula>"O"</formula>
    </cfRule>
  </conditionalFormatting>
  <conditionalFormatting sqref="N19:Q19">
    <cfRule type="cellIs" dxfId="390" priority="165" stopIfTrue="1" operator="equal">
      <formula>"G"</formula>
    </cfRule>
    <cfRule type="cellIs" dxfId="389" priority="166" stopIfTrue="1" operator="equal">
      <formula>"M"</formula>
    </cfRule>
    <cfRule type="cellIs" dxfId="388" priority="167" stopIfTrue="1" operator="equal">
      <formula>"O"</formula>
    </cfRule>
  </conditionalFormatting>
  <conditionalFormatting sqref="N20:Q20">
    <cfRule type="cellIs" dxfId="387" priority="162" stopIfTrue="1" operator="equal">
      <formula>"G"</formula>
    </cfRule>
    <cfRule type="cellIs" dxfId="386" priority="163" stopIfTrue="1" operator="equal">
      <formula>"M"</formula>
    </cfRule>
    <cfRule type="cellIs" dxfId="385" priority="164" stopIfTrue="1" operator="equal">
      <formula>"O"</formula>
    </cfRule>
  </conditionalFormatting>
  <conditionalFormatting sqref="C13:C14">
    <cfRule type="expression" dxfId="384" priority="159" stopIfTrue="1">
      <formula>B13=3</formula>
    </cfRule>
    <cfRule type="expression" dxfId="383" priority="160" stopIfTrue="1">
      <formula>B13=4</formula>
    </cfRule>
    <cfRule type="expression" dxfId="382" priority="161" stopIfTrue="1">
      <formula>B13=5</formula>
    </cfRule>
  </conditionalFormatting>
  <conditionalFormatting sqref="C13:C14">
    <cfRule type="cellIs" dxfId="381" priority="155" operator="equal">
      <formula>""</formula>
    </cfRule>
    <cfRule type="expression" dxfId="380" priority="156" stopIfTrue="1">
      <formula>B13=8</formula>
    </cfRule>
    <cfRule type="expression" dxfId="379" priority="157" stopIfTrue="1">
      <formula>B13=7</formula>
    </cfRule>
    <cfRule type="expression" dxfId="378" priority="158" stopIfTrue="1">
      <formula>B13=6</formula>
    </cfRule>
  </conditionalFormatting>
  <conditionalFormatting sqref="C31">
    <cfRule type="expression" dxfId="377" priority="152" stopIfTrue="1">
      <formula>B31=3</formula>
    </cfRule>
    <cfRule type="expression" dxfId="376" priority="153" stopIfTrue="1">
      <formula>B31=4</formula>
    </cfRule>
    <cfRule type="expression" dxfId="375" priority="154" stopIfTrue="1">
      <formula>B31=5</formula>
    </cfRule>
  </conditionalFormatting>
  <conditionalFormatting sqref="C31">
    <cfRule type="cellIs" dxfId="374" priority="148" operator="equal">
      <formula>""</formula>
    </cfRule>
    <cfRule type="expression" dxfId="373" priority="149" stopIfTrue="1">
      <formula>B31=8</formula>
    </cfRule>
    <cfRule type="expression" dxfId="372" priority="150" stopIfTrue="1">
      <formula>B31=7</formula>
    </cfRule>
    <cfRule type="expression" dxfId="371" priority="151" stopIfTrue="1">
      <formula>B31=6</formula>
    </cfRule>
  </conditionalFormatting>
  <conditionalFormatting sqref="C29:C30">
    <cfRule type="expression" dxfId="370" priority="145" stopIfTrue="1">
      <formula>B29=3</formula>
    </cfRule>
    <cfRule type="expression" dxfId="369" priority="146" stopIfTrue="1">
      <formula>B29=4</formula>
    </cfRule>
    <cfRule type="expression" dxfId="368" priority="147" stopIfTrue="1">
      <formula>B29=5</formula>
    </cfRule>
  </conditionalFormatting>
  <conditionalFormatting sqref="C29:C30">
    <cfRule type="cellIs" dxfId="367" priority="141" operator="equal">
      <formula>""</formula>
    </cfRule>
    <cfRule type="expression" dxfId="366" priority="142" stopIfTrue="1">
      <formula>B29=8</formula>
    </cfRule>
    <cfRule type="expression" dxfId="365" priority="143" stopIfTrue="1">
      <formula>B29=7</formula>
    </cfRule>
    <cfRule type="expression" dxfId="364" priority="144" stopIfTrue="1">
      <formula>B29=6</formula>
    </cfRule>
  </conditionalFormatting>
  <conditionalFormatting sqref="C32:C34">
    <cfRule type="expression" dxfId="363" priority="138" stopIfTrue="1">
      <formula>B32=3</formula>
    </cfRule>
    <cfRule type="expression" dxfId="362" priority="139" stopIfTrue="1">
      <formula>B32=4</formula>
    </cfRule>
    <cfRule type="expression" dxfId="361" priority="140" stopIfTrue="1">
      <formula>B32=5</formula>
    </cfRule>
  </conditionalFormatting>
  <conditionalFormatting sqref="C32:C34">
    <cfRule type="cellIs" dxfId="360" priority="134" operator="equal">
      <formula>""</formula>
    </cfRule>
    <cfRule type="expression" dxfId="359" priority="135" stopIfTrue="1">
      <formula>B32=8</formula>
    </cfRule>
    <cfRule type="expression" dxfId="358" priority="136" stopIfTrue="1">
      <formula>B32=7</formula>
    </cfRule>
    <cfRule type="expression" dxfId="357" priority="137" stopIfTrue="1">
      <formula>B32=6</formula>
    </cfRule>
  </conditionalFormatting>
  <conditionalFormatting sqref="C7:C12">
    <cfRule type="expression" dxfId="356" priority="131" stopIfTrue="1">
      <formula>B7=3</formula>
    </cfRule>
    <cfRule type="expression" dxfId="355" priority="132" stopIfTrue="1">
      <formula>B7=4</formula>
    </cfRule>
    <cfRule type="expression" dxfId="354" priority="133" stopIfTrue="1">
      <formula>B7=5</formula>
    </cfRule>
  </conditionalFormatting>
  <conditionalFormatting sqref="C7:C12">
    <cfRule type="cellIs" dxfId="353" priority="127" operator="equal">
      <formula>""</formula>
    </cfRule>
    <cfRule type="expression" dxfId="352" priority="128" stopIfTrue="1">
      <formula>B7=8</formula>
    </cfRule>
    <cfRule type="expression" dxfId="351" priority="129" stopIfTrue="1">
      <formula>B7=7</formula>
    </cfRule>
    <cfRule type="expression" dxfId="350" priority="130" stopIfTrue="1">
      <formula>B7=6</formula>
    </cfRule>
  </conditionalFormatting>
  <conditionalFormatting sqref="R5:R40">
    <cfRule type="cellIs" dxfId="349" priority="124" operator="equal">
      <formula>FALSE</formula>
    </cfRule>
    <cfRule type="cellIs" dxfId="348" priority="125" operator="equal">
      <formula>"*"</formula>
    </cfRule>
    <cfRule type="cellIs" dxfId="347" priority="126" operator="equal">
      <formula>"!"</formula>
    </cfRule>
  </conditionalFormatting>
  <conditionalFormatting sqref="N7:Q7">
    <cfRule type="cellIs" dxfId="346" priority="121" stopIfTrue="1" operator="equal">
      <formula>"G"</formula>
    </cfRule>
    <cfRule type="cellIs" dxfId="345" priority="122" stopIfTrue="1" operator="equal">
      <formula>"M"</formula>
    </cfRule>
    <cfRule type="cellIs" dxfId="344" priority="123" stopIfTrue="1" operator="equal">
      <formula>"O"</formula>
    </cfRule>
  </conditionalFormatting>
  <conditionalFormatting sqref="N5:Q7">
    <cfRule type="cellIs" dxfId="343" priority="115" stopIfTrue="1" operator="equal">
      <formula>"G"</formula>
    </cfRule>
    <cfRule type="cellIs" dxfId="342" priority="116" stopIfTrue="1" operator="equal">
      <formula>"M"</formula>
    </cfRule>
    <cfRule type="cellIs" dxfId="341" priority="117" stopIfTrue="1" operator="equal">
      <formula>"O"</formula>
    </cfRule>
  </conditionalFormatting>
  <conditionalFormatting sqref="N7:Q7">
    <cfRule type="cellIs" dxfId="340" priority="109" stopIfTrue="1" operator="equal">
      <formula>"G"</formula>
    </cfRule>
    <cfRule type="cellIs" dxfId="339" priority="110" stopIfTrue="1" operator="equal">
      <formula>"M"</formula>
    </cfRule>
    <cfRule type="cellIs" dxfId="338" priority="111" stopIfTrue="1" operator="equal">
      <formula>"O"</formula>
    </cfRule>
  </conditionalFormatting>
  <conditionalFormatting sqref="N6:Q6">
    <cfRule type="cellIs" dxfId="337" priority="106" stopIfTrue="1" operator="equal">
      <formula>"G"</formula>
    </cfRule>
    <cfRule type="cellIs" dxfId="336" priority="107" stopIfTrue="1" operator="equal">
      <formula>"M"</formula>
    </cfRule>
    <cfRule type="cellIs" dxfId="335" priority="108" stopIfTrue="1" operator="equal">
      <formula>"O"</formula>
    </cfRule>
  </conditionalFormatting>
  <conditionalFormatting sqref="N7:Q7">
    <cfRule type="cellIs" dxfId="334" priority="103" stopIfTrue="1" operator="equal">
      <formula>"G"</formula>
    </cfRule>
    <cfRule type="cellIs" dxfId="333" priority="104" stopIfTrue="1" operator="equal">
      <formula>"M"</formula>
    </cfRule>
    <cfRule type="cellIs" dxfId="332" priority="105" stopIfTrue="1" operator="equal">
      <formula>"O"</formula>
    </cfRule>
  </conditionalFormatting>
  <conditionalFormatting sqref="N7:Q7">
    <cfRule type="cellIs" dxfId="331" priority="100" stopIfTrue="1" operator="equal">
      <formula>"G"</formula>
    </cfRule>
    <cfRule type="cellIs" dxfId="330" priority="101" stopIfTrue="1" operator="equal">
      <formula>"M"</formula>
    </cfRule>
    <cfRule type="cellIs" dxfId="329" priority="102" stopIfTrue="1" operator="equal">
      <formula>"O"</formula>
    </cfRule>
  </conditionalFormatting>
  <conditionalFormatting sqref="N9:Q14">
    <cfRule type="cellIs" dxfId="328" priority="97" stopIfTrue="1" operator="equal">
      <formula>"G"</formula>
    </cfRule>
    <cfRule type="cellIs" dxfId="327" priority="98" stopIfTrue="1" operator="equal">
      <formula>"M"</formula>
    </cfRule>
    <cfRule type="cellIs" dxfId="326" priority="99" stopIfTrue="1" operator="equal">
      <formula>"O"</formula>
    </cfRule>
  </conditionalFormatting>
  <conditionalFormatting sqref="K33:M33">
    <cfRule type="cellIs" dxfId="325" priority="94" stopIfTrue="1" operator="equal">
      <formula>"G"</formula>
    </cfRule>
    <cfRule type="cellIs" dxfId="324" priority="95" stopIfTrue="1" operator="equal">
      <formula>"M"</formula>
    </cfRule>
    <cfRule type="cellIs" dxfId="323" priority="96" stopIfTrue="1" operator="equal">
      <formula>"O"</formula>
    </cfRule>
  </conditionalFormatting>
  <conditionalFormatting sqref="K32:M32">
    <cfRule type="cellIs" dxfId="322" priority="91" stopIfTrue="1" operator="equal">
      <formula>"G"</formula>
    </cfRule>
    <cfRule type="cellIs" dxfId="321" priority="92" stopIfTrue="1" operator="equal">
      <formula>"M"</formula>
    </cfRule>
    <cfRule type="cellIs" dxfId="320" priority="93" stopIfTrue="1" operator="equal">
      <formula>"O"</formula>
    </cfRule>
  </conditionalFormatting>
  <conditionalFormatting sqref="K31:M33">
    <cfRule type="cellIs" dxfId="319" priority="88" stopIfTrue="1" operator="equal">
      <formula>"G"</formula>
    </cfRule>
    <cfRule type="cellIs" dxfId="318" priority="89" stopIfTrue="1" operator="equal">
      <formula>"M"</formula>
    </cfRule>
    <cfRule type="cellIs" dxfId="317" priority="90" stopIfTrue="1" operator="equal">
      <formula>"O"</formula>
    </cfRule>
  </conditionalFormatting>
  <conditionalFormatting sqref="K33:M33">
    <cfRule type="cellIs" dxfId="316" priority="85" stopIfTrue="1" operator="equal">
      <formula>"G"</formula>
    </cfRule>
    <cfRule type="cellIs" dxfId="315" priority="86" stopIfTrue="1" operator="equal">
      <formula>"M"</formula>
    </cfRule>
    <cfRule type="cellIs" dxfId="314" priority="87" stopIfTrue="1" operator="equal">
      <formula>"O"</formula>
    </cfRule>
  </conditionalFormatting>
  <conditionalFormatting sqref="K29:M30">
    <cfRule type="cellIs" dxfId="313" priority="82" stopIfTrue="1" operator="equal">
      <formula>"G"</formula>
    </cfRule>
    <cfRule type="cellIs" dxfId="312" priority="83" stopIfTrue="1" operator="equal">
      <formula>"M"</formula>
    </cfRule>
    <cfRule type="cellIs" dxfId="311" priority="84" stopIfTrue="1" operator="equal">
      <formula>"O"</formula>
    </cfRule>
  </conditionalFormatting>
  <conditionalFormatting sqref="K27:K30">
    <cfRule type="cellIs" dxfId="310" priority="79" stopIfTrue="1" operator="equal">
      <formula>"G"</formula>
    </cfRule>
    <cfRule type="cellIs" dxfId="309" priority="80" stopIfTrue="1" operator="equal">
      <formula>"M"</formula>
    </cfRule>
    <cfRule type="cellIs" dxfId="308" priority="81" stopIfTrue="1" operator="equal">
      <formula>"O"</formula>
    </cfRule>
  </conditionalFormatting>
  <conditionalFormatting sqref="L27:M30">
    <cfRule type="cellIs" dxfId="307" priority="76" stopIfTrue="1" operator="equal">
      <formula>"G"</formula>
    </cfRule>
    <cfRule type="cellIs" dxfId="306" priority="77" stopIfTrue="1" operator="equal">
      <formula>"M"</formula>
    </cfRule>
    <cfRule type="cellIs" dxfId="305" priority="78" stopIfTrue="1" operator="equal">
      <formula>"O"</formula>
    </cfRule>
  </conditionalFormatting>
  <conditionalFormatting sqref="K15:M15">
    <cfRule type="cellIs" dxfId="304" priority="73" stopIfTrue="1" operator="equal">
      <formula>"G"</formula>
    </cfRule>
    <cfRule type="cellIs" dxfId="303" priority="74" stopIfTrue="1" operator="equal">
      <formula>"M"</formula>
    </cfRule>
    <cfRule type="cellIs" dxfId="302" priority="75" stopIfTrue="1" operator="equal">
      <formula>"O"</formula>
    </cfRule>
  </conditionalFormatting>
  <conditionalFormatting sqref="K5:M17">
    <cfRule type="cellIs" dxfId="301" priority="70" stopIfTrue="1" operator="equal">
      <formula>"G"</formula>
    </cfRule>
    <cfRule type="cellIs" dxfId="300" priority="71" stopIfTrue="1" operator="equal">
      <formula>"M"</formula>
    </cfRule>
    <cfRule type="cellIs" dxfId="299" priority="72" stopIfTrue="1" operator="equal">
      <formula>"O"</formula>
    </cfRule>
  </conditionalFormatting>
  <conditionalFormatting sqref="K21:M21">
    <cfRule type="cellIs" dxfId="298" priority="67" stopIfTrue="1" operator="equal">
      <formula>"G"</formula>
    </cfRule>
    <cfRule type="cellIs" dxfId="297" priority="68" stopIfTrue="1" operator="equal">
      <formula>"M"</formula>
    </cfRule>
    <cfRule type="cellIs" dxfId="296" priority="69" stopIfTrue="1" operator="equal">
      <formula>"O"</formula>
    </cfRule>
  </conditionalFormatting>
  <conditionalFormatting sqref="K16:K23">
    <cfRule type="cellIs" dxfId="295" priority="64" stopIfTrue="1" operator="equal">
      <formula>"G"</formula>
    </cfRule>
    <cfRule type="cellIs" dxfId="294" priority="65" stopIfTrue="1" operator="equal">
      <formula>"M"</formula>
    </cfRule>
    <cfRule type="cellIs" dxfId="293" priority="66" stopIfTrue="1" operator="equal">
      <formula>"O"</formula>
    </cfRule>
  </conditionalFormatting>
  <conditionalFormatting sqref="L16:M24">
    <cfRule type="cellIs" dxfId="292" priority="61" stopIfTrue="1" operator="equal">
      <formula>"G"</formula>
    </cfRule>
    <cfRule type="cellIs" dxfId="291" priority="62" stopIfTrue="1" operator="equal">
      <formula>"M"</formula>
    </cfRule>
    <cfRule type="cellIs" dxfId="290" priority="63" stopIfTrue="1" operator="equal">
      <formula>"O"</formula>
    </cfRule>
  </conditionalFormatting>
  <conditionalFormatting sqref="K21:K29">
    <cfRule type="cellIs" dxfId="289" priority="58" stopIfTrue="1" operator="equal">
      <formula>"G"</formula>
    </cfRule>
    <cfRule type="cellIs" dxfId="288" priority="59" stopIfTrue="1" operator="equal">
      <formula>"M"</formula>
    </cfRule>
    <cfRule type="cellIs" dxfId="287" priority="60" stopIfTrue="1" operator="equal">
      <formula>"O"</formula>
    </cfRule>
  </conditionalFormatting>
  <conditionalFormatting sqref="L21:M29">
    <cfRule type="cellIs" dxfId="286" priority="55" stopIfTrue="1" operator="equal">
      <formula>"G"</formula>
    </cfRule>
    <cfRule type="cellIs" dxfId="285" priority="56" stopIfTrue="1" operator="equal">
      <formula>"M"</formula>
    </cfRule>
    <cfRule type="cellIs" dxfId="284" priority="57" stopIfTrue="1" operator="equal">
      <formula>"O"</formula>
    </cfRule>
  </conditionalFormatting>
  <conditionalFormatting sqref="K16:M16">
    <cfRule type="cellIs" dxfId="283" priority="52" stopIfTrue="1" operator="equal">
      <formula>"G"</formula>
    </cfRule>
    <cfRule type="cellIs" dxfId="282" priority="53" stopIfTrue="1" operator="equal">
      <formula>"M"</formula>
    </cfRule>
    <cfRule type="cellIs" dxfId="281" priority="54" stopIfTrue="1" operator="equal">
      <formula>"O"</formula>
    </cfRule>
  </conditionalFormatting>
  <conditionalFormatting sqref="K22:M22">
    <cfRule type="cellIs" dxfId="280" priority="49" stopIfTrue="1" operator="equal">
      <formula>"G"</formula>
    </cfRule>
    <cfRule type="cellIs" dxfId="279" priority="50" stopIfTrue="1" operator="equal">
      <formula>"M"</formula>
    </cfRule>
    <cfRule type="cellIs" dxfId="278" priority="51" stopIfTrue="1" operator="equal">
      <formula>"O"</formula>
    </cfRule>
  </conditionalFormatting>
  <conditionalFormatting sqref="K20:M20">
    <cfRule type="cellIs" dxfId="277" priority="46" stopIfTrue="1" operator="equal">
      <formula>"G"</formula>
    </cfRule>
    <cfRule type="cellIs" dxfId="276" priority="47" stopIfTrue="1" operator="equal">
      <formula>"M"</formula>
    </cfRule>
    <cfRule type="cellIs" dxfId="275" priority="48" stopIfTrue="1" operator="equal">
      <formula>"O"</formula>
    </cfRule>
  </conditionalFormatting>
  <conditionalFormatting sqref="K21:M21">
    <cfRule type="cellIs" dxfId="274" priority="43" stopIfTrue="1" operator="equal">
      <formula>"G"</formula>
    </cfRule>
    <cfRule type="cellIs" dxfId="273" priority="44" stopIfTrue="1" operator="equal">
      <formula>"M"</formula>
    </cfRule>
    <cfRule type="cellIs" dxfId="272" priority="45" stopIfTrue="1" operator="equal">
      <formula>"O"</formula>
    </cfRule>
  </conditionalFormatting>
  <conditionalFormatting sqref="K16:M16">
    <cfRule type="cellIs" dxfId="271" priority="40" stopIfTrue="1" operator="equal">
      <formula>"G"</formula>
    </cfRule>
    <cfRule type="cellIs" dxfId="270" priority="41" stopIfTrue="1" operator="equal">
      <formula>"M"</formula>
    </cfRule>
    <cfRule type="cellIs" dxfId="269" priority="42" stopIfTrue="1" operator="equal">
      <formula>"O"</formula>
    </cfRule>
  </conditionalFormatting>
  <conditionalFormatting sqref="K22:M22">
    <cfRule type="cellIs" dxfId="268" priority="37" stopIfTrue="1" operator="equal">
      <formula>"G"</formula>
    </cfRule>
    <cfRule type="cellIs" dxfId="267" priority="38" stopIfTrue="1" operator="equal">
      <formula>"M"</formula>
    </cfRule>
    <cfRule type="cellIs" dxfId="266" priority="39" stopIfTrue="1" operator="equal">
      <formula>"O"</formula>
    </cfRule>
  </conditionalFormatting>
  <conditionalFormatting sqref="K17:M17">
    <cfRule type="cellIs" dxfId="265" priority="34" stopIfTrue="1" operator="equal">
      <formula>"G"</formula>
    </cfRule>
    <cfRule type="cellIs" dxfId="264" priority="35" stopIfTrue="1" operator="equal">
      <formula>"M"</formula>
    </cfRule>
    <cfRule type="cellIs" dxfId="263" priority="36" stopIfTrue="1" operator="equal">
      <formula>"O"</formula>
    </cfRule>
  </conditionalFormatting>
  <conditionalFormatting sqref="K23:M23">
    <cfRule type="cellIs" dxfId="262" priority="31" stopIfTrue="1" operator="equal">
      <formula>"G"</formula>
    </cfRule>
    <cfRule type="cellIs" dxfId="261" priority="32" stopIfTrue="1" operator="equal">
      <formula>"M"</formula>
    </cfRule>
    <cfRule type="cellIs" dxfId="260" priority="33" stopIfTrue="1" operator="equal">
      <formula>"O"</formula>
    </cfRule>
  </conditionalFormatting>
  <conditionalFormatting sqref="K21:M21">
    <cfRule type="cellIs" dxfId="259" priority="28" stopIfTrue="1" operator="equal">
      <formula>"G"</formula>
    </cfRule>
    <cfRule type="cellIs" dxfId="258" priority="29" stopIfTrue="1" operator="equal">
      <formula>"M"</formula>
    </cfRule>
    <cfRule type="cellIs" dxfId="257" priority="30" stopIfTrue="1" operator="equal">
      <formula>"O"</formula>
    </cfRule>
  </conditionalFormatting>
  <conditionalFormatting sqref="K22:M22">
    <cfRule type="cellIs" dxfId="256" priority="25" stopIfTrue="1" operator="equal">
      <formula>"G"</formula>
    </cfRule>
    <cfRule type="cellIs" dxfId="255" priority="26" stopIfTrue="1" operator="equal">
      <formula>"M"</formula>
    </cfRule>
    <cfRule type="cellIs" dxfId="254" priority="27" stopIfTrue="1" operator="equal">
      <formula>"O"</formula>
    </cfRule>
  </conditionalFormatting>
  <conditionalFormatting sqref="K22:M22">
    <cfRule type="cellIs" dxfId="253" priority="22" stopIfTrue="1" operator="equal">
      <formula>"G"</formula>
    </cfRule>
    <cfRule type="cellIs" dxfId="252" priority="23" stopIfTrue="1" operator="equal">
      <formula>"M"</formula>
    </cfRule>
    <cfRule type="cellIs" dxfId="251" priority="24" stopIfTrue="1" operator="equal">
      <formula>"O"</formula>
    </cfRule>
  </conditionalFormatting>
  <conditionalFormatting sqref="K23:M23">
    <cfRule type="cellIs" dxfId="250" priority="19" stopIfTrue="1" operator="equal">
      <formula>"G"</formula>
    </cfRule>
    <cfRule type="cellIs" dxfId="249" priority="20" stopIfTrue="1" operator="equal">
      <formula>"M"</formula>
    </cfRule>
    <cfRule type="cellIs" dxfId="248" priority="21" stopIfTrue="1" operator="equal">
      <formula>"O"</formula>
    </cfRule>
  </conditionalFormatting>
  <conditionalFormatting sqref="K21:M21">
    <cfRule type="cellIs" dxfId="247" priority="16" stopIfTrue="1" operator="equal">
      <formula>"G"</formula>
    </cfRule>
    <cfRule type="cellIs" dxfId="246" priority="17" stopIfTrue="1" operator="equal">
      <formula>"M"</formula>
    </cfRule>
    <cfRule type="cellIs" dxfId="245" priority="18" stopIfTrue="1" operator="equal">
      <formula>"O"</formula>
    </cfRule>
  </conditionalFormatting>
  <conditionalFormatting sqref="K22:M22">
    <cfRule type="cellIs" dxfId="244" priority="13" stopIfTrue="1" operator="equal">
      <formula>"G"</formula>
    </cfRule>
    <cfRule type="cellIs" dxfId="243" priority="14" stopIfTrue="1" operator="equal">
      <formula>"M"</formula>
    </cfRule>
    <cfRule type="cellIs" dxfId="242" priority="15" stopIfTrue="1" operator="equal">
      <formula>"O"</formula>
    </cfRule>
  </conditionalFormatting>
  <conditionalFormatting sqref="K23:M23">
    <cfRule type="cellIs" dxfId="241" priority="10" stopIfTrue="1" operator="equal">
      <formula>"G"</formula>
    </cfRule>
    <cfRule type="cellIs" dxfId="240" priority="11" stopIfTrue="1" operator="equal">
      <formula>"M"</formula>
    </cfRule>
    <cfRule type="cellIs" dxfId="239" priority="12" stopIfTrue="1" operator="equal">
      <formula>"O"</formula>
    </cfRule>
  </conditionalFormatting>
  <conditionalFormatting sqref="K24:M24">
    <cfRule type="cellIs" dxfId="238" priority="7" stopIfTrue="1" operator="equal">
      <formula>"G"</formula>
    </cfRule>
    <cfRule type="cellIs" dxfId="237" priority="8" stopIfTrue="1" operator="equal">
      <formula>"M"</formula>
    </cfRule>
    <cfRule type="cellIs" dxfId="236" priority="9" stopIfTrue="1" operator="equal">
      <formula>"O"</formula>
    </cfRule>
  </conditionalFormatting>
  <conditionalFormatting sqref="K22:M22">
    <cfRule type="cellIs" dxfId="235" priority="4" stopIfTrue="1" operator="equal">
      <formula>"G"</formula>
    </cfRule>
    <cfRule type="cellIs" dxfId="234" priority="5" stopIfTrue="1" operator="equal">
      <formula>"M"</formula>
    </cfRule>
    <cfRule type="cellIs" dxfId="233" priority="6" stopIfTrue="1" operator="equal">
      <formula>"O"</formula>
    </cfRule>
  </conditionalFormatting>
  <conditionalFormatting sqref="K23:M23">
    <cfRule type="cellIs" dxfId="232" priority="1" stopIfTrue="1" operator="equal">
      <formula>"G"</formula>
    </cfRule>
    <cfRule type="cellIs" dxfId="231" priority="2" stopIfTrue="1" operator="equal">
      <formula>"M"</formula>
    </cfRule>
    <cfRule type="cellIs" dxfId="230" priority="3" stopIfTrue="1" operator="equal">
      <formula>"O"</formula>
    </cfRule>
  </conditionalFormatting>
  <dataValidations count="10">
    <dataValidation type="list" allowBlank="1" showInputMessage="1" showErrorMessage="1" sqref="C46 G46" xr:uid="{00000000-0002-0000-2B00-000000000000}">
      <formula1>"vrijdag,"</formula1>
    </dataValidation>
    <dataValidation type="list" allowBlank="1" showInputMessage="1" showErrorMessage="1" sqref="C45 G45" xr:uid="{00000000-0002-0000-2B00-000001000000}">
      <formula1>"donderdag,"</formula1>
    </dataValidation>
    <dataValidation type="list" allowBlank="1" showInputMessage="1" showErrorMessage="1" sqref="C44 G44" xr:uid="{00000000-0002-0000-2B00-000002000000}">
      <formula1>"woensdag,"</formula1>
    </dataValidation>
    <dataValidation type="list" allowBlank="1" showInputMessage="1" showErrorMessage="1" sqref="C43 G43" xr:uid="{00000000-0002-0000-2B00-000003000000}">
      <formula1>"dinsdag,"</formula1>
    </dataValidation>
    <dataValidation type="list" allowBlank="1" showInputMessage="1" showErrorMessage="1" sqref="C42 G42" xr:uid="{00000000-0002-0000-2B00-000004000000}">
      <formula1>"maandag,"</formula1>
    </dataValidation>
    <dataValidation type="list" allowBlank="1" showInputMessage="1" showErrorMessage="1" sqref="B7:B18 B29:B40" xr:uid="{00000000-0002-0000-2B00-000005000000}">
      <formula1>"3,4,5,6,7,8,"</formula1>
    </dataValidation>
    <dataValidation allowBlank="1" showInputMessage="1" showErrorMessage="1" promptTitle="Pulldown venster" prompt="groeps  HP: -_x000a_indiv.    HP:#_x000a_hele groep: $" sqref="C7:C17 C29:C39" xr:uid="{00000000-0002-0000-2B00-000006000000}"/>
    <dataValidation allowBlank="1" showInputMessage="1" showErrorMessage="1" promptTitle="Pulldown menu" prompt="groeps  HP: -_x000a_indiv.    HP:#_x000a_hele groep: $" sqref="C18 C40" xr:uid="{00000000-0002-0000-2B00-000007000000}"/>
    <dataValidation allowBlank="1" showInputMessage="1" showErrorMessage="1" promptTitle="Nieuwe regel:" prompt="druk op Alt-Enter" sqref="T15 T28 T17 T26 T37 T39" xr:uid="{00000000-0002-0000-2B00-000008000000}"/>
    <dataValidation allowBlank="1" showInputMessage="1" showErrorMessage="1" promptTitle="kies uit:" prompt="g = goed_x000a_v = voldoende_x000a_m = matig_x000a_o = onvoldoende" sqref="K5:Q40" xr:uid="{00000000-0002-0000-2B00-000009000000}"/>
  </dataValidations>
  <pageMargins left="0.26" right="0.14000000000000001" top="0.82" bottom="0.33" header="0.33" footer="0.21"/>
  <pageSetup paperSize="9" scale="66" orientation="portrait" horizontalDpi="4294967293" r:id="rId1"/>
  <headerFooter alignWithMargins="0">
    <oddHeader>&amp;C&amp;"Arial,Vet"&amp;16&amp;A</oddHeader>
    <oddFooter>&amp;R© www.meesterharrie.nl</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40ED7-4D95-475B-82EA-36821598272A}">
  <sheetPr>
    <pageSetUpPr fitToPage="1"/>
  </sheetPr>
  <dimension ref="B2"/>
  <sheetViews>
    <sheetView showGridLines="0" showRowColHeaders="0" zoomScaleNormal="100" workbookViewId="0"/>
  </sheetViews>
  <sheetFormatPr defaultColWidth="9.140625" defaultRowHeight="12.75" x14ac:dyDescent="0.2"/>
  <cols>
    <col min="1" max="16384" width="9.140625" style="187"/>
  </cols>
  <sheetData>
    <row r="2" spans="2:2" ht="20.25" x14ac:dyDescent="0.3">
      <c r="B2" s="186" t="s">
        <v>27</v>
      </c>
    </row>
  </sheetData>
  <sheetProtection algorithmName="SHA-512" hashValue="3mrrK7EVr09JMsOa28P+GugiS3hv9XDt1nWj5lwS/h9LrwhsK6RsDKqRGgb6yO7nqyNgYm42kBl8PaSnbwHerA==" saltValue="I/lIxV7UL35eztis1Z2ofA==" spinCount="100000" sheet="1" objects="1" scenarios="1"/>
  <pageMargins left="0.70866141732283472" right="0.70866141732283472" top="0.74803149606299213" bottom="0.74803149606299213" header="0.31496062992125984" footer="0.31496062992125984"/>
  <pageSetup paperSize="9" scale="60" orientation="landscape"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CCFFFF"/>
    <pageSetUpPr fitToPage="1"/>
  </sheetPr>
  <dimension ref="A1:AE189"/>
  <sheetViews>
    <sheetView showGridLines="0" showRowColHeaders="0" zoomScale="90" zoomScaleNormal="90" workbookViewId="0">
      <selection activeCell="V5" sqref="V5"/>
    </sheetView>
  </sheetViews>
  <sheetFormatPr defaultColWidth="9.140625" defaultRowHeight="12.75" x14ac:dyDescent="0.2"/>
  <cols>
    <col min="1" max="1" width="3.140625" style="69" customWidth="1"/>
    <col min="2" max="2" width="3.140625" style="70" bestFit="1" customWidth="1"/>
    <col min="3" max="3" width="11.85546875" style="74" bestFit="1" customWidth="1"/>
    <col min="4" max="4" width="3.140625" style="75" customWidth="1"/>
    <col min="5" max="5" width="5.85546875" style="74" customWidth="1"/>
    <col min="6" max="6" width="20.85546875" style="74" customWidth="1"/>
    <col min="7" max="7" width="5.85546875" style="74" customWidth="1"/>
    <col min="8" max="9" width="5.85546875" style="76" customWidth="1"/>
    <col min="10" max="10" width="3.140625" style="76" customWidth="1"/>
    <col min="11" max="11" width="2.85546875" style="76" customWidth="1"/>
    <col min="12" max="16" width="2.85546875" style="74" customWidth="1"/>
    <col min="17" max="17" width="2.85546875" style="69" customWidth="1"/>
    <col min="18" max="18" width="3.140625" style="69" customWidth="1"/>
    <col min="19" max="19" width="4.85546875" style="69" bestFit="1" customWidth="1"/>
    <col min="20" max="20" width="60.85546875" style="69" customWidth="1"/>
    <col min="21" max="21" width="6.85546875" style="69" customWidth="1"/>
    <col min="22" max="26" width="7.140625" style="73" customWidth="1"/>
    <col min="27" max="29" width="6.85546875" style="73" customWidth="1"/>
    <col min="30" max="30" width="6.140625" style="73" customWidth="1"/>
    <col min="31" max="31" width="9.140625" style="73"/>
    <col min="32" max="16384" width="9.140625" style="69"/>
  </cols>
  <sheetData>
    <row r="1" spans="1:28" s="66" customFormat="1" ht="30" customHeight="1" thickBot="1" x14ac:dyDescent="0.45">
      <c r="B1" s="615"/>
      <c r="C1" s="1128" t="s">
        <v>329</v>
      </c>
      <c r="D1" s="1129"/>
      <c r="E1" s="1129"/>
      <c r="F1" s="1129"/>
      <c r="G1" s="1129"/>
      <c r="H1" s="1129"/>
      <c r="I1" s="1129"/>
      <c r="J1" s="1129"/>
      <c r="K1" s="1230">
        <f>BEGINBLAD!$I$2</f>
        <v>0</v>
      </c>
      <c r="L1" s="1230"/>
      <c r="M1" s="1230"/>
      <c r="N1" s="1230"/>
      <c r="O1" s="1230"/>
      <c r="P1" s="1230"/>
      <c r="Q1" s="1230"/>
      <c r="R1" s="1230"/>
      <c r="S1" s="1230"/>
      <c r="T1" s="67"/>
      <c r="AB1" s="68"/>
    </row>
    <row r="2" spans="1:28" ht="24" customHeight="1" x14ac:dyDescent="0.2">
      <c r="C2" s="1130" t="str">
        <f>BEGINBLAD!$S$2</f>
        <v>mei.</v>
      </c>
      <c r="D2" s="1130"/>
      <c r="E2" s="241"/>
      <c r="F2" s="691" t="str">
        <f>BEGINBLAD!$T$2</f>
        <v>okt.</v>
      </c>
      <c r="G2" s="1131">
        <f>BEGINBLAD!$P$2</f>
        <v>2021</v>
      </c>
      <c r="H2" s="1131"/>
      <c r="I2" s="1131"/>
      <c r="Q2" s="71"/>
      <c r="R2" s="72"/>
      <c r="S2" s="72"/>
    </row>
    <row r="3" spans="1:28" ht="13.5" thickBot="1" x14ac:dyDescent="0.25">
      <c r="Q3" s="77"/>
      <c r="R3" s="77"/>
      <c r="S3" s="77"/>
      <c r="T3" s="77"/>
    </row>
    <row r="4" spans="1:28" ht="140.1" customHeight="1" x14ac:dyDescent="0.2">
      <c r="C4" s="78"/>
      <c r="D4" s="79"/>
      <c r="E4" s="80"/>
      <c r="F4" s="81" t="s">
        <v>44</v>
      </c>
      <c r="G4" s="82" t="s">
        <v>301</v>
      </c>
      <c r="H4" s="83" t="s">
        <v>317</v>
      </c>
      <c r="I4" s="84" t="s">
        <v>268</v>
      </c>
      <c r="J4" s="235"/>
      <c r="K4" s="619" t="s">
        <v>318</v>
      </c>
      <c r="L4" s="620" t="s">
        <v>319</v>
      </c>
      <c r="M4" s="621" t="s">
        <v>320</v>
      </c>
      <c r="N4" s="621" t="s">
        <v>321</v>
      </c>
      <c r="O4" s="622" t="s">
        <v>322</v>
      </c>
      <c r="P4" s="622" t="s">
        <v>323</v>
      </c>
      <c r="Q4" s="623" t="s">
        <v>324</v>
      </c>
      <c r="R4" s="249"/>
      <c r="S4" s="88"/>
    </row>
    <row r="5" spans="1:28" ht="19.5" customHeight="1" x14ac:dyDescent="0.2">
      <c r="A5" s="89"/>
      <c r="B5" s="1132" t="s">
        <v>43</v>
      </c>
      <c r="C5" s="90" t="s">
        <v>198</v>
      </c>
      <c r="D5" s="91">
        <v>0</v>
      </c>
      <c r="E5" s="92">
        <v>1</v>
      </c>
      <c r="F5" s="165" t="str">
        <f>BEGINBLAD!C4</f>
        <v>leelring 1</v>
      </c>
      <c r="G5" s="94">
        <f>'NIVEAU WAARDE - 1e toetsperiode'!H9</f>
        <v>2</v>
      </c>
      <c r="H5" s="95">
        <f>'NIVEAU WAARDE - 2e toetsperiode'!H9</f>
        <v>2.9</v>
      </c>
      <c r="I5" s="96" t="str">
        <f>IF(H5=0,"",IF(H5&gt;4.5,"A-1+",IF(H5&gt;4,"A-1",IF(H5&gt;=4,"A-2",IF(H5&gt;3.4,"B-2",IF(H5&gt;=3,"B-3",IF(H5&gt;2.5,"C-3",IF(H5&gt;=2,"C-4",IF(H5&gt;1.6,"D-4",IF(H5&gt;=1,"D-5",IF(H5&gt;0.5,"E-5",IF(H5&gt;=0,"E-5-"))))))))))))</f>
        <v>C-3</v>
      </c>
      <c r="J5" s="236" t="str">
        <f>IF(H5=0,"",IF(G5-H5&gt;0.5,"!",IF(H5-G5&gt;0.5,"*",IF(H5-G5&lt;=0.5,""))))</f>
        <v>*</v>
      </c>
      <c r="K5" s="331" t="s">
        <v>327</v>
      </c>
      <c r="L5" s="330" t="s">
        <v>327</v>
      </c>
      <c r="M5" s="616" t="s">
        <v>326</v>
      </c>
      <c r="N5" s="616"/>
      <c r="O5" s="616"/>
      <c r="P5" s="616"/>
      <c r="Q5" s="332"/>
      <c r="R5" s="236" t="b">
        <f>IF(K5="o","!",IF(L5="o","!",IF(M5="o","!",IF(N5="o","!",IF(O5="o","!",IF(P5="o","!",IF(Q5="o","!")))))))</f>
        <v>0</v>
      </c>
      <c r="S5" s="100"/>
    </row>
    <row r="6" spans="1:28" ht="19.5" customHeight="1" x14ac:dyDescent="0.2">
      <c r="A6" s="89"/>
      <c r="B6" s="1132"/>
      <c r="C6" s="101" t="s">
        <v>200</v>
      </c>
      <c r="D6" s="91">
        <v>0</v>
      </c>
      <c r="E6" s="92">
        <v>2</v>
      </c>
      <c r="F6" s="93" t="str">
        <f>BEGINBLAD!C5</f>
        <v>leerling 2</v>
      </c>
      <c r="G6" s="94">
        <f>'NIVEAU WAARDE - 1e toetsperiode'!H10</f>
        <v>2.9</v>
      </c>
      <c r="H6" s="95">
        <f>'NIVEAU WAARDE - 2e toetsperiode'!H10</f>
        <v>3.6</v>
      </c>
      <c r="I6" s="96" t="str">
        <f t="shared" ref="I6:I40" si="0">IF(H6=0,"",IF(H6&gt;4.5,"A-1+",IF(H6&gt;4,"A-1",IF(H6&gt;=4,"A-2",IF(H6&gt;3.4,"B-2",IF(H6&gt;=3,"B-3",IF(H6&gt;2.5,"C-3",IF(H6&gt;=2,"C-4",IF(H6&gt;1.6,"D-4",IF(H6&gt;=1,"D-5",IF(H6&gt;0.5,"E-5",IF(H6&gt;=0,"E-5-"))))))))))))</f>
        <v>B-2</v>
      </c>
      <c r="J6" s="236" t="str">
        <f t="shared" ref="J6:J40" si="1">IF(H6=0,"",IF(G6-H6&gt;0.5,"!",IF(H6-G6&gt;0.5,"*",IF(H6-G6&lt;=0.5,""))))</f>
        <v>*</v>
      </c>
      <c r="K6" s="331" t="s">
        <v>327</v>
      </c>
      <c r="L6" s="330" t="s">
        <v>325</v>
      </c>
      <c r="M6" s="616" t="s">
        <v>327</v>
      </c>
      <c r="N6" s="616"/>
      <c r="O6" s="616"/>
      <c r="P6" s="616"/>
      <c r="Q6" s="332"/>
      <c r="R6" s="236" t="b">
        <f t="shared" ref="R6:R40" si="2">IF(K6="o","!",IF(L6="o","!",IF(M6="o","!",IF(N6="o","!",IF(O6="o","!",IF(P6="o","!",IF(Q6="o","!")))))))</f>
        <v>0</v>
      </c>
      <c r="S6" s="100"/>
      <c r="V6" s="147"/>
      <c r="W6" s="147"/>
      <c r="X6" s="147"/>
      <c r="Y6" s="147"/>
      <c r="Z6" s="147"/>
    </row>
    <row r="7" spans="1:28" ht="19.5" customHeight="1" x14ac:dyDescent="0.2">
      <c r="A7" s="102"/>
      <c r="B7" s="103"/>
      <c r="C7" s="104"/>
      <c r="D7" s="91">
        <v>0</v>
      </c>
      <c r="E7" s="92">
        <v>3</v>
      </c>
      <c r="F7" s="93" t="str">
        <f>BEGINBLAD!C6</f>
        <v>leerling 3</v>
      </c>
      <c r="G7" s="94">
        <f>'NIVEAU WAARDE - 1e toetsperiode'!H11</f>
        <v>0.4</v>
      </c>
      <c r="H7" s="95">
        <f>'NIVEAU WAARDE - 2e toetsperiode'!H11</f>
        <v>2.1</v>
      </c>
      <c r="I7" s="96" t="str">
        <f t="shared" si="0"/>
        <v>C-4</v>
      </c>
      <c r="J7" s="236" t="str">
        <f t="shared" si="1"/>
        <v>*</v>
      </c>
      <c r="K7" s="331" t="s">
        <v>327</v>
      </c>
      <c r="L7" s="330" t="s">
        <v>325</v>
      </c>
      <c r="M7" s="616" t="s">
        <v>325</v>
      </c>
      <c r="N7" s="616"/>
      <c r="O7" s="616"/>
      <c r="P7" s="616"/>
      <c r="Q7" s="332"/>
      <c r="R7" s="236" t="b">
        <f t="shared" si="2"/>
        <v>0</v>
      </c>
      <c r="S7" s="100"/>
      <c r="V7" s="148"/>
      <c r="W7" s="148"/>
      <c r="X7" s="148"/>
      <c r="Y7" s="148"/>
      <c r="Z7" s="148"/>
    </row>
    <row r="8" spans="1:28" ht="19.5" customHeight="1" x14ac:dyDescent="0.2">
      <c r="A8" s="102"/>
      <c r="B8" s="103"/>
      <c r="C8" s="689"/>
      <c r="D8" s="105">
        <v>0</v>
      </c>
      <c r="E8" s="92">
        <v>4</v>
      </c>
      <c r="F8" s="93" t="str">
        <f>BEGINBLAD!C7</f>
        <v>leerling 4</v>
      </c>
      <c r="G8" s="94">
        <f>'NIVEAU WAARDE - 1e toetsperiode'!H12</f>
        <v>3</v>
      </c>
      <c r="H8" s="95">
        <f>'NIVEAU WAARDE - 2e toetsperiode'!H12</f>
        <v>3.2</v>
      </c>
      <c r="I8" s="96" t="str">
        <f t="shared" si="0"/>
        <v>B-3</v>
      </c>
      <c r="J8" s="236" t="str">
        <f t="shared" si="1"/>
        <v/>
      </c>
      <c r="K8" s="331" t="s">
        <v>327</v>
      </c>
      <c r="L8" s="330" t="s">
        <v>327</v>
      </c>
      <c r="M8" s="616" t="s">
        <v>326</v>
      </c>
      <c r="N8" s="616"/>
      <c r="O8" s="616"/>
      <c r="P8" s="616"/>
      <c r="Q8" s="332"/>
      <c r="R8" s="236" t="b">
        <f t="shared" si="2"/>
        <v>0</v>
      </c>
      <c r="S8" s="107"/>
      <c r="V8" s="148"/>
      <c r="W8" s="148"/>
      <c r="X8" s="148"/>
      <c r="Y8" s="148"/>
      <c r="Z8" s="148"/>
    </row>
    <row r="9" spans="1:28" ht="19.5" customHeight="1" x14ac:dyDescent="0.2">
      <c r="A9" s="102"/>
      <c r="B9" s="103"/>
      <c r="C9" s="689"/>
      <c r="D9" s="108">
        <v>0</v>
      </c>
      <c r="E9" s="92">
        <v>5</v>
      </c>
      <c r="F9" s="93" t="str">
        <f>BEGINBLAD!C8</f>
        <v>leerling 5</v>
      </c>
      <c r="G9" s="94">
        <f>'NIVEAU WAARDE - 1e toetsperiode'!H13</f>
        <v>4.2</v>
      </c>
      <c r="H9" s="95">
        <f>'NIVEAU WAARDE - 2e toetsperiode'!H13</f>
        <v>4.3</v>
      </c>
      <c r="I9" s="96" t="str">
        <f t="shared" si="0"/>
        <v>A-1</v>
      </c>
      <c r="J9" s="236" t="str">
        <f t="shared" si="1"/>
        <v/>
      </c>
      <c r="K9" s="331" t="s">
        <v>327</v>
      </c>
      <c r="L9" s="330" t="s">
        <v>327</v>
      </c>
      <c r="M9" s="616" t="s">
        <v>327</v>
      </c>
      <c r="N9" s="616"/>
      <c r="O9" s="616"/>
      <c r="P9" s="616"/>
      <c r="Q9" s="332"/>
      <c r="R9" s="236" t="b">
        <f t="shared" si="2"/>
        <v>0</v>
      </c>
      <c r="S9" s="110"/>
      <c r="V9" s="148"/>
      <c r="W9" s="148"/>
      <c r="X9" s="148"/>
      <c r="Y9" s="148"/>
      <c r="Z9" s="148"/>
    </row>
    <row r="10" spans="1:28" ht="19.5" customHeight="1" x14ac:dyDescent="0.2">
      <c r="A10" s="102"/>
      <c r="B10" s="103"/>
      <c r="C10" s="689"/>
      <c r="D10" s="111">
        <v>0</v>
      </c>
      <c r="E10" s="92">
        <v>6</v>
      </c>
      <c r="F10" s="93" t="str">
        <f>BEGINBLAD!C9</f>
        <v>leerling 6</v>
      </c>
      <c r="G10" s="94">
        <f>'NIVEAU WAARDE - 1e toetsperiode'!H14</f>
        <v>0.1</v>
      </c>
      <c r="H10" s="95">
        <f>'NIVEAU WAARDE - 2e toetsperiode'!H14</f>
        <v>0.4</v>
      </c>
      <c r="I10" s="96" t="str">
        <f t="shared" si="0"/>
        <v>E-5-</v>
      </c>
      <c r="J10" s="236" t="str">
        <f t="shared" si="1"/>
        <v/>
      </c>
      <c r="K10" s="331" t="s">
        <v>328</v>
      </c>
      <c r="L10" s="330" t="s">
        <v>328</v>
      </c>
      <c r="M10" s="616" t="s">
        <v>328</v>
      </c>
      <c r="N10" s="616"/>
      <c r="O10" s="616"/>
      <c r="P10" s="616"/>
      <c r="Q10" s="332"/>
      <c r="R10" s="236" t="str">
        <f t="shared" si="2"/>
        <v>!</v>
      </c>
      <c r="S10" s="112"/>
      <c r="V10" s="148"/>
      <c r="W10" s="148"/>
      <c r="X10" s="148"/>
      <c r="Y10" s="148"/>
      <c r="Z10" s="148"/>
    </row>
    <row r="11" spans="1:28" ht="19.5" customHeight="1" x14ac:dyDescent="0.2">
      <c r="A11" s="102"/>
      <c r="B11" s="103"/>
      <c r="C11" s="689"/>
      <c r="D11" s="111">
        <v>0</v>
      </c>
      <c r="E11" s="92">
        <v>7</v>
      </c>
      <c r="F11" s="93" t="str">
        <f>BEGINBLAD!C10</f>
        <v>leerling 7</v>
      </c>
      <c r="G11" s="94">
        <f>'NIVEAU WAARDE - 1e toetsperiode'!H15</f>
        <v>0.4</v>
      </c>
      <c r="H11" s="95">
        <f>'NIVEAU WAARDE - 2e toetsperiode'!H15</f>
        <v>2</v>
      </c>
      <c r="I11" s="96" t="str">
        <f t="shared" si="0"/>
        <v>C-4</v>
      </c>
      <c r="J11" s="236" t="str">
        <f t="shared" si="1"/>
        <v>*</v>
      </c>
      <c r="K11" s="331" t="s">
        <v>327</v>
      </c>
      <c r="L11" s="330" t="s">
        <v>328</v>
      </c>
      <c r="M11" s="616" t="s">
        <v>327</v>
      </c>
      <c r="N11" s="616"/>
      <c r="O11" s="616"/>
      <c r="P11" s="616"/>
      <c r="Q11" s="332"/>
      <c r="R11" s="236" t="str">
        <f t="shared" si="2"/>
        <v>!</v>
      </c>
      <c r="S11" s="77"/>
      <c r="V11" s="148"/>
      <c r="W11" s="148"/>
      <c r="X11" s="148"/>
      <c r="Y11" s="148"/>
      <c r="Z11" s="148"/>
    </row>
    <row r="12" spans="1:28" ht="19.5" customHeight="1" x14ac:dyDescent="0.2">
      <c r="A12" s="102"/>
      <c r="B12" s="103"/>
      <c r="C12" s="689"/>
      <c r="D12" s="91">
        <v>0</v>
      </c>
      <c r="E12" s="92">
        <v>8</v>
      </c>
      <c r="F12" s="93" t="str">
        <f>BEGINBLAD!C11</f>
        <v>leerling 8</v>
      </c>
      <c r="G12" s="94">
        <f>'NIVEAU WAARDE - 1e toetsperiode'!H16</f>
        <v>4</v>
      </c>
      <c r="H12" s="95">
        <f>'NIVEAU WAARDE - 2e toetsperiode'!H16</f>
        <v>4.2</v>
      </c>
      <c r="I12" s="96" t="str">
        <f t="shared" si="0"/>
        <v>A-1</v>
      </c>
      <c r="J12" s="236" t="str">
        <f t="shared" si="1"/>
        <v/>
      </c>
      <c r="K12" s="331" t="s">
        <v>327</v>
      </c>
      <c r="L12" s="330" t="s">
        <v>327</v>
      </c>
      <c r="M12" s="616" t="s">
        <v>327</v>
      </c>
      <c r="N12" s="616"/>
      <c r="O12" s="616"/>
      <c r="P12" s="616"/>
      <c r="Q12" s="332"/>
      <c r="R12" s="236" t="b">
        <f t="shared" si="2"/>
        <v>0</v>
      </c>
      <c r="S12" s="88"/>
      <c r="V12" s="148"/>
      <c r="W12" s="148"/>
      <c r="X12" s="148"/>
      <c r="Y12" s="148"/>
      <c r="Z12" s="148"/>
    </row>
    <row r="13" spans="1:28" ht="19.5" customHeight="1" x14ac:dyDescent="0.2">
      <c r="A13" s="102"/>
      <c r="B13" s="103"/>
      <c r="C13" s="689"/>
      <c r="D13" s="91">
        <v>0</v>
      </c>
      <c r="E13" s="92">
        <v>9</v>
      </c>
      <c r="F13" s="93" t="str">
        <f>BEGINBLAD!C12</f>
        <v>leerling 9</v>
      </c>
      <c r="G13" s="94">
        <f>'NIVEAU WAARDE - 1e toetsperiode'!H17</f>
        <v>0.6</v>
      </c>
      <c r="H13" s="95">
        <f>'NIVEAU WAARDE - 2e toetsperiode'!H17</f>
        <v>0.2</v>
      </c>
      <c r="I13" s="96" t="str">
        <f t="shared" si="0"/>
        <v>E-5-</v>
      </c>
      <c r="J13" s="236" t="str">
        <f t="shared" si="1"/>
        <v/>
      </c>
      <c r="K13" s="331" t="s">
        <v>327</v>
      </c>
      <c r="L13" s="330" t="s">
        <v>328</v>
      </c>
      <c r="M13" s="616" t="s">
        <v>327</v>
      </c>
      <c r="N13" s="616"/>
      <c r="O13" s="616"/>
      <c r="P13" s="616"/>
      <c r="Q13" s="332"/>
      <c r="R13" s="236" t="str">
        <f t="shared" si="2"/>
        <v>!</v>
      </c>
      <c r="S13" s="100"/>
      <c r="V13" s="149"/>
      <c r="W13" s="149"/>
      <c r="X13" s="149"/>
      <c r="Y13" s="149"/>
      <c r="Z13" s="149"/>
    </row>
    <row r="14" spans="1:28" ht="19.5" customHeight="1" thickBot="1" x14ac:dyDescent="0.25">
      <c r="A14" s="102"/>
      <c r="B14" s="103"/>
      <c r="C14" s="689"/>
      <c r="D14" s="91">
        <v>0</v>
      </c>
      <c r="E14" s="92">
        <v>10</v>
      </c>
      <c r="F14" s="93" t="str">
        <f>BEGINBLAD!C13</f>
        <v>leerling 10</v>
      </c>
      <c r="G14" s="94">
        <f>'NIVEAU WAARDE - 1e toetsperiode'!H18</f>
        <v>1.4</v>
      </c>
      <c r="H14" s="95">
        <f>'NIVEAU WAARDE - 2e toetsperiode'!H18</f>
        <v>2.2999999999999998</v>
      </c>
      <c r="I14" s="96" t="str">
        <f t="shared" si="0"/>
        <v>C-4</v>
      </c>
      <c r="J14" s="236" t="str">
        <f t="shared" si="1"/>
        <v>*</v>
      </c>
      <c r="K14" s="331" t="s">
        <v>327</v>
      </c>
      <c r="L14" s="330" t="s">
        <v>326</v>
      </c>
      <c r="M14" s="616" t="s">
        <v>327</v>
      </c>
      <c r="N14" s="616"/>
      <c r="O14" s="616"/>
      <c r="P14" s="616"/>
      <c r="Q14" s="332"/>
      <c r="R14" s="236" t="b">
        <f t="shared" si="2"/>
        <v>0</v>
      </c>
      <c r="S14" s="107"/>
      <c r="T14" s="113" t="s">
        <v>109</v>
      </c>
      <c r="V14" s="149"/>
      <c r="W14" s="149"/>
      <c r="X14" s="149"/>
      <c r="Y14" s="149"/>
      <c r="Z14" s="149"/>
    </row>
    <row r="15" spans="1:28" ht="19.5" customHeight="1" x14ac:dyDescent="0.2">
      <c r="A15" s="102"/>
      <c r="B15" s="103"/>
      <c r="C15" s="689"/>
      <c r="D15" s="91">
        <v>0</v>
      </c>
      <c r="E15" s="92">
        <v>11</v>
      </c>
      <c r="F15" s="93" t="str">
        <f>BEGINBLAD!C14</f>
        <v>leerling 11</v>
      </c>
      <c r="G15" s="94">
        <f>'NIVEAU WAARDE - 1e toetsperiode'!H19</f>
        <v>1.4</v>
      </c>
      <c r="H15" s="95">
        <f>'NIVEAU WAARDE - 2e toetsperiode'!H19</f>
        <v>0.3</v>
      </c>
      <c r="I15" s="96" t="str">
        <f t="shared" si="0"/>
        <v>E-5-</v>
      </c>
      <c r="J15" s="236" t="str">
        <f t="shared" si="1"/>
        <v>!</v>
      </c>
      <c r="K15" s="331" t="s">
        <v>327</v>
      </c>
      <c r="L15" s="330" t="s">
        <v>325</v>
      </c>
      <c r="M15" s="616" t="s">
        <v>327</v>
      </c>
      <c r="N15" s="616"/>
      <c r="O15" s="616"/>
      <c r="P15" s="616"/>
      <c r="Q15" s="332"/>
      <c r="R15" s="236" t="b">
        <f t="shared" si="2"/>
        <v>0</v>
      </c>
      <c r="S15" s="1191" t="s">
        <v>135</v>
      </c>
      <c r="T15" s="1194">
        <f>'INTENSIEF - 2e periode'!I6</f>
        <v>0</v>
      </c>
      <c r="V15" s="149"/>
      <c r="W15" s="149"/>
      <c r="X15" s="149"/>
      <c r="Y15" s="149"/>
      <c r="Z15" s="149"/>
    </row>
    <row r="16" spans="1:28" ht="19.5" customHeight="1" x14ac:dyDescent="0.2">
      <c r="A16" s="102"/>
      <c r="B16" s="103"/>
      <c r="C16" s="689"/>
      <c r="D16" s="91">
        <v>0</v>
      </c>
      <c r="E16" s="92">
        <v>12</v>
      </c>
      <c r="F16" s="93" t="str">
        <f>BEGINBLAD!C15</f>
        <v>leerling 12</v>
      </c>
      <c r="G16" s="94">
        <f>'NIVEAU WAARDE - 1e toetsperiode'!H20</f>
        <v>3.2</v>
      </c>
      <c r="H16" s="95">
        <f>'NIVEAU WAARDE - 2e toetsperiode'!H20</f>
        <v>2</v>
      </c>
      <c r="I16" s="96" t="str">
        <f t="shared" si="0"/>
        <v>C-4</v>
      </c>
      <c r="J16" s="236" t="str">
        <f t="shared" si="1"/>
        <v>!</v>
      </c>
      <c r="K16" s="331" t="s">
        <v>327</v>
      </c>
      <c r="L16" s="330" t="s">
        <v>327</v>
      </c>
      <c r="M16" s="616" t="s">
        <v>327</v>
      </c>
      <c r="N16" s="616"/>
      <c r="O16" s="616"/>
      <c r="P16" s="616"/>
      <c r="Q16" s="332"/>
      <c r="R16" s="236" t="b">
        <f t="shared" si="2"/>
        <v>0</v>
      </c>
      <c r="S16" s="1192"/>
      <c r="T16" s="1195"/>
      <c r="V16" s="149"/>
      <c r="W16" s="149"/>
      <c r="X16" s="149"/>
      <c r="Y16" s="149"/>
      <c r="Z16" s="149"/>
    </row>
    <row r="17" spans="1:28" ht="19.5" customHeight="1" x14ac:dyDescent="0.2">
      <c r="A17" s="102"/>
      <c r="B17" s="103"/>
      <c r="C17" s="689"/>
      <c r="D17" s="105">
        <v>0</v>
      </c>
      <c r="E17" s="92">
        <v>13</v>
      </c>
      <c r="F17" s="93" t="str">
        <f>BEGINBLAD!C16</f>
        <v>leerling 13</v>
      </c>
      <c r="G17" s="94">
        <f>'NIVEAU WAARDE - 1e toetsperiode'!H21</f>
        <v>3.3</v>
      </c>
      <c r="H17" s="95">
        <f>'NIVEAU WAARDE - 2e toetsperiode'!H21</f>
        <v>3.5</v>
      </c>
      <c r="I17" s="96" t="str">
        <f t="shared" si="0"/>
        <v>B-2</v>
      </c>
      <c r="J17" s="236" t="str">
        <f t="shared" si="1"/>
        <v/>
      </c>
      <c r="K17" s="331" t="s">
        <v>327</v>
      </c>
      <c r="L17" s="330" t="s">
        <v>327</v>
      </c>
      <c r="M17" s="616" t="s">
        <v>327</v>
      </c>
      <c r="N17" s="616"/>
      <c r="O17" s="616"/>
      <c r="P17" s="616"/>
      <c r="Q17" s="332"/>
      <c r="R17" s="236" t="b">
        <f t="shared" si="2"/>
        <v>0</v>
      </c>
      <c r="S17" s="1198" t="s">
        <v>137</v>
      </c>
      <c r="T17" s="1196">
        <f>'INTENSIEF - 2e periode'!I8</f>
        <v>0</v>
      </c>
      <c r="V17" s="120"/>
      <c r="W17" s="120"/>
      <c r="X17" s="120"/>
      <c r="Y17" s="120"/>
      <c r="Z17" s="120"/>
    </row>
    <row r="18" spans="1:28" ht="19.5" customHeight="1" x14ac:dyDescent="0.2">
      <c r="A18" s="102"/>
      <c r="B18" s="103"/>
      <c r="C18" s="689"/>
      <c r="D18" s="111">
        <v>0</v>
      </c>
      <c r="E18" s="92">
        <v>14</v>
      </c>
      <c r="F18" s="93" t="str">
        <f>BEGINBLAD!C17</f>
        <v>leerling 14</v>
      </c>
      <c r="G18" s="94">
        <f>'NIVEAU WAARDE - 1e toetsperiode'!H22</f>
        <v>4.7</v>
      </c>
      <c r="H18" s="95">
        <f>'NIVEAU WAARDE - 2e toetsperiode'!H22</f>
        <v>5</v>
      </c>
      <c r="I18" s="96" t="str">
        <f t="shared" si="0"/>
        <v>A-1+</v>
      </c>
      <c r="J18" s="236" t="str">
        <f t="shared" si="1"/>
        <v/>
      </c>
      <c r="K18" s="331" t="s">
        <v>327</v>
      </c>
      <c r="L18" s="330" t="s">
        <v>327</v>
      </c>
      <c r="M18" s="616" t="s">
        <v>327</v>
      </c>
      <c r="N18" s="616"/>
      <c r="O18" s="616"/>
      <c r="P18" s="616"/>
      <c r="Q18" s="332"/>
      <c r="R18" s="236" t="b">
        <f t="shared" si="2"/>
        <v>0</v>
      </c>
      <c r="S18" s="1198"/>
      <c r="T18" s="1196"/>
      <c r="U18" s="89"/>
      <c r="V18" s="114"/>
      <c r="W18" s="114"/>
      <c r="X18" s="114"/>
      <c r="Y18" s="114"/>
      <c r="Z18" s="114"/>
      <c r="AA18" s="114"/>
    </row>
    <row r="19" spans="1:28" ht="19.5" customHeight="1" x14ac:dyDescent="0.2">
      <c r="D19" s="111">
        <v>0</v>
      </c>
      <c r="E19" s="92">
        <v>15</v>
      </c>
      <c r="F19" s="93" t="str">
        <f>BEGINBLAD!C18</f>
        <v>leerling 15</v>
      </c>
      <c r="G19" s="94">
        <f>'NIVEAU WAARDE - 1e toetsperiode'!H23</f>
        <v>2.4</v>
      </c>
      <c r="H19" s="95">
        <f>'NIVEAU WAARDE - 2e toetsperiode'!H23</f>
        <v>3.1</v>
      </c>
      <c r="I19" s="96" t="str">
        <f t="shared" si="0"/>
        <v>B-3</v>
      </c>
      <c r="J19" s="236" t="str">
        <f t="shared" si="1"/>
        <v>*</v>
      </c>
      <c r="K19" s="331" t="s">
        <v>327</v>
      </c>
      <c r="L19" s="330" t="s">
        <v>326</v>
      </c>
      <c r="M19" s="616" t="s">
        <v>326</v>
      </c>
      <c r="N19" s="616"/>
      <c r="O19" s="616"/>
      <c r="P19" s="616"/>
      <c r="Q19" s="332"/>
      <c r="R19" s="236" t="b">
        <f t="shared" si="2"/>
        <v>0</v>
      </c>
      <c r="S19" s="1198"/>
      <c r="T19" s="1196"/>
      <c r="U19" s="116"/>
      <c r="V19" s="117"/>
      <c r="W19" s="117"/>
      <c r="X19" s="117"/>
      <c r="Y19" s="118"/>
      <c r="Z19" s="118"/>
      <c r="AA19" s="118"/>
      <c r="AB19" s="119"/>
    </row>
    <row r="20" spans="1:28" ht="19.5" customHeight="1" x14ac:dyDescent="0.2">
      <c r="D20" s="111">
        <v>0</v>
      </c>
      <c r="E20" s="92">
        <v>16</v>
      </c>
      <c r="F20" s="93" t="str">
        <f>BEGINBLAD!C19</f>
        <v>leerling 16</v>
      </c>
      <c r="G20" s="94">
        <f>'NIVEAU WAARDE - 1e toetsperiode'!H24</f>
        <v>3.1</v>
      </c>
      <c r="H20" s="95">
        <f>'NIVEAU WAARDE - 2e toetsperiode'!H24</f>
        <v>2.1</v>
      </c>
      <c r="I20" s="96" t="str">
        <f t="shared" si="0"/>
        <v>C-4</v>
      </c>
      <c r="J20" s="236" t="str">
        <f t="shared" si="1"/>
        <v>!</v>
      </c>
      <c r="K20" s="331" t="s">
        <v>327</v>
      </c>
      <c r="L20" s="330" t="s">
        <v>327</v>
      </c>
      <c r="M20" s="616" t="s">
        <v>326</v>
      </c>
      <c r="N20" s="616"/>
      <c r="O20" s="616"/>
      <c r="P20" s="616"/>
      <c r="Q20" s="332"/>
      <c r="R20" s="236" t="b">
        <f t="shared" si="2"/>
        <v>0</v>
      </c>
      <c r="S20" s="1198"/>
      <c r="T20" s="1196"/>
      <c r="U20" s="116"/>
      <c r="V20" s="120"/>
      <c r="W20" s="120"/>
      <c r="X20" s="120"/>
      <c r="Y20" s="120"/>
      <c r="Z20" s="120"/>
      <c r="AA20" s="120"/>
    </row>
    <row r="21" spans="1:28" ht="19.5" customHeight="1" x14ac:dyDescent="0.2">
      <c r="D21" s="111">
        <v>0</v>
      </c>
      <c r="E21" s="92">
        <v>17</v>
      </c>
      <c r="F21" s="93" t="str">
        <f>BEGINBLAD!C20</f>
        <v>leerling 17</v>
      </c>
      <c r="G21" s="94">
        <f>'NIVEAU WAARDE - 1e toetsperiode'!H25</f>
        <v>4.5999999999999996</v>
      </c>
      <c r="H21" s="95">
        <f>'NIVEAU WAARDE - 2e toetsperiode'!H25</f>
        <v>4.5999999999999996</v>
      </c>
      <c r="I21" s="96" t="str">
        <f t="shared" si="0"/>
        <v>A-1+</v>
      </c>
      <c r="J21" s="236" t="str">
        <f t="shared" si="1"/>
        <v/>
      </c>
      <c r="K21" s="331" t="s">
        <v>327</v>
      </c>
      <c r="L21" s="330" t="s">
        <v>327</v>
      </c>
      <c r="M21" s="616" t="s">
        <v>327</v>
      </c>
      <c r="N21" s="616"/>
      <c r="O21" s="616"/>
      <c r="P21" s="616"/>
      <c r="Q21" s="332"/>
      <c r="R21" s="236" t="b">
        <f t="shared" si="2"/>
        <v>0</v>
      </c>
      <c r="S21" s="1198"/>
      <c r="T21" s="1196"/>
      <c r="U21" s="116"/>
      <c r="V21" s="120"/>
      <c r="W21" s="120"/>
      <c r="X21" s="120"/>
      <c r="Y21" s="120"/>
      <c r="Z21" s="120"/>
      <c r="AA21" s="120"/>
    </row>
    <row r="22" spans="1:28" ht="19.5" customHeight="1" x14ac:dyDescent="0.2">
      <c r="D22" s="111">
        <v>0</v>
      </c>
      <c r="E22" s="92">
        <v>18</v>
      </c>
      <c r="F22" s="93" t="str">
        <f>BEGINBLAD!C21</f>
        <v>leerling 18</v>
      </c>
      <c r="G22" s="94">
        <f>'NIVEAU WAARDE - 1e toetsperiode'!H26</f>
        <v>3</v>
      </c>
      <c r="H22" s="95">
        <f>'NIVEAU WAARDE - 2e toetsperiode'!H26</f>
        <v>3.4</v>
      </c>
      <c r="I22" s="96" t="str">
        <f t="shared" si="0"/>
        <v>B-3</v>
      </c>
      <c r="J22" s="236" t="str">
        <f t="shared" si="1"/>
        <v/>
      </c>
      <c r="K22" s="331" t="s">
        <v>327</v>
      </c>
      <c r="L22" s="330" t="s">
        <v>327</v>
      </c>
      <c r="M22" s="616" t="s">
        <v>327</v>
      </c>
      <c r="N22" s="616"/>
      <c r="O22" s="616"/>
      <c r="P22" s="616"/>
      <c r="Q22" s="332"/>
      <c r="R22" s="236" t="b">
        <f t="shared" si="2"/>
        <v>0</v>
      </c>
      <c r="S22" s="1198"/>
      <c r="T22" s="1196"/>
      <c r="U22" s="116"/>
      <c r="V22" s="120"/>
      <c r="W22" s="120"/>
      <c r="X22" s="120"/>
      <c r="Y22" s="120"/>
      <c r="Z22" s="120"/>
      <c r="AA22" s="120"/>
    </row>
    <row r="23" spans="1:28" ht="19.5" customHeight="1" x14ac:dyDescent="0.2">
      <c r="B23" s="122"/>
      <c r="C23" s="122"/>
      <c r="D23" s="111">
        <v>0</v>
      </c>
      <c r="E23" s="92">
        <v>19</v>
      </c>
      <c r="F23" s="93" t="str">
        <f>BEGINBLAD!C22</f>
        <v>leerling 19</v>
      </c>
      <c r="G23" s="94">
        <f>'NIVEAU WAARDE - 1e toetsperiode'!H27</f>
        <v>1.4</v>
      </c>
      <c r="H23" s="95">
        <f>'NIVEAU WAARDE - 2e toetsperiode'!H27</f>
        <v>2.9</v>
      </c>
      <c r="I23" s="96" t="str">
        <f t="shared" si="0"/>
        <v>C-3</v>
      </c>
      <c r="J23" s="236" t="str">
        <f t="shared" si="1"/>
        <v>*</v>
      </c>
      <c r="K23" s="331" t="s">
        <v>327</v>
      </c>
      <c r="L23" s="330" t="s">
        <v>325</v>
      </c>
      <c r="M23" s="616" t="s">
        <v>327</v>
      </c>
      <c r="N23" s="616"/>
      <c r="O23" s="616"/>
      <c r="P23" s="616"/>
      <c r="Q23" s="332"/>
      <c r="R23" s="236" t="b">
        <f t="shared" si="2"/>
        <v>0</v>
      </c>
      <c r="S23" s="1198"/>
      <c r="T23" s="1196"/>
    </row>
    <row r="24" spans="1:28" ht="19.5" customHeight="1" thickBot="1" x14ac:dyDescent="0.25">
      <c r="B24" s="123"/>
      <c r="C24" s="122"/>
      <c r="D24" s="111">
        <v>0</v>
      </c>
      <c r="E24" s="92">
        <v>20</v>
      </c>
      <c r="F24" s="93" t="str">
        <f>BEGINBLAD!C23</f>
        <v>leerling 20</v>
      </c>
      <c r="G24" s="94">
        <f>'NIVEAU WAARDE - 1e toetsperiode'!H28</f>
        <v>4.2</v>
      </c>
      <c r="H24" s="95">
        <f>'NIVEAU WAARDE - 2e toetsperiode'!H28</f>
        <v>4.3</v>
      </c>
      <c r="I24" s="96" t="str">
        <f t="shared" si="0"/>
        <v>A-1</v>
      </c>
      <c r="J24" s="236" t="str">
        <f t="shared" si="1"/>
        <v/>
      </c>
      <c r="K24" s="331" t="s">
        <v>327</v>
      </c>
      <c r="L24" s="330" t="s">
        <v>327</v>
      </c>
      <c r="M24" s="616" t="s">
        <v>327</v>
      </c>
      <c r="N24" s="616"/>
      <c r="O24" s="616"/>
      <c r="P24" s="616"/>
      <c r="Q24" s="332"/>
      <c r="R24" s="236" t="b">
        <f t="shared" si="2"/>
        <v>0</v>
      </c>
      <c r="S24" s="1199"/>
      <c r="T24" s="1197"/>
      <c r="U24" s="116"/>
      <c r="V24" s="120"/>
      <c r="W24" s="120"/>
      <c r="X24" s="120"/>
      <c r="Y24" s="120"/>
      <c r="Z24" s="120"/>
      <c r="AA24" s="120"/>
    </row>
    <row r="25" spans="1:28" ht="19.5" customHeight="1" thickBot="1" x14ac:dyDescent="0.25">
      <c r="B25" s="123"/>
      <c r="C25" s="122"/>
      <c r="D25" s="111">
        <v>0</v>
      </c>
      <c r="E25" s="92">
        <v>21</v>
      </c>
      <c r="F25" s="93" t="str">
        <f>BEGINBLAD!C24</f>
        <v>leerling 21</v>
      </c>
      <c r="G25" s="94">
        <f>'NIVEAU WAARDE - 1e toetsperiode'!H29</f>
        <v>3.3</v>
      </c>
      <c r="H25" s="95">
        <f>'NIVEAU WAARDE - 2e toetsperiode'!H29</f>
        <v>4</v>
      </c>
      <c r="I25" s="96" t="str">
        <f t="shared" si="0"/>
        <v>A-2</v>
      </c>
      <c r="J25" s="236" t="str">
        <f t="shared" si="1"/>
        <v>*</v>
      </c>
      <c r="K25" s="331" t="s">
        <v>327</v>
      </c>
      <c r="L25" s="330" t="s">
        <v>326</v>
      </c>
      <c r="M25" s="616" t="s">
        <v>326</v>
      </c>
      <c r="N25" s="616"/>
      <c r="O25" s="616"/>
      <c r="P25" s="616"/>
      <c r="Q25" s="332"/>
      <c r="R25" s="236" t="b">
        <f t="shared" si="2"/>
        <v>0</v>
      </c>
      <c r="S25" s="107"/>
      <c r="T25" s="113" t="s">
        <v>282</v>
      </c>
      <c r="U25" s="116"/>
      <c r="V25" s="120"/>
      <c r="W25" s="120"/>
      <c r="X25" s="120"/>
      <c r="Y25" s="120"/>
      <c r="Z25" s="120"/>
      <c r="AA25" s="120"/>
    </row>
    <row r="26" spans="1:28" ht="19.5" customHeight="1" x14ac:dyDescent="0.2">
      <c r="D26" s="111">
        <v>0</v>
      </c>
      <c r="E26" s="92">
        <v>22</v>
      </c>
      <c r="F26" s="93" t="str">
        <f>BEGINBLAD!C25</f>
        <v>leerling 22</v>
      </c>
      <c r="G26" s="94">
        <f>'NIVEAU WAARDE - 1e toetsperiode'!H30</f>
        <v>1.6</v>
      </c>
      <c r="H26" s="95">
        <f>'NIVEAU WAARDE - 2e toetsperiode'!H30</f>
        <v>2.5</v>
      </c>
      <c r="I26" s="96" t="str">
        <f t="shared" si="0"/>
        <v>C-4</v>
      </c>
      <c r="J26" s="236" t="str">
        <f t="shared" si="1"/>
        <v>*</v>
      </c>
      <c r="K26" s="331" t="s">
        <v>327</v>
      </c>
      <c r="L26" s="330" t="s">
        <v>327</v>
      </c>
      <c r="M26" s="616" t="s">
        <v>327</v>
      </c>
      <c r="N26" s="616"/>
      <c r="O26" s="616"/>
      <c r="P26" s="616"/>
      <c r="Q26" s="332"/>
      <c r="R26" s="236" t="b">
        <f t="shared" si="2"/>
        <v>0</v>
      </c>
      <c r="S26" s="1191" t="s">
        <v>135</v>
      </c>
      <c r="T26" s="1194">
        <f>'BASISAANPAK - 2e periode'!I6</f>
        <v>0</v>
      </c>
      <c r="U26" s="89"/>
      <c r="V26" s="114"/>
      <c r="W26" s="114"/>
      <c r="X26" s="114"/>
      <c r="Y26" s="114"/>
      <c r="Z26" s="114"/>
      <c r="AA26" s="114"/>
    </row>
    <row r="27" spans="1:28" s="126" customFormat="1" ht="19.5" customHeight="1" x14ac:dyDescent="0.4">
      <c r="A27" s="89"/>
      <c r="B27" s="1132" t="s">
        <v>43</v>
      </c>
      <c r="C27" s="90" t="s">
        <v>210</v>
      </c>
      <c r="D27" s="105">
        <v>0</v>
      </c>
      <c r="E27" s="92">
        <v>23</v>
      </c>
      <c r="F27" s="93" t="str">
        <f>BEGINBLAD!C26</f>
        <v>leerling 23</v>
      </c>
      <c r="G27" s="94">
        <f>'NIVEAU WAARDE - 1e toetsperiode'!H31</f>
        <v>3.9</v>
      </c>
      <c r="H27" s="95">
        <f>'NIVEAU WAARDE - 2e toetsperiode'!H31</f>
        <v>3.7</v>
      </c>
      <c r="I27" s="96" t="str">
        <f t="shared" si="0"/>
        <v>B-2</v>
      </c>
      <c r="J27" s="236" t="str">
        <f t="shared" si="1"/>
        <v/>
      </c>
      <c r="K27" s="331" t="s">
        <v>327</v>
      </c>
      <c r="L27" s="330" t="s">
        <v>327</v>
      </c>
      <c r="M27" s="616" t="s">
        <v>326</v>
      </c>
      <c r="N27" s="616"/>
      <c r="O27" s="616"/>
      <c r="P27" s="616"/>
      <c r="Q27" s="332"/>
      <c r="R27" s="236" t="b">
        <f t="shared" si="2"/>
        <v>0</v>
      </c>
      <c r="S27" s="1192"/>
      <c r="T27" s="1195"/>
      <c r="U27" s="125"/>
      <c r="V27" s="125"/>
      <c r="W27" s="125"/>
      <c r="X27" s="125"/>
      <c r="Y27" s="125"/>
      <c r="Z27" s="125"/>
      <c r="AA27" s="125"/>
    </row>
    <row r="28" spans="1:28" ht="19.5" customHeight="1" x14ac:dyDescent="0.4">
      <c r="A28" s="89"/>
      <c r="B28" s="1132"/>
      <c r="C28" s="101" t="s">
        <v>200</v>
      </c>
      <c r="D28" s="105">
        <v>0</v>
      </c>
      <c r="E28" s="92">
        <v>24</v>
      </c>
      <c r="F28" s="93" t="str">
        <f>BEGINBLAD!C27</f>
        <v>leerling 24</v>
      </c>
      <c r="G28" s="94">
        <f>'NIVEAU WAARDE - 1e toetsperiode'!H32</f>
        <v>4.8</v>
      </c>
      <c r="H28" s="95">
        <f>'NIVEAU WAARDE - 2e toetsperiode'!H32</f>
        <v>4.9000000000000004</v>
      </c>
      <c r="I28" s="96" t="str">
        <f t="shared" si="0"/>
        <v>A-1+</v>
      </c>
      <c r="J28" s="236" t="str">
        <f t="shared" si="1"/>
        <v/>
      </c>
      <c r="K28" s="331" t="s">
        <v>327</v>
      </c>
      <c r="L28" s="330" t="s">
        <v>327</v>
      </c>
      <c r="M28" s="616" t="s">
        <v>326</v>
      </c>
      <c r="N28" s="616"/>
      <c r="O28" s="616"/>
      <c r="P28" s="616"/>
      <c r="Q28" s="332"/>
      <c r="R28" s="236" t="b">
        <f t="shared" si="2"/>
        <v>0</v>
      </c>
      <c r="S28" s="1192" t="s">
        <v>137</v>
      </c>
      <c r="T28" s="1200">
        <f>'BASISAANPAK - 2e periode'!I8</f>
        <v>0</v>
      </c>
      <c r="U28" s="77"/>
      <c r="V28" s="127"/>
      <c r="W28" s="88"/>
      <c r="X28" s="88"/>
      <c r="Y28" s="88"/>
      <c r="Z28" s="88"/>
      <c r="AA28" s="88"/>
    </row>
    <row r="29" spans="1:28" ht="19.5" customHeight="1" x14ac:dyDescent="0.2">
      <c r="A29" s="102"/>
      <c r="B29" s="103"/>
      <c r="C29" s="689"/>
      <c r="D29" s="91">
        <v>0</v>
      </c>
      <c r="E29" s="92">
        <v>25</v>
      </c>
      <c r="F29" s="93" t="str">
        <f>BEGINBLAD!C28</f>
        <v>leerling 25</v>
      </c>
      <c r="G29" s="94">
        <f>'NIVEAU WAARDE - 1e toetsperiode'!H33</f>
        <v>1.7</v>
      </c>
      <c r="H29" s="95">
        <f>'NIVEAU WAARDE - 2e toetsperiode'!H33</f>
        <v>2.2999999999999998</v>
      </c>
      <c r="I29" s="96" t="str">
        <f t="shared" si="0"/>
        <v>C-4</v>
      </c>
      <c r="J29" s="236" t="str">
        <f t="shared" si="1"/>
        <v>*</v>
      </c>
      <c r="K29" s="331" t="s">
        <v>327</v>
      </c>
      <c r="L29" s="330" t="s">
        <v>325</v>
      </c>
      <c r="M29" s="616" t="s">
        <v>327</v>
      </c>
      <c r="N29" s="616"/>
      <c r="O29" s="616"/>
      <c r="P29" s="616"/>
      <c r="Q29" s="332"/>
      <c r="R29" s="236" t="b">
        <f t="shared" si="2"/>
        <v>0</v>
      </c>
      <c r="S29" s="1192"/>
      <c r="T29" s="1200"/>
      <c r="U29" s="128"/>
      <c r="V29" s="117"/>
      <c r="W29" s="117"/>
      <c r="X29" s="117"/>
      <c r="Y29" s="117"/>
      <c r="Z29" s="117"/>
      <c r="AA29" s="117"/>
    </row>
    <row r="30" spans="1:28" ht="19.5" customHeight="1" x14ac:dyDescent="0.2">
      <c r="A30" s="102"/>
      <c r="B30" s="103"/>
      <c r="C30" s="689"/>
      <c r="D30" s="91">
        <v>0</v>
      </c>
      <c r="E30" s="92">
        <v>26</v>
      </c>
      <c r="F30" s="93" t="str">
        <f>BEGINBLAD!C29</f>
        <v>leerling 26</v>
      </c>
      <c r="G30" s="94">
        <f>'NIVEAU WAARDE - 1e toetsperiode'!H34</f>
        <v>1.2</v>
      </c>
      <c r="H30" s="95">
        <f>'NIVEAU WAARDE - 2e toetsperiode'!H34</f>
        <v>1.4</v>
      </c>
      <c r="I30" s="96" t="str">
        <f t="shared" si="0"/>
        <v>D-5</v>
      </c>
      <c r="J30" s="236" t="str">
        <f t="shared" si="1"/>
        <v/>
      </c>
      <c r="K30" s="331" t="s">
        <v>327</v>
      </c>
      <c r="L30" s="330" t="s">
        <v>325</v>
      </c>
      <c r="M30" s="616" t="s">
        <v>327</v>
      </c>
      <c r="N30" s="616"/>
      <c r="O30" s="616"/>
      <c r="P30" s="616"/>
      <c r="Q30" s="332"/>
      <c r="R30" s="236" t="b">
        <f t="shared" si="2"/>
        <v>0</v>
      </c>
      <c r="S30" s="1192"/>
      <c r="T30" s="1200"/>
      <c r="U30" s="116"/>
      <c r="V30" s="120"/>
      <c r="W30" s="120"/>
      <c r="X30" s="120"/>
      <c r="Y30" s="120"/>
      <c r="Z30" s="120"/>
      <c r="AA30" s="120"/>
    </row>
    <row r="31" spans="1:28" ht="19.5" customHeight="1" x14ac:dyDescent="0.2">
      <c r="A31" s="102"/>
      <c r="B31" s="103"/>
      <c r="C31" s="689"/>
      <c r="D31" s="91">
        <v>0</v>
      </c>
      <c r="E31" s="92">
        <v>27</v>
      </c>
      <c r="F31" s="93">
        <f>BEGINBLAD!C30</f>
        <v>0</v>
      </c>
      <c r="G31" s="94">
        <f>'NIVEAU WAARDE - 1e toetsperiode'!H35</f>
        <v>0</v>
      </c>
      <c r="H31" s="95">
        <f>'NIVEAU WAARDE - 2e toetsperiode'!H35</f>
        <v>0</v>
      </c>
      <c r="I31" s="96" t="str">
        <f t="shared" si="0"/>
        <v/>
      </c>
      <c r="J31" s="236" t="str">
        <f t="shared" si="1"/>
        <v/>
      </c>
      <c r="K31" s="331"/>
      <c r="L31" s="330"/>
      <c r="M31" s="616"/>
      <c r="N31" s="616"/>
      <c r="O31" s="616"/>
      <c r="P31" s="616"/>
      <c r="Q31" s="332"/>
      <c r="R31" s="236" t="b">
        <f t="shared" si="2"/>
        <v>0</v>
      </c>
      <c r="S31" s="1192"/>
      <c r="T31" s="1200"/>
      <c r="U31" s="116"/>
      <c r="V31" s="120"/>
      <c r="W31" s="120"/>
      <c r="X31" s="120"/>
      <c r="Y31" s="120"/>
      <c r="Z31" s="120"/>
      <c r="AA31" s="120"/>
    </row>
    <row r="32" spans="1:28" ht="19.5" customHeight="1" x14ac:dyDescent="0.2">
      <c r="A32" s="102"/>
      <c r="B32" s="103"/>
      <c r="C32" s="689"/>
      <c r="D32" s="91">
        <v>0</v>
      </c>
      <c r="E32" s="92">
        <v>28</v>
      </c>
      <c r="F32" s="93">
        <f>BEGINBLAD!C31</f>
        <v>0</v>
      </c>
      <c r="G32" s="94">
        <f>'NIVEAU WAARDE - 1e toetsperiode'!H36</f>
        <v>0</v>
      </c>
      <c r="H32" s="95">
        <f>'NIVEAU WAARDE - 2e toetsperiode'!H36</f>
        <v>0</v>
      </c>
      <c r="I32" s="96" t="str">
        <f t="shared" si="0"/>
        <v/>
      </c>
      <c r="J32" s="236" t="str">
        <f t="shared" si="1"/>
        <v/>
      </c>
      <c r="K32" s="331"/>
      <c r="L32" s="330"/>
      <c r="M32" s="616"/>
      <c r="N32" s="616"/>
      <c r="O32" s="616"/>
      <c r="P32" s="616"/>
      <c r="Q32" s="332"/>
      <c r="R32" s="236" t="b">
        <f t="shared" si="2"/>
        <v>0</v>
      </c>
      <c r="S32" s="1192"/>
      <c r="T32" s="1200"/>
      <c r="U32" s="116"/>
      <c r="V32" s="120"/>
      <c r="W32" s="120"/>
      <c r="X32" s="120"/>
      <c r="Y32" s="120"/>
      <c r="Z32" s="120"/>
      <c r="AA32" s="120"/>
    </row>
    <row r="33" spans="1:31" ht="19.5" customHeight="1" x14ac:dyDescent="0.2">
      <c r="A33" s="102"/>
      <c r="B33" s="103"/>
      <c r="C33" s="689"/>
      <c r="D33" s="91">
        <v>0</v>
      </c>
      <c r="E33" s="92">
        <v>29</v>
      </c>
      <c r="F33" s="93">
        <f>BEGINBLAD!C32</f>
        <v>0</v>
      </c>
      <c r="G33" s="94">
        <f>'NIVEAU WAARDE - 1e toetsperiode'!H37</f>
        <v>0</v>
      </c>
      <c r="H33" s="95">
        <f>'NIVEAU WAARDE - 2e toetsperiode'!H37</f>
        <v>0</v>
      </c>
      <c r="I33" s="96" t="str">
        <f t="shared" si="0"/>
        <v/>
      </c>
      <c r="J33" s="236" t="str">
        <f t="shared" si="1"/>
        <v/>
      </c>
      <c r="K33" s="331"/>
      <c r="L33" s="330"/>
      <c r="M33" s="616"/>
      <c r="N33" s="616"/>
      <c r="O33" s="616"/>
      <c r="P33" s="616"/>
      <c r="Q33" s="332"/>
      <c r="R33" s="236" t="b">
        <f t="shared" si="2"/>
        <v>0</v>
      </c>
      <c r="S33" s="1192"/>
      <c r="T33" s="1200"/>
      <c r="U33" s="116"/>
      <c r="V33" s="120"/>
      <c r="W33" s="120"/>
      <c r="X33" s="120"/>
      <c r="Y33" s="120"/>
      <c r="Z33" s="120"/>
      <c r="AA33" s="120"/>
    </row>
    <row r="34" spans="1:31" ht="19.5" customHeight="1" x14ac:dyDescent="0.2">
      <c r="A34" s="102"/>
      <c r="B34" s="103"/>
      <c r="C34" s="689"/>
      <c r="D34" s="91">
        <v>0</v>
      </c>
      <c r="E34" s="92">
        <v>30</v>
      </c>
      <c r="F34" s="93">
        <f>BEGINBLAD!C33</f>
        <v>0</v>
      </c>
      <c r="G34" s="94">
        <f>'NIVEAU WAARDE - 1e toetsperiode'!H38</f>
        <v>0</v>
      </c>
      <c r="H34" s="95">
        <f>'NIVEAU WAARDE - 2e toetsperiode'!H38</f>
        <v>0</v>
      </c>
      <c r="I34" s="96" t="str">
        <f t="shared" si="0"/>
        <v/>
      </c>
      <c r="J34" s="236" t="str">
        <f t="shared" si="1"/>
        <v/>
      </c>
      <c r="K34" s="246"/>
      <c r="L34" s="247"/>
      <c r="M34" s="617"/>
      <c r="N34" s="617"/>
      <c r="O34" s="617"/>
      <c r="P34" s="617"/>
      <c r="Q34" s="248"/>
      <c r="R34" s="236" t="b">
        <f t="shared" si="2"/>
        <v>0</v>
      </c>
      <c r="S34" s="1192"/>
      <c r="T34" s="1200"/>
      <c r="U34" s="116"/>
      <c r="V34" s="120"/>
      <c r="W34" s="120"/>
      <c r="X34" s="120"/>
      <c r="Y34" s="120"/>
      <c r="Z34" s="120"/>
      <c r="AA34" s="120"/>
    </row>
    <row r="35" spans="1:31" ht="19.5" customHeight="1" thickBot="1" x14ac:dyDescent="0.25">
      <c r="A35" s="102"/>
      <c r="B35" s="103"/>
      <c r="C35" s="689"/>
      <c r="D35" s="91">
        <v>0</v>
      </c>
      <c r="E35" s="92">
        <v>31</v>
      </c>
      <c r="F35" s="93">
        <f>BEGINBLAD!C34</f>
        <v>0</v>
      </c>
      <c r="G35" s="94">
        <f>'NIVEAU WAARDE - 1e toetsperiode'!H39</f>
        <v>0</v>
      </c>
      <c r="H35" s="95">
        <f>'NIVEAU WAARDE - 2e toetsperiode'!H39</f>
        <v>0</v>
      </c>
      <c r="I35" s="96" t="str">
        <f t="shared" si="0"/>
        <v/>
      </c>
      <c r="J35" s="236" t="str">
        <f t="shared" si="1"/>
        <v/>
      </c>
      <c r="K35" s="246"/>
      <c r="L35" s="247"/>
      <c r="M35" s="617"/>
      <c r="N35" s="617"/>
      <c r="O35" s="617"/>
      <c r="P35" s="617"/>
      <c r="Q35" s="248"/>
      <c r="R35" s="236" t="b">
        <f t="shared" si="2"/>
        <v>0</v>
      </c>
      <c r="S35" s="1193"/>
      <c r="T35" s="1201"/>
      <c r="U35" s="116"/>
      <c r="V35" s="120"/>
      <c r="W35" s="120"/>
      <c r="X35" s="120"/>
      <c r="Y35" s="120"/>
      <c r="Z35" s="120"/>
      <c r="AA35" s="120"/>
    </row>
    <row r="36" spans="1:31" ht="19.5" customHeight="1" thickBot="1" x14ac:dyDescent="0.25">
      <c r="A36" s="102"/>
      <c r="B36" s="103"/>
      <c r="C36" s="689"/>
      <c r="D36" s="91">
        <v>0</v>
      </c>
      <c r="E36" s="92">
        <v>32</v>
      </c>
      <c r="F36" s="93">
        <f>BEGINBLAD!C35</f>
        <v>0</v>
      </c>
      <c r="G36" s="94">
        <f>'NIVEAU WAARDE - 1e toetsperiode'!H40</f>
        <v>0</v>
      </c>
      <c r="H36" s="95">
        <f>'NIVEAU WAARDE - 2e toetsperiode'!H40</f>
        <v>0</v>
      </c>
      <c r="I36" s="96" t="str">
        <f t="shared" si="0"/>
        <v/>
      </c>
      <c r="J36" s="236" t="str">
        <f t="shared" si="1"/>
        <v/>
      </c>
      <c r="K36" s="246"/>
      <c r="L36" s="247"/>
      <c r="M36" s="617"/>
      <c r="N36" s="617"/>
      <c r="O36" s="617"/>
      <c r="P36" s="617"/>
      <c r="Q36" s="248"/>
      <c r="R36" s="236" t="b">
        <f t="shared" si="2"/>
        <v>0</v>
      </c>
      <c r="S36" s="107"/>
      <c r="T36" s="113" t="s">
        <v>108</v>
      </c>
      <c r="U36" s="116"/>
      <c r="V36" s="120"/>
      <c r="W36" s="120"/>
      <c r="X36" s="120"/>
      <c r="Y36" s="120"/>
      <c r="Z36" s="120"/>
      <c r="AA36" s="120"/>
    </row>
    <row r="37" spans="1:31" ht="19.5" customHeight="1" x14ac:dyDescent="0.2">
      <c r="A37" s="102"/>
      <c r="B37" s="103"/>
      <c r="C37" s="689"/>
      <c r="D37" s="91">
        <v>0</v>
      </c>
      <c r="E37" s="92">
        <v>33</v>
      </c>
      <c r="F37" s="93">
        <f>BEGINBLAD!C36</f>
        <v>0</v>
      </c>
      <c r="G37" s="94">
        <f>'NIVEAU WAARDE - 1e toetsperiode'!H41</f>
        <v>0</v>
      </c>
      <c r="H37" s="95">
        <f>'NIVEAU WAARDE - 2e toetsperiode'!H41</f>
        <v>0</v>
      </c>
      <c r="I37" s="96" t="str">
        <f t="shared" si="0"/>
        <v/>
      </c>
      <c r="J37" s="236" t="str">
        <f t="shared" si="1"/>
        <v/>
      </c>
      <c r="K37" s="246"/>
      <c r="L37" s="247"/>
      <c r="M37" s="617"/>
      <c r="N37" s="617"/>
      <c r="O37" s="617"/>
      <c r="P37" s="617"/>
      <c r="Q37" s="248"/>
      <c r="R37" s="236" t="b">
        <f t="shared" si="2"/>
        <v>0</v>
      </c>
      <c r="S37" s="1191" t="s">
        <v>135</v>
      </c>
      <c r="T37" s="1194">
        <f>'VERRIJKT - 2e periode'!I6</f>
        <v>0</v>
      </c>
      <c r="U37" s="116"/>
      <c r="V37" s="120"/>
      <c r="W37" s="120"/>
      <c r="X37" s="120"/>
      <c r="Y37" s="120"/>
      <c r="Z37" s="120"/>
      <c r="AA37" s="120"/>
    </row>
    <row r="38" spans="1:31" ht="19.5" customHeight="1" x14ac:dyDescent="0.2">
      <c r="A38" s="102"/>
      <c r="B38" s="103"/>
      <c r="C38" s="689"/>
      <c r="D38" s="91">
        <v>0</v>
      </c>
      <c r="E38" s="92">
        <v>34</v>
      </c>
      <c r="F38" s="93">
        <f>BEGINBLAD!C37</f>
        <v>0</v>
      </c>
      <c r="G38" s="94">
        <f>'NIVEAU WAARDE - 1e toetsperiode'!H42</f>
        <v>0</v>
      </c>
      <c r="H38" s="95">
        <f>'NIVEAU WAARDE - 2e toetsperiode'!H42</f>
        <v>0</v>
      </c>
      <c r="I38" s="96" t="str">
        <f t="shared" si="0"/>
        <v/>
      </c>
      <c r="J38" s="236" t="str">
        <f t="shared" si="1"/>
        <v/>
      </c>
      <c r="K38" s="246"/>
      <c r="L38" s="247"/>
      <c r="M38" s="617"/>
      <c r="N38" s="617"/>
      <c r="O38" s="617"/>
      <c r="P38" s="617"/>
      <c r="Q38" s="248"/>
      <c r="R38" s="236" t="b">
        <f t="shared" si="2"/>
        <v>0</v>
      </c>
      <c r="S38" s="1192"/>
      <c r="T38" s="1195"/>
      <c r="U38" s="116"/>
      <c r="V38" s="120"/>
      <c r="W38" s="120"/>
      <c r="X38" s="120"/>
      <c r="Y38" s="120"/>
      <c r="Z38" s="120"/>
      <c r="AA38" s="120"/>
    </row>
    <row r="39" spans="1:31" ht="19.5" customHeight="1" x14ac:dyDescent="0.2">
      <c r="A39" s="102"/>
      <c r="B39" s="103"/>
      <c r="C39" s="689"/>
      <c r="D39" s="91">
        <v>0</v>
      </c>
      <c r="E39" s="92">
        <v>35</v>
      </c>
      <c r="F39" s="93">
        <f>BEGINBLAD!C38</f>
        <v>0</v>
      </c>
      <c r="G39" s="94">
        <f>'NIVEAU WAARDE - 1e toetsperiode'!H43</f>
        <v>0</v>
      </c>
      <c r="H39" s="95">
        <f>'NIVEAU WAARDE - 2e toetsperiode'!H43</f>
        <v>0</v>
      </c>
      <c r="I39" s="96" t="str">
        <f t="shared" si="0"/>
        <v/>
      </c>
      <c r="J39" s="236" t="str">
        <f t="shared" si="1"/>
        <v/>
      </c>
      <c r="K39" s="246"/>
      <c r="L39" s="247"/>
      <c r="M39" s="617"/>
      <c r="N39" s="617"/>
      <c r="O39" s="617"/>
      <c r="P39" s="617"/>
      <c r="Q39" s="248"/>
      <c r="R39" s="236" t="b">
        <f t="shared" si="2"/>
        <v>0</v>
      </c>
      <c r="S39" s="1192" t="s">
        <v>137</v>
      </c>
      <c r="T39" s="1189">
        <f>'VERRIJKT - 2e periode'!I8</f>
        <v>0</v>
      </c>
      <c r="U39" s="116"/>
      <c r="V39" s="120"/>
      <c r="W39" s="120"/>
      <c r="X39" s="120"/>
      <c r="Y39" s="120"/>
      <c r="Z39" s="120"/>
      <c r="AA39" s="120"/>
    </row>
    <row r="40" spans="1:31" s="89" customFormat="1" ht="19.5" customHeight="1" thickBot="1" x14ac:dyDescent="0.25">
      <c r="A40" s="102"/>
      <c r="B40" s="103"/>
      <c r="C40" s="689"/>
      <c r="D40" s="91">
        <v>0</v>
      </c>
      <c r="E40" s="130">
        <v>36</v>
      </c>
      <c r="F40" s="131">
        <f>BEGINBLAD!C39</f>
        <v>0</v>
      </c>
      <c r="G40" s="132">
        <f>'NIVEAU WAARDE - 1e toetsperiode'!H44</f>
        <v>0</v>
      </c>
      <c r="H40" s="133">
        <f>'NIVEAU WAARDE - 2e toetsperiode'!H44</f>
        <v>0</v>
      </c>
      <c r="I40" s="134" t="str">
        <f t="shared" si="0"/>
        <v/>
      </c>
      <c r="J40" s="236" t="str">
        <f t="shared" si="1"/>
        <v/>
      </c>
      <c r="K40" s="250"/>
      <c r="L40" s="251"/>
      <c r="M40" s="618"/>
      <c r="N40" s="618"/>
      <c r="O40" s="618"/>
      <c r="P40" s="618"/>
      <c r="Q40" s="252"/>
      <c r="R40" s="236" t="b">
        <f t="shared" si="2"/>
        <v>0</v>
      </c>
      <c r="S40" s="1192"/>
      <c r="T40" s="1189"/>
      <c r="U40" s="116"/>
      <c r="V40" s="120"/>
      <c r="W40" s="120"/>
      <c r="X40" s="120"/>
      <c r="Y40" s="120"/>
      <c r="Z40" s="120"/>
      <c r="AA40" s="120"/>
      <c r="AB40" s="114"/>
      <c r="AC40" s="114"/>
      <c r="AD40" s="114"/>
      <c r="AE40" s="114"/>
    </row>
    <row r="41" spans="1:31" ht="19.5" customHeight="1" thickBot="1" x14ac:dyDescent="0.25">
      <c r="A41" s="137"/>
      <c r="B41" s="138"/>
      <c r="C41" s="1202" t="s">
        <v>109</v>
      </c>
      <c r="D41" s="1202"/>
      <c r="E41" s="1202"/>
      <c r="F41" s="1202"/>
      <c r="G41" s="1203" t="s">
        <v>108</v>
      </c>
      <c r="H41" s="1203"/>
      <c r="I41" s="1203"/>
      <c r="J41" s="1203"/>
      <c r="K41" s="1203"/>
      <c r="L41" s="1203"/>
      <c r="M41" s="1203"/>
      <c r="N41" s="1203"/>
      <c r="O41" s="1203"/>
      <c r="P41" s="1203"/>
      <c r="Q41" s="1203"/>
      <c r="S41" s="1192"/>
      <c r="T41" s="1189"/>
      <c r="U41" s="116"/>
      <c r="V41" s="139"/>
      <c r="W41" s="139"/>
      <c r="X41" s="139"/>
      <c r="Y41" s="139"/>
      <c r="Z41" s="139"/>
      <c r="AA41" s="139"/>
    </row>
    <row r="42" spans="1:31" ht="19.5" customHeight="1" x14ac:dyDescent="0.2">
      <c r="A42" s="116"/>
      <c r="B42" s="159"/>
      <c r="C42" s="166" t="s">
        <v>214</v>
      </c>
      <c r="D42" s="1262"/>
      <c r="E42" s="1262"/>
      <c r="F42" s="1263"/>
      <c r="G42" s="1207" t="s">
        <v>214</v>
      </c>
      <c r="H42" s="1208"/>
      <c r="I42" s="1231"/>
      <c r="J42" s="1231"/>
      <c r="K42" s="1231"/>
      <c r="L42" s="1231"/>
      <c r="M42" s="1231"/>
      <c r="N42" s="1231"/>
      <c r="O42" s="1231"/>
      <c r="P42" s="1231"/>
      <c r="Q42" s="1232"/>
      <c r="S42" s="1192"/>
      <c r="T42" s="1189"/>
      <c r="U42" s="116"/>
      <c r="V42" s="139"/>
      <c r="W42" s="139"/>
      <c r="X42" s="139"/>
      <c r="Y42" s="139"/>
      <c r="Z42" s="139"/>
      <c r="AA42" s="139"/>
    </row>
    <row r="43" spans="1:31" ht="19.5" customHeight="1" x14ac:dyDescent="0.2">
      <c r="A43" s="116"/>
      <c r="B43" s="160"/>
      <c r="C43" s="167" t="s">
        <v>215</v>
      </c>
      <c r="D43" s="1264"/>
      <c r="E43" s="1264"/>
      <c r="F43" s="1265"/>
      <c r="G43" s="1213" t="s">
        <v>215</v>
      </c>
      <c r="H43" s="1214"/>
      <c r="I43" s="1233"/>
      <c r="J43" s="1233"/>
      <c r="K43" s="1233"/>
      <c r="L43" s="1233"/>
      <c r="M43" s="1233"/>
      <c r="N43" s="1233"/>
      <c r="O43" s="1233"/>
      <c r="P43" s="1233"/>
      <c r="Q43" s="1234"/>
      <c r="S43" s="1192"/>
      <c r="T43" s="1189"/>
      <c r="U43" s="116"/>
      <c r="V43" s="139"/>
      <c r="W43" s="139"/>
      <c r="X43" s="139"/>
      <c r="Y43" s="139"/>
      <c r="Z43" s="139"/>
      <c r="AA43" s="139"/>
    </row>
    <row r="44" spans="1:31" ht="19.5" customHeight="1" x14ac:dyDescent="0.2">
      <c r="A44" s="116"/>
      <c r="B44" s="160"/>
      <c r="C44" s="167" t="s">
        <v>216</v>
      </c>
      <c r="D44" s="1264"/>
      <c r="E44" s="1264"/>
      <c r="F44" s="1265"/>
      <c r="G44" s="1213" t="s">
        <v>216</v>
      </c>
      <c r="H44" s="1214"/>
      <c r="I44" s="1233"/>
      <c r="J44" s="1233"/>
      <c r="K44" s="1233"/>
      <c r="L44" s="1233"/>
      <c r="M44" s="1233"/>
      <c r="N44" s="1233"/>
      <c r="O44" s="1233"/>
      <c r="P44" s="1233"/>
      <c r="Q44" s="1234"/>
      <c r="S44" s="1192"/>
      <c r="T44" s="1189"/>
      <c r="U44" s="116"/>
      <c r="V44" s="139"/>
      <c r="W44" s="139"/>
      <c r="X44" s="139"/>
      <c r="Y44" s="139"/>
      <c r="Z44" s="139"/>
      <c r="AA44" s="139"/>
    </row>
    <row r="45" spans="1:31" ht="19.5" customHeight="1" x14ac:dyDescent="0.2">
      <c r="A45" s="116"/>
      <c r="B45" s="160"/>
      <c r="C45" s="167" t="s">
        <v>217</v>
      </c>
      <c r="D45" s="1264"/>
      <c r="E45" s="1264"/>
      <c r="F45" s="1265"/>
      <c r="G45" s="1213" t="s">
        <v>217</v>
      </c>
      <c r="H45" s="1214"/>
      <c r="I45" s="1233"/>
      <c r="J45" s="1233"/>
      <c r="K45" s="1233"/>
      <c r="L45" s="1233"/>
      <c r="M45" s="1233"/>
      <c r="N45" s="1233"/>
      <c r="O45" s="1233"/>
      <c r="P45" s="1233"/>
      <c r="Q45" s="1234"/>
      <c r="S45" s="1192"/>
      <c r="T45" s="1189"/>
      <c r="U45" s="116"/>
      <c r="V45" s="139"/>
      <c r="W45" s="139"/>
      <c r="X45" s="139"/>
      <c r="Y45" s="139"/>
      <c r="Z45" s="139"/>
      <c r="AA45" s="139"/>
    </row>
    <row r="46" spans="1:31" ht="19.5" customHeight="1" thickBot="1" x14ac:dyDescent="0.25">
      <c r="A46" s="116"/>
      <c r="B46" s="160"/>
      <c r="C46" s="168" t="s">
        <v>218</v>
      </c>
      <c r="D46" s="1236"/>
      <c r="E46" s="1236"/>
      <c r="F46" s="1237"/>
      <c r="G46" s="1225" t="s">
        <v>218</v>
      </c>
      <c r="H46" s="1226"/>
      <c r="I46" s="1238"/>
      <c r="J46" s="1238"/>
      <c r="K46" s="1238"/>
      <c r="L46" s="1238"/>
      <c r="M46" s="1238"/>
      <c r="N46" s="1238"/>
      <c r="O46" s="1238"/>
      <c r="P46" s="1238"/>
      <c r="Q46" s="1239"/>
      <c r="S46" s="1193"/>
      <c r="T46" s="1190"/>
      <c r="U46" s="116"/>
      <c r="V46" s="120"/>
      <c r="W46" s="120"/>
      <c r="X46" s="120"/>
      <c r="Y46" s="120"/>
      <c r="Z46" s="120"/>
      <c r="AA46" s="120"/>
    </row>
    <row r="47" spans="1:31" x14ac:dyDescent="0.2">
      <c r="B47" s="140"/>
      <c r="C47" s="145"/>
      <c r="D47" s="499"/>
      <c r="E47" s="500"/>
      <c r="F47" s="500"/>
      <c r="G47" s="500"/>
      <c r="H47" s="197"/>
      <c r="I47" s="142"/>
      <c r="J47" s="142"/>
      <c r="K47" s="1235" t="s">
        <v>213</v>
      </c>
      <c r="L47" s="1235"/>
      <c r="M47" s="1235"/>
      <c r="N47" s="1235"/>
      <c r="O47" s="1235"/>
      <c r="P47" s="1235"/>
      <c r="Q47" s="1235"/>
      <c r="R47" s="141"/>
      <c r="S47" s="151"/>
      <c r="T47" s="151"/>
      <c r="U47" s="116"/>
      <c r="V47" s="120"/>
      <c r="W47" s="120"/>
      <c r="X47" s="120"/>
      <c r="Y47" s="120"/>
      <c r="Z47" s="120"/>
      <c r="AA47" s="120"/>
    </row>
    <row r="48" spans="1:31" x14ac:dyDescent="0.2">
      <c r="B48" s="161"/>
      <c r="C48" s="154"/>
      <c r="D48" s="208">
        <f>BEGINBLAD!$D$40</f>
        <v>26</v>
      </c>
      <c r="E48" s="199"/>
      <c r="F48" s="200" t="s">
        <v>288</v>
      </c>
      <c r="G48" s="207">
        <f>H48/$D$49</f>
        <v>0.11538461538461539</v>
      </c>
      <c r="H48" s="111">
        <f>COUNTIF($I$5:$I$40,"A-1+")</f>
        <v>3</v>
      </c>
      <c r="I48" s="111"/>
      <c r="J48" s="198" t="s">
        <v>289</v>
      </c>
      <c r="K48" s="198"/>
      <c r="L48" s="198"/>
      <c r="M48" s="198"/>
      <c r="N48" s="198"/>
      <c r="O48" s="198"/>
      <c r="P48" s="198"/>
      <c r="Q48" s="222">
        <f>G48+G49+G50+G51+G52</f>
        <v>0.57692307692307687</v>
      </c>
      <c r="R48" s="222">
        <v>1</v>
      </c>
      <c r="S48" s="223"/>
      <c r="T48" s="141"/>
      <c r="U48" s="116"/>
      <c r="V48" s="120"/>
      <c r="W48" s="120"/>
      <c r="X48" s="120"/>
      <c r="Y48" s="120"/>
      <c r="Z48" s="120"/>
      <c r="AA48" s="120"/>
    </row>
    <row r="49" spans="2:27" x14ac:dyDescent="0.2">
      <c r="B49" s="161"/>
      <c r="C49" s="154"/>
      <c r="D49" s="205">
        <f>COUNTIF(H5:H40,"&gt;0")</f>
        <v>26</v>
      </c>
      <c r="E49" s="199"/>
      <c r="F49" s="200" t="s">
        <v>290</v>
      </c>
      <c r="G49" s="207">
        <f>H49/$D$49</f>
        <v>0.11538461538461539</v>
      </c>
      <c r="H49" s="111">
        <f>COUNTIF($I$5:$I$40,"A-1")</f>
        <v>3</v>
      </c>
      <c r="I49" s="111"/>
      <c r="J49" s="198"/>
      <c r="K49" s="198"/>
      <c r="L49" s="198"/>
      <c r="M49" s="198"/>
      <c r="N49" s="198"/>
      <c r="O49" s="198"/>
      <c r="P49" s="198"/>
      <c r="Q49" s="222"/>
      <c r="R49" s="222">
        <v>0.7</v>
      </c>
      <c r="S49" s="224"/>
      <c r="T49" s="153"/>
      <c r="U49" s="116"/>
      <c r="V49" s="120"/>
      <c r="W49" s="120"/>
      <c r="X49" s="120"/>
      <c r="Y49" s="120"/>
      <c r="Z49" s="120"/>
      <c r="AA49" s="120"/>
    </row>
    <row r="50" spans="2:27" x14ac:dyDescent="0.2">
      <c r="B50" s="161"/>
      <c r="C50" s="154"/>
      <c r="D50" s="201"/>
      <c r="E50" s="199"/>
      <c r="F50" s="202" t="s">
        <v>291</v>
      </c>
      <c r="G50" s="207">
        <f>(H50+I50)/$D$49</f>
        <v>0.15384615384615385</v>
      </c>
      <c r="H50" s="111">
        <f>COUNTIF($I$5:$I$40,"A-2")</f>
        <v>1</v>
      </c>
      <c r="I50" s="111">
        <f>COUNTIF($I$5:$I$40,"B-2")</f>
        <v>3</v>
      </c>
      <c r="J50" s="198"/>
      <c r="K50" s="198"/>
      <c r="L50" s="198"/>
      <c r="M50" s="198"/>
      <c r="N50" s="198"/>
      <c r="O50" s="198"/>
      <c r="P50" s="198"/>
      <c r="Q50" s="222"/>
      <c r="R50" s="222">
        <v>0.6</v>
      </c>
      <c r="S50" s="224"/>
      <c r="T50" s="153"/>
      <c r="U50" s="116"/>
      <c r="V50" s="120"/>
      <c r="W50" s="120"/>
      <c r="X50" s="120"/>
      <c r="Y50" s="120"/>
      <c r="Z50" s="120"/>
      <c r="AA50" s="120"/>
    </row>
    <row r="51" spans="2:27" x14ac:dyDescent="0.2">
      <c r="B51" s="161"/>
      <c r="C51" s="154"/>
      <c r="D51" s="201"/>
      <c r="E51" s="199"/>
      <c r="F51" s="200" t="s">
        <v>292</v>
      </c>
      <c r="G51" s="207">
        <f>H51/$D$49</f>
        <v>0.11538461538461539</v>
      </c>
      <c r="H51" s="111">
        <f>COUNTIF($I$5:$I$40,"B-3")</f>
        <v>3</v>
      </c>
      <c r="I51" s="111"/>
      <c r="J51" s="198"/>
      <c r="K51" s="198"/>
      <c r="L51" s="198"/>
      <c r="M51" s="198"/>
      <c r="N51" s="198"/>
      <c r="O51" s="198"/>
      <c r="P51" s="198"/>
      <c r="Q51" s="222"/>
      <c r="R51" s="222">
        <f>$Q$48</f>
        <v>0.57692307692307687</v>
      </c>
      <c r="S51" s="224"/>
      <c r="T51" s="153"/>
      <c r="U51" s="116"/>
      <c r="V51" s="120"/>
      <c r="W51" s="120"/>
      <c r="X51" s="120"/>
      <c r="Y51" s="120"/>
      <c r="Z51" s="120"/>
      <c r="AA51" s="120"/>
    </row>
    <row r="52" spans="2:27" x14ac:dyDescent="0.2">
      <c r="B52" s="161"/>
      <c r="C52" s="154"/>
      <c r="D52" s="201"/>
      <c r="E52" s="199"/>
      <c r="F52" s="200" t="s">
        <v>293</v>
      </c>
      <c r="G52" s="207">
        <f>H52/$D$49</f>
        <v>7.6923076923076927E-2</v>
      </c>
      <c r="H52" s="111">
        <f>COUNTIF($I$5:$I$40,"c-3")</f>
        <v>2</v>
      </c>
      <c r="I52" s="111"/>
      <c r="J52" s="198" t="s">
        <v>294</v>
      </c>
      <c r="K52" s="198"/>
      <c r="L52" s="198"/>
      <c r="M52" s="198"/>
      <c r="N52" s="198"/>
      <c r="O52" s="198"/>
      <c r="P52" s="198"/>
      <c r="Q52" s="222">
        <f>G53+G54+G55+G57</f>
        <v>0.42307692307692313</v>
      </c>
      <c r="R52" s="225"/>
      <c r="S52" s="224"/>
      <c r="T52" s="153"/>
      <c r="U52" s="116"/>
      <c r="V52" s="120"/>
      <c r="W52" s="120"/>
      <c r="X52" s="120"/>
      <c r="Y52" s="120"/>
      <c r="Z52" s="120"/>
      <c r="AA52" s="120"/>
    </row>
    <row r="53" spans="2:27" x14ac:dyDescent="0.2">
      <c r="B53" s="161"/>
      <c r="C53" s="154"/>
      <c r="D53" s="201"/>
      <c r="E53" s="199"/>
      <c r="F53" s="202" t="s">
        <v>295</v>
      </c>
      <c r="G53" s="207">
        <f>H53/$D$49</f>
        <v>0.26923076923076922</v>
      </c>
      <c r="H53" s="111">
        <f>COUNTIF($I$5:$I$40,"c-4")</f>
        <v>7</v>
      </c>
      <c r="I53" s="208"/>
      <c r="J53" s="198"/>
      <c r="K53" s="198"/>
      <c r="L53" s="198"/>
      <c r="M53" s="198"/>
      <c r="N53" s="198"/>
      <c r="O53" s="198"/>
      <c r="P53" s="198"/>
      <c r="Q53" s="222"/>
      <c r="R53" s="225"/>
      <c r="S53" s="224"/>
      <c r="T53" s="153"/>
      <c r="U53" s="116"/>
      <c r="V53" s="120"/>
      <c r="W53" s="120"/>
      <c r="X53" s="120"/>
      <c r="Y53" s="120"/>
      <c r="Z53" s="120"/>
      <c r="AA53" s="120"/>
    </row>
    <row r="54" spans="2:27" x14ac:dyDescent="0.2">
      <c r="B54" s="161"/>
      <c r="C54" s="154"/>
      <c r="D54" s="201"/>
      <c r="E54" s="199"/>
      <c r="F54" s="199" t="s">
        <v>296</v>
      </c>
      <c r="G54" s="207">
        <f>H54/$D$49</f>
        <v>0</v>
      </c>
      <c r="H54" s="111">
        <f>COUNTIF($I$5:$I$40,"d-4")</f>
        <v>0</v>
      </c>
      <c r="I54" s="208"/>
      <c r="J54" s="198"/>
      <c r="K54" s="198"/>
      <c r="L54" s="198"/>
      <c r="M54" s="198"/>
      <c r="N54" s="198"/>
      <c r="O54" s="198"/>
      <c r="P54" s="198"/>
      <c r="Q54" s="222"/>
      <c r="R54" s="225"/>
      <c r="S54" s="224"/>
      <c r="T54" s="153"/>
      <c r="U54" s="116"/>
      <c r="V54" s="120"/>
      <c r="W54" s="120"/>
      <c r="X54" s="120"/>
      <c r="Y54" s="120"/>
      <c r="Z54" s="120"/>
      <c r="AA54" s="120"/>
    </row>
    <row r="55" spans="2:27" x14ac:dyDescent="0.2">
      <c r="B55" s="161"/>
      <c r="C55" s="154"/>
      <c r="D55" s="201"/>
      <c r="E55" s="199"/>
      <c r="F55" s="200" t="s">
        <v>297</v>
      </c>
      <c r="G55" s="207">
        <f>(H55+I55)/$D$49</f>
        <v>3.8461538461538464E-2</v>
      </c>
      <c r="H55" s="111">
        <f>COUNTIF($I$5:$I$40,"d-5")</f>
        <v>1</v>
      </c>
      <c r="I55" s="111">
        <f>COUNTIF($I$5:$I$40,"e-5")</f>
        <v>0</v>
      </c>
      <c r="J55" s="198"/>
      <c r="K55" s="198"/>
      <c r="L55" s="198"/>
      <c r="M55" s="198"/>
      <c r="N55" s="198"/>
      <c r="O55" s="198"/>
      <c r="P55" s="198"/>
      <c r="Q55" s="222"/>
      <c r="R55" s="225"/>
      <c r="S55" s="224"/>
      <c r="T55" s="153"/>
      <c r="U55" s="116"/>
      <c r="V55" s="120"/>
      <c r="W55" s="120"/>
      <c r="X55" s="120"/>
      <c r="Y55" s="120"/>
      <c r="Z55" s="120"/>
      <c r="AA55" s="120"/>
    </row>
    <row r="56" spans="2:27" x14ac:dyDescent="0.2">
      <c r="B56" s="161"/>
      <c r="C56" s="154"/>
      <c r="D56" s="201"/>
      <c r="E56" s="199"/>
      <c r="F56" s="200"/>
      <c r="G56" s="207"/>
      <c r="H56" s="111"/>
      <c r="I56" s="111"/>
      <c r="J56" s="198" t="s">
        <v>50</v>
      </c>
      <c r="K56" s="198"/>
      <c r="L56" s="198"/>
      <c r="M56" s="198"/>
      <c r="N56" s="198"/>
      <c r="O56" s="198"/>
      <c r="P56" s="198"/>
      <c r="Q56" s="222">
        <f>Q48+Q52</f>
        <v>1</v>
      </c>
      <c r="R56" s="1209"/>
      <c r="S56" s="224"/>
      <c r="T56" s="153"/>
      <c r="U56" s="116"/>
      <c r="V56" s="120"/>
      <c r="W56" s="120"/>
      <c r="X56" s="120"/>
      <c r="Y56" s="120"/>
      <c r="Z56" s="120"/>
      <c r="AA56" s="120"/>
    </row>
    <row r="57" spans="2:27" x14ac:dyDescent="0.2">
      <c r="B57" s="161"/>
      <c r="C57" s="154"/>
      <c r="D57" s="201"/>
      <c r="E57" s="199"/>
      <c r="F57" s="203" t="s">
        <v>298</v>
      </c>
      <c r="G57" s="207">
        <f>H57/$D$49</f>
        <v>0.11538461538461539</v>
      </c>
      <c r="H57" s="111">
        <f>COUNTIF($I$5:$I$40,"e-5-")</f>
        <v>3</v>
      </c>
      <c r="I57" s="111"/>
      <c r="J57" s="198"/>
      <c r="K57" s="198"/>
      <c r="L57" s="198"/>
      <c r="M57" s="198"/>
      <c r="N57" s="198"/>
      <c r="O57" s="198"/>
      <c r="P57" s="198"/>
      <c r="Q57" s="222"/>
      <c r="R57" s="1209"/>
      <c r="S57" s="224"/>
      <c r="T57" s="153"/>
      <c r="U57" s="116"/>
      <c r="V57" s="120"/>
      <c r="W57" s="120"/>
      <c r="X57" s="120"/>
      <c r="Y57" s="120"/>
      <c r="Z57" s="120"/>
      <c r="AA57" s="120"/>
    </row>
    <row r="58" spans="2:27" x14ac:dyDescent="0.2">
      <c r="B58" s="161"/>
      <c r="C58" s="145"/>
      <c r="D58" s="201"/>
      <c r="E58" s="199"/>
      <c r="F58" s="200" t="s">
        <v>50</v>
      </c>
      <c r="G58" s="204">
        <f>SUM(G48:G57)</f>
        <v>0.99999999999999989</v>
      </c>
      <c r="H58" s="693">
        <f>SUM(H48:H57)</f>
        <v>23</v>
      </c>
      <c r="I58" s="693">
        <f>SUM(I48:I57)</f>
        <v>3</v>
      </c>
      <c r="J58" s="208"/>
      <c r="K58" s="208"/>
      <c r="L58" s="223"/>
      <c r="M58" s="223"/>
      <c r="N58" s="223"/>
      <c r="O58" s="223"/>
      <c r="P58" s="223"/>
      <c r="Q58" s="223"/>
      <c r="R58" s="223"/>
      <c r="S58" s="223"/>
      <c r="T58" s="151"/>
      <c r="U58" s="116"/>
      <c r="V58" s="120"/>
      <c r="W58" s="120"/>
      <c r="X58" s="120"/>
      <c r="Y58" s="120"/>
      <c r="Z58" s="120"/>
      <c r="AA58" s="120"/>
    </row>
    <row r="59" spans="2:27" x14ac:dyDescent="0.2">
      <c r="B59" s="161"/>
      <c r="C59" s="145"/>
      <c r="D59" s="201"/>
      <c r="E59" s="199"/>
      <c r="F59" s="196"/>
      <c r="G59" s="196"/>
      <c r="H59" s="208">
        <f>SUM(H58+I58)</f>
        <v>26</v>
      </c>
      <c r="I59" s="208"/>
      <c r="J59" s="208"/>
      <c r="K59" s="208"/>
      <c r="L59" s="223"/>
      <c r="M59" s="223"/>
      <c r="N59" s="223"/>
      <c r="O59" s="223"/>
      <c r="P59" s="223"/>
      <c r="Q59" s="223"/>
      <c r="R59" s="223"/>
      <c r="S59" s="223"/>
      <c r="T59" s="151"/>
      <c r="U59" s="116"/>
      <c r="V59" s="120"/>
      <c r="W59" s="120"/>
      <c r="X59" s="120"/>
      <c r="Y59" s="120"/>
      <c r="Z59" s="120"/>
      <c r="AA59" s="120"/>
    </row>
    <row r="60" spans="2:27" x14ac:dyDescent="0.2">
      <c r="B60" s="161"/>
      <c r="C60" s="145"/>
      <c r="D60" s="205"/>
      <c r="E60" s="196"/>
      <c r="F60" s="199"/>
      <c r="G60" s="207"/>
      <c r="H60" s="197"/>
      <c r="I60" s="197"/>
      <c r="J60" s="197"/>
      <c r="K60" s="197"/>
      <c r="L60" s="223"/>
      <c r="M60" s="223"/>
      <c r="N60" s="223"/>
      <c r="O60" s="223"/>
      <c r="P60" s="223"/>
      <c r="Q60" s="223"/>
      <c r="R60" s="223"/>
      <c r="S60" s="223"/>
      <c r="T60" s="151"/>
      <c r="U60" s="116"/>
      <c r="V60" s="120"/>
      <c r="W60" s="120"/>
      <c r="X60" s="120"/>
      <c r="Y60" s="120"/>
      <c r="Z60" s="120"/>
      <c r="AA60" s="120"/>
    </row>
    <row r="61" spans="2:27" x14ac:dyDescent="0.2">
      <c r="B61" s="161"/>
      <c r="C61" s="145"/>
      <c r="D61" s="205"/>
      <c r="E61" s="196"/>
      <c r="F61" s="206"/>
      <c r="G61" s="207"/>
      <c r="H61" s="197"/>
      <c r="I61" s="197"/>
      <c r="J61" s="197"/>
      <c r="K61" s="197"/>
      <c r="L61" s="223"/>
      <c r="M61" s="223"/>
      <c r="N61" s="223"/>
      <c r="O61" s="223"/>
      <c r="P61" s="223"/>
      <c r="Q61" s="223"/>
      <c r="R61" s="223"/>
      <c r="S61" s="223"/>
      <c r="T61" s="151"/>
      <c r="U61" s="116"/>
      <c r="V61" s="120"/>
      <c r="W61" s="120"/>
      <c r="X61" s="120"/>
      <c r="Y61" s="120"/>
      <c r="Z61" s="120"/>
      <c r="AA61" s="120"/>
    </row>
    <row r="62" spans="2:27" x14ac:dyDescent="0.2">
      <c r="B62" s="162"/>
      <c r="C62" s="169"/>
      <c r="D62" s="144"/>
      <c r="E62" s="145"/>
      <c r="F62" s="170"/>
      <c r="G62" s="171"/>
      <c r="H62" s="142"/>
      <c r="I62" s="142"/>
      <c r="J62" s="142"/>
      <c r="K62" s="142"/>
      <c r="L62" s="141"/>
      <c r="M62" s="141"/>
      <c r="N62" s="141"/>
      <c r="O62" s="141"/>
      <c r="P62" s="141"/>
      <c r="Q62" s="141"/>
      <c r="R62" s="141"/>
      <c r="S62" s="141"/>
      <c r="T62" s="151"/>
      <c r="U62" s="116"/>
      <c r="V62" s="120"/>
      <c r="W62" s="120"/>
      <c r="X62" s="120"/>
      <c r="Y62" s="120"/>
      <c r="Z62" s="120"/>
      <c r="AA62" s="120"/>
    </row>
    <row r="63" spans="2:27" x14ac:dyDescent="0.2">
      <c r="B63" s="161"/>
      <c r="C63" s="145"/>
      <c r="D63" s="144"/>
      <c r="E63" s="145"/>
      <c r="F63" s="145"/>
      <c r="G63" s="145"/>
      <c r="H63" s="142"/>
      <c r="I63" s="142"/>
      <c r="J63" s="142"/>
      <c r="K63" s="142"/>
      <c r="L63" s="141"/>
      <c r="M63" s="141"/>
      <c r="N63" s="141"/>
      <c r="O63" s="141"/>
      <c r="P63" s="141"/>
      <c r="Q63" s="141"/>
      <c r="R63" s="141"/>
      <c r="S63" s="141"/>
      <c r="T63" s="151"/>
      <c r="U63" s="116"/>
      <c r="V63" s="120"/>
      <c r="W63" s="120"/>
      <c r="X63" s="120"/>
      <c r="Y63" s="120"/>
      <c r="Z63" s="120"/>
      <c r="AA63" s="120"/>
    </row>
    <row r="64" spans="2:27" x14ac:dyDescent="0.2">
      <c r="B64" s="161"/>
      <c r="C64" s="143"/>
      <c r="D64" s="144"/>
      <c r="E64" s="145"/>
      <c r="F64" s="145"/>
      <c r="G64" s="145"/>
      <c r="H64" s="142"/>
      <c r="I64" s="142"/>
      <c r="J64" s="142"/>
      <c r="K64" s="142"/>
      <c r="L64" s="143"/>
      <c r="M64" s="143"/>
      <c r="N64" s="143"/>
      <c r="O64" s="143"/>
      <c r="P64" s="143"/>
      <c r="Q64" s="141"/>
      <c r="R64" s="141"/>
      <c r="S64" s="141"/>
      <c r="T64" s="141"/>
      <c r="U64" s="116"/>
      <c r="V64" s="120"/>
      <c r="W64" s="120"/>
      <c r="X64" s="120"/>
      <c r="Y64" s="120"/>
      <c r="Z64" s="120"/>
      <c r="AA64" s="120"/>
    </row>
    <row r="65" spans="3:28" x14ac:dyDescent="0.2">
      <c r="C65" s="143"/>
      <c r="D65" s="144"/>
      <c r="E65" s="145"/>
      <c r="F65" s="145"/>
      <c r="G65" s="145"/>
      <c r="H65" s="142"/>
      <c r="I65" s="142"/>
      <c r="J65" s="142"/>
      <c r="K65" s="142"/>
      <c r="L65" s="143"/>
      <c r="M65" s="143"/>
      <c r="N65" s="143"/>
      <c r="O65" s="143"/>
      <c r="P65" s="143"/>
      <c r="Q65" s="141"/>
      <c r="R65" s="141"/>
      <c r="S65" s="141"/>
      <c r="T65" s="141"/>
      <c r="U65" s="116"/>
      <c r="V65" s="120"/>
      <c r="W65" s="120"/>
      <c r="X65" s="120"/>
      <c r="Y65" s="120"/>
      <c r="Z65" s="120"/>
      <c r="AA65" s="120"/>
    </row>
    <row r="66" spans="3:28" x14ac:dyDescent="0.2">
      <c r="C66" s="143"/>
      <c r="D66" s="144"/>
      <c r="E66" s="145"/>
      <c r="F66" s="145"/>
      <c r="G66" s="145"/>
      <c r="H66" s="142"/>
      <c r="I66" s="142"/>
      <c r="J66" s="142"/>
      <c r="K66" s="142"/>
      <c r="L66" s="143"/>
      <c r="M66" s="143"/>
      <c r="N66" s="143"/>
      <c r="O66" s="143"/>
      <c r="P66" s="143"/>
      <c r="Q66" s="141"/>
      <c r="R66" s="155"/>
      <c r="S66" s="141"/>
      <c r="T66" s="141"/>
      <c r="U66" s="116"/>
      <c r="V66" s="120"/>
      <c r="W66" s="120"/>
      <c r="X66" s="120"/>
      <c r="Y66" s="120"/>
      <c r="Z66" s="120"/>
      <c r="AA66" s="120"/>
      <c r="AB66" s="146"/>
    </row>
    <row r="67" spans="3:28" ht="20.25" x14ac:dyDescent="0.2">
      <c r="C67" s="145"/>
      <c r="D67" s="154"/>
      <c r="E67" s="145"/>
      <c r="F67" s="145"/>
      <c r="G67" s="145"/>
      <c r="H67" s="142"/>
      <c r="I67" s="142"/>
      <c r="J67" s="156"/>
      <c r="K67" s="142"/>
      <c r="L67" s="145"/>
      <c r="M67" s="145"/>
      <c r="N67" s="145"/>
      <c r="O67" s="145"/>
      <c r="P67" s="145"/>
      <c r="Q67" s="141"/>
      <c r="R67" s="141"/>
      <c r="S67" s="155"/>
      <c r="T67" s="155"/>
      <c r="U67" s="116"/>
      <c r="V67" s="117"/>
      <c r="W67" s="117"/>
      <c r="X67" s="117"/>
      <c r="Y67" s="118"/>
      <c r="Z67" s="118"/>
      <c r="AA67" s="118"/>
      <c r="AB67" s="119"/>
    </row>
    <row r="68" spans="3:28" ht="20.25" x14ac:dyDescent="0.2">
      <c r="C68" s="145"/>
      <c r="D68" s="154"/>
      <c r="E68" s="145"/>
      <c r="F68" s="145"/>
      <c r="G68" s="145"/>
      <c r="H68" s="142"/>
      <c r="I68" s="142"/>
      <c r="J68" s="156"/>
      <c r="K68" s="142"/>
      <c r="L68" s="145"/>
      <c r="M68" s="145"/>
      <c r="N68" s="145"/>
      <c r="O68" s="145"/>
      <c r="P68" s="145"/>
      <c r="Q68" s="141"/>
      <c r="R68" s="141"/>
      <c r="S68" s="141"/>
      <c r="T68" s="141"/>
      <c r="U68" s="116"/>
      <c r="V68" s="120"/>
      <c r="W68" s="120"/>
      <c r="X68" s="120"/>
      <c r="Y68" s="120"/>
      <c r="Z68" s="120"/>
      <c r="AA68" s="120"/>
    </row>
    <row r="69" spans="3:28" ht="20.25" x14ac:dyDescent="0.2">
      <c r="C69" s="143"/>
      <c r="D69" s="154"/>
      <c r="E69" s="143"/>
      <c r="F69" s="143"/>
      <c r="G69" s="143"/>
      <c r="H69" s="142"/>
      <c r="I69" s="142"/>
      <c r="J69" s="156"/>
      <c r="K69" s="142"/>
      <c r="L69" s="143"/>
      <c r="M69" s="143"/>
      <c r="N69" s="143"/>
      <c r="O69" s="143"/>
      <c r="P69" s="143"/>
      <c r="Q69" s="141"/>
      <c r="R69" s="141"/>
      <c r="S69" s="141"/>
      <c r="T69" s="141"/>
      <c r="U69" s="116"/>
      <c r="V69" s="120"/>
      <c r="W69" s="120"/>
      <c r="X69" s="120"/>
      <c r="Y69" s="120"/>
      <c r="Z69" s="120"/>
      <c r="AA69" s="120"/>
    </row>
    <row r="70" spans="3:28" ht="20.25" x14ac:dyDescent="0.2">
      <c r="C70" s="143"/>
      <c r="D70" s="154"/>
      <c r="E70" s="143"/>
      <c r="F70" s="143"/>
      <c r="G70" s="143"/>
      <c r="H70" s="142"/>
      <c r="I70" s="142"/>
      <c r="J70" s="156"/>
      <c r="K70" s="142"/>
      <c r="L70" s="143"/>
      <c r="M70" s="143"/>
      <c r="N70" s="143"/>
      <c r="O70" s="143"/>
      <c r="P70" s="143"/>
      <c r="Q70" s="141"/>
      <c r="R70" s="141"/>
      <c r="S70" s="141"/>
      <c r="T70" s="141"/>
      <c r="U70" s="116"/>
      <c r="V70" s="120"/>
      <c r="W70" s="120"/>
      <c r="X70" s="120"/>
      <c r="Y70" s="120"/>
      <c r="Z70" s="120"/>
      <c r="AA70" s="120"/>
    </row>
    <row r="71" spans="3:28" ht="20.25" x14ac:dyDescent="0.2">
      <c r="C71" s="143"/>
      <c r="D71" s="154"/>
      <c r="E71" s="143"/>
      <c r="F71" s="143"/>
      <c r="G71" s="143"/>
      <c r="H71" s="142"/>
      <c r="I71" s="142"/>
      <c r="J71" s="156"/>
      <c r="K71" s="142"/>
      <c r="L71" s="143"/>
      <c r="M71" s="143"/>
      <c r="N71" s="143"/>
      <c r="O71" s="143"/>
      <c r="P71" s="143"/>
      <c r="Q71" s="141"/>
      <c r="R71" s="141"/>
      <c r="S71" s="141"/>
      <c r="T71" s="141"/>
      <c r="U71" s="116"/>
      <c r="V71" s="120"/>
      <c r="W71" s="120"/>
      <c r="X71" s="120"/>
      <c r="Y71" s="120"/>
      <c r="Z71" s="120"/>
      <c r="AA71" s="120"/>
    </row>
    <row r="72" spans="3:28" x14ac:dyDescent="0.2">
      <c r="C72" s="143"/>
      <c r="D72" s="144"/>
      <c r="E72" s="143"/>
      <c r="F72" s="143"/>
      <c r="G72" s="143"/>
      <c r="H72" s="142"/>
      <c r="I72" s="142"/>
      <c r="J72" s="142"/>
      <c r="K72" s="142"/>
      <c r="L72" s="143"/>
      <c r="M72" s="143"/>
      <c r="N72" s="143"/>
      <c r="O72" s="143"/>
      <c r="P72" s="143"/>
      <c r="Q72" s="141"/>
      <c r="R72" s="141"/>
      <c r="S72" s="141"/>
      <c r="T72" s="141"/>
      <c r="U72" s="116"/>
      <c r="V72" s="120"/>
      <c r="W72" s="120"/>
      <c r="X72" s="120"/>
      <c r="Y72" s="120"/>
      <c r="Z72" s="120"/>
      <c r="AA72" s="120"/>
    </row>
    <row r="73" spans="3:28" x14ac:dyDescent="0.2">
      <c r="C73" s="143"/>
      <c r="D73" s="144"/>
      <c r="E73" s="143"/>
      <c r="F73" s="143"/>
      <c r="G73" s="143"/>
      <c r="H73" s="142"/>
      <c r="I73" s="142"/>
      <c r="J73" s="142"/>
      <c r="K73" s="142"/>
      <c r="L73" s="143"/>
      <c r="M73" s="143"/>
      <c r="N73" s="143"/>
      <c r="O73" s="143"/>
      <c r="P73" s="143"/>
      <c r="Q73" s="141"/>
      <c r="R73" s="141"/>
      <c r="S73" s="141"/>
      <c r="T73" s="141"/>
      <c r="U73" s="116"/>
      <c r="V73" s="120"/>
      <c r="W73" s="120"/>
      <c r="X73" s="120"/>
      <c r="Y73" s="120"/>
      <c r="Z73" s="120"/>
      <c r="AA73" s="120"/>
    </row>
    <row r="74" spans="3:28" x14ac:dyDescent="0.2">
      <c r="C74" s="143"/>
      <c r="D74" s="144"/>
      <c r="E74" s="143"/>
      <c r="F74" s="143"/>
      <c r="G74" s="143"/>
      <c r="H74" s="142"/>
      <c r="I74" s="142"/>
      <c r="J74" s="142"/>
      <c r="K74" s="142"/>
      <c r="L74" s="143"/>
      <c r="M74" s="143"/>
      <c r="N74" s="143"/>
      <c r="O74" s="143"/>
      <c r="P74" s="143"/>
      <c r="Q74" s="141"/>
      <c r="R74" s="141"/>
      <c r="S74" s="141"/>
      <c r="T74" s="141"/>
      <c r="U74" s="116"/>
      <c r="V74" s="120"/>
      <c r="W74" s="120"/>
      <c r="X74" s="120"/>
      <c r="Y74" s="120"/>
      <c r="Z74" s="120"/>
      <c r="AA74" s="120"/>
    </row>
    <row r="75" spans="3:28" x14ac:dyDescent="0.2">
      <c r="C75" s="143"/>
      <c r="D75" s="144"/>
      <c r="E75" s="143"/>
      <c r="F75" s="143"/>
      <c r="G75" s="143"/>
      <c r="H75" s="142"/>
      <c r="I75" s="142"/>
      <c r="J75" s="142"/>
      <c r="K75" s="142"/>
      <c r="L75" s="143"/>
      <c r="M75" s="143"/>
      <c r="N75" s="143"/>
      <c r="O75" s="143"/>
      <c r="P75" s="143"/>
      <c r="Q75" s="141"/>
      <c r="R75" s="141"/>
      <c r="S75" s="141"/>
      <c r="T75" s="141"/>
      <c r="U75" s="116"/>
      <c r="V75" s="120"/>
      <c r="W75" s="120"/>
      <c r="X75" s="120"/>
      <c r="Y75" s="120"/>
      <c r="Z75" s="120"/>
      <c r="AA75" s="120"/>
    </row>
    <row r="76" spans="3:28" x14ac:dyDescent="0.2">
      <c r="C76" s="143"/>
      <c r="D76" s="144"/>
      <c r="E76" s="143"/>
      <c r="F76" s="143"/>
      <c r="G76" s="143"/>
      <c r="H76" s="142"/>
      <c r="I76" s="142"/>
      <c r="J76" s="142"/>
      <c r="K76" s="142"/>
      <c r="L76" s="143"/>
      <c r="M76" s="143"/>
      <c r="N76" s="143"/>
      <c r="O76" s="143"/>
      <c r="P76" s="143"/>
      <c r="Q76" s="141"/>
      <c r="R76" s="141"/>
      <c r="S76" s="141"/>
      <c r="T76" s="141"/>
      <c r="U76" s="116"/>
      <c r="V76" s="120"/>
      <c r="W76" s="120"/>
      <c r="X76" s="120"/>
      <c r="Y76" s="120"/>
      <c r="Z76" s="120"/>
      <c r="AA76" s="120"/>
    </row>
    <row r="77" spans="3:28" x14ac:dyDescent="0.2">
      <c r="C77" s="143"/>
      <c r="D77" s="144"/>
      <c r="E77" s="143"/>
      <c r="F77" s="143"/>
      <c r="G77" s="143"/>
      <c r="H77" s="142"/>
      <c r="I77" s="142"/>
      <c r="J77" s="142"/>
      <c r="K77" s="142"/>
      <c r="L77" s="143"/>
      <c r="M77" s="143"/>
      <c r="N77" s="143"/>
      <c r="O77" s="143"/>
      <c r="P77" s="143"/>
      <c r="Q77" s="141"/>
      <c r="R77" s="141"/>
      <c r="S77" s="141"/>
      <c r="T77" s="141"/>
      <c r="U77" s="116"/>
      <c r="V77" s="120"/>
      <c r="W77" s="120"/>
      <c r="X77" s="120"/>
      <c r="Y77" s="120"/>
      <c r="Z77" s="120"/>
      <c r="AA77" s="120"/>
    </row>
    <row r="78" spans="3:28" x14ac:dyDescent="0.2">
      <c r="C78" s="143"/>
      <c r="D78" s="144"/>
      <c r="E78" s="143"/>
      <c r="F78" s="143"/>
      <c r="G78" s="143"/>
      <c r="H78" s="142"/>
      <c r="I78" s="142"/>
      <c r="J78" s="142"/>
      <c r="K78" s="142"/>
      <c r="L78" s="143"/>
      <c r="M78" s="143"/>
      <c r="N78" s="143"/>
      <c r="O78" s="143"/>
      <c r="P78" s="143"/>
      <c r="Q78" s="141"/>
      <c r="R78" s="141"/>
      <c r="S78" s="141"/>
      <c r="T78" s="141"/>
      <c r="U78" s="116"/>
      <c r="V78" s="120"/>
      <c r="W78" s="120"/>
      <c r="X78" s="120"/>
      <c r="Y78" s="120"/>
      <c r="Z78" s="120"/>
      <c r="AA78" s="120"/>
    </row>
    <row r="79" spans="3:28" x14ac:dyDescent="0.2">
      <c r="C79" s="143"/>
      <c r="D79" s="144"/>
      <c r="E79" s="143"/>
      <c r="F79" s="143"/>
      <c r="G79" s="143"/>
      <c r="H79" s="142"/>
      <c r="I79" s="142"/>
      <c r="J79" s="142"/>
      <c r="K79" s="142"/>
      <c r="L79" s="143"/>
      <c r="M79" s="143"/>
      <c r="N79" s="143"/>
      <c r="O79" s="143"/>
      <c r="P79" s="143"/>
      <c r="Q79" s="141"/>
      <c r="R79" s="141"/>
      <c r="S79" s="141"/>
      <c r="T79" s="141"/>
      <c r="U79" s="116"/>
      <c r="V79" s="120"/>
      <c r="W79" s="120"/>
      <c r="X79" s="120"/>
      <c r="Y79" s="120"/>
      <c r="Z79" s="120"/>
      <c r="AA79" s="120"/>
    </row>
    <row r="80" spans="3:28" x14ac:dyDescent="0.2">
      <c r="C80" s="143"/>
      <c r="D80" s="144"/>
      <c r="E80" s="143"/>
      <c r="F80" s="143"/>
      <c r="G80" s="143"/>
      <c r="H80" s="142"/>
      <c r="I80" s="142"/>
      <c r="J80" s="142"/>
      <c r="K80" s="142"/>
      <c r="L80" s="143"/>
      <c r="M80" s="143"/>
      <c r="N80" s="143"/>
      <c r="O80" s="143"/>
      <c r="P80" s="143"/>
      <c r="Q80" s="141"/>
      <c r="R80" s="141"/>
      <c r="S80" s="141"/>
      <c r="T80" s="141"/>
      <c r="U80" s="116"/>
      <c r="V80" s="120"/>
      <c r="W80" s="120"/>
      <c r="X80" s="120"/>
      <c r="Y80" s="120"/>
      <c r="Z80" s="120"/>
      <c r="AA80" s="120"/>
    </row>
    <row r="81" spans="3:27" x14ac:dyDescent="0.2">
      <c r="C81" s="143"/>
      <c r="D81" s="144"/>
      <c r="E81" s="143"/>
      <c r="F81" s="143"/>
      <c r="G81" s="143"/>
      <c r="H81" s="142"/>
      <c r="I81" s="142"/>
      <c r="J81" s="142"/>
      <c r="K81" s="142"/>
      <c r="L81" s="143"/>
      <c r="M81" s="143"/>
      <c r="N81" s="143"/>
      <c r="O81" s="143"/>
      <c r="P81" s="143"/>
      <c r="Q81" s="141"/>
      <c r="R81" s="141"/>
      <c r="S81" s="141"/>
      <c r="T81" s="141"/>
      <c r="U81" s="116"/>
      <c r="V81" s="120"/>
      <c r="W81" s="120"/>
      <c r="X81" s="120"/>
      <c r="Y81" s="120"/>
      <c r="Z81" s="120"/>
      <c r="AA81" s="120"/>
    </row>
    <row r="82" spans="3:27" x14ac:dyDescent="0.2">
      <c r="C82" s="143"/>
      <c r="D82" s="144"/>
      <c r="E82" s="143"/>
      <c r="F82" s="143"/>
      <c r="G82" s="143"/>
      <c r="H82" s="142"/>
      <c r="I82" s="142"/>
      <c r="J82" s="142"/>
      <c r="K82" s="142"/>
      <c r="L82" s="143"/>
      <c r="M82" s="143"/>
      <c r="N82" s="143"/>
      <c r="O82" s="143"/>
      <c r="P82" s="143"/>
      <c r="Q82" s="141"/>
      <c r="R82" s="141"/>
      <c r="S82" s="141"/>
      <c r="T82" s="141"/>
      <c r="U82" s="116"/>
      <c r="V82" s="120"/>
      <c r="W82" s="120"/>
      <c r="X82" s="120"/>
      <c r="Y82" s="120"/>
      <c r="Z82" s="120"/>
      <c r="AA82" s="120"/>
    </row>
    <row r="83" spans="3:27" x14ac:dyDescent="0.2">
      <c r="C83" s="143"/>
      <c r="D83" s="144"/>
      <c r="E83" s="143"/>
      <c r="F83" s="143"/>
      <c r="G83" s="143"/>
      <c r="H83" s="142"/>
      <c r="I83" s="142"/>
      <c r="J83" s="142"/>
      <c r="K83" s="142"/>
      <c r="L83" s="143"/>
      <c r="M83" s="143"/>
      <c r="N83" s="143"/>
      <c r="O83" s="143"/>
      <c r="P83" s="143"/>
      <c r="Q83" s="141"/>
      <c r="R83" s="141"/>
      <c r="S83" s="141"/>
      <c r="T83" s="141"/>
      <c r="U83" s="116"/>
      <c r="V83" s="120"/>
      <c r="W83" s="120"/>
      <c r="X83" s="120"/>
      <c r="Y83" s="120"/>
      <c r="Z83" s="120"/>
      <c r="AA83" s="120"/>
    </row>
    <row r="84" spans="3:27" x14ac:dyDescent="0.2">
      <c r="C84" s="143"/>
      <c r="D84" s="144"/>
      <c r="E84" s="143"/>
      <c r="F84" s="143"/>
      <c r="G84" s="143"/>
      <c r="H84" s="142"/>
      <c r="I84" s="142"/>
      <c r="J84" s="142"/>
      <c r="K84" s="142"/>
      <c r="L84" s="143"/>
      <c r="M84" s="143"/>
      <c r="N84" s="143"/>
      <c r="O84" s="143"/>
      <c r="P84" s="143"/>
      <c r="Q84" s="141"/>
      <c r="R84" s="141"/>
      <c r="S84" s="141"/>
      <c r="T84" s="141"/>
      <c r="U84" s="116"/>
      <c r="V84" s="120"/>
      <c r="W84" s="120"/>
      <c r="X84" s="120"/>
      <c r="Y84" s="120"/>
      <c r="Z84" s="120"/>
      <c r="AA84" s="120"/>
    </row>
    <row r="85" spans="3:27" x14ac:dyDescent="0.2">
      <c r="C85" s="143"/>
      <c r="D85" s="152"/>
      <c r="E85" s="157"/>
      <c r="F85" s="157"/>
      <c r="G85" s="157"/>
      <c r="H85" s="158"/>
      <c r="I85" s="158"/>
      <c r="J85" s="158"/>
      <c r="K85" s="158"/>
      <c r="L85" s="143"/>
      <c r="M85" s="143"/>
      <c r="N85" s="143"/>
      <c r="O85" s="143"/>
      <c r="P85" s="143"/>
      <c r="Q85" s="141"/>
      <c r="R85" s="141"/>
      <c r="S85" s="141"/>
      <c r="T85" s="141"/>
      <c r="U85" s="116"/>
      <c r="V85" s="120"/>
      <c r="W85" s="120"/>
      <c r="X85" s="120"/>
      <c r="Y85" s="120"/>
      <c r="Z85" s="120"/>
      <c r="AA85" s="120"/>
    </row>
    <row r="86" spans="3:27" x14ac:dyDescent="0.2">
      <c r="Q86" s="89"/>
      <c r="R86" s="89"/>
      <c r="S86" s="89"/>
      <c r="T86" s="89"/>
      <c r="U86" s="116"/>
      <c r="V86" s="120"/>
      <c r="W86" s="120"/>
      <c r="X86" s="120"/>
      <c r="Y86" s="120"/>
      <c r="Z86" s="120"/>
      <c r="AA86" s="120"/>
    </row>
    <row r="87" spans="3:27" x14ac:dyDescent="0.2">
      <c r="Q87" s="89"/>
      <c r="R87" s="89"/>
      <c r="S87" s="89"/>
      <c r="T87" s="89"/>
      <c r="U87" s="116"/>
      <c r="V87" s="120"/>
      <c r="W87" s="120"/>
      <c r="X87" s="120"/>
      <c r="Y87" s="120"/>
      <c r="Z87" s="120"/>
      <c r="AA87" s="120"/>
    </row>
    <row r="88" spans="3:27" x14ac:dyDescent="0.2">
      <c r="Q88" s="89"/>
      <c r="R88" s="89"/>
      <c r="S88" s="89"/>
      <c r="T88" s="89"/>
      <c r="U88" s="89"/>
      <c r="V88" s="120"/>
      <c r="W88" s="120"/>
      <c r="X88" s="120"/>
      <c r="Y88" s="120"/>
      <c r="Z88" s="120"/>
      <c r="AA88" s="120"/>
    </row>
    <row r="89" spans="3:27" x14ac:dyDescent="0.2">
      <c r="Q89" s="89"/>
      <c r="R89" s="89"/>
      <c r="S89" s="89"/>
      <c r="T89" s="89"/>
      <c r="U89" s="89"/>
      <c r="V89" s="120"/>
      <c r="W89" s="120"/>
      <c r="X89" s="120"/>
      <c r="Y89" s="120"/>
      <c r="Z89" s="120"/>
      <c r="AA89" s="120"/>
    </row>
    <row r="90" spans="3:27" x14ac:dyDescent="0.2">
      <c r="Q90" s="89"/>
      <c r="R90" s="89"/>
      <c r="S90" s="89"/>
      <c r="T90" s="89"/>
      <c r="U90" s="89"/>
      <c r="V90" s="120"/>
      <c r="W90" s="120"/>
      <c r="X90" s="120"/>
      <c r="Y90" s="120"/>
      <c r="Z90" s="120"/>
      <c r="AA90" s="120"/>
    </row>
    <row r="91" spans="3:27" x14ac:dyDescent="0.2">
      <c r="Q91" s="89"/>
      <c r="R91" s="89"/>
      <c r="S91" s="89"/>
      <c r="T91" s="89"/>
      <c r="U91" s="89"/>
      <c r="V91" s="120"/>
      <c r="W91" s="120"/>
      <c r="X91" s="120"/>
      <c r="Y91" s="120"/>
      <c r="Z91" s="120"/>
      <c r="AA91" s="120"/>
    </row>
    <row r="92" spans="3:27" x14ac:dyDescent="0.2">
      <c r="V92" s="146"/>
      <c r="W92" s="146"/>
      <c r="X92" s="146"/>
      <c r="Y92" s="146"/>
      <c r="Z92" s="146"/>
      <c r="AA92" s="146"/>
    </row>
    <row r="93" spans="3:27" x14ac:dyDescent="0.2">
      <c r="V93" s="146"/>
      <c r="W93" s="146"/>
      <c r="X93" s="146"/>
      <c r="Y93" s="146"/>
      <c r="Z93" s="146"/>
      <c r="AA93" s="146"/>
    </row>
    <row r="94" spans="3:27" x14ac:dyDescent="0.2">
      <c r="V94" s="146"/>
      <c r="W94" s="146"/>
      <c r="X94" s="146"/>
      <c r="Y94" s="146"/>
      <c r="Z94" s="146"/>
      <c r="AA94" s="146"/>
    </row>
    <row r="95" spans="3:27" x14ac:dyDescent="0.2">
      <c r="V95" s="146"/>
      <c r="W95" s="146"/>
      <c r="X95" s="146"/>
      <c r="Y95" s="146"/>
      <c r="Z95" s="146"/>
      <c r="AA95" s="146"/>
    </row>
    <row r="96" spans="3:27" x14ac:dyDescent="0.2">
      <c r="V96" s="146"/>
      <c r="W96" s="146"/>
      <c r="X96" s="146"/>
      <c r="Y96" s="146"/>
      <c r="Z96" s="146"/>
      <c r="AA96" s="146"/>
    </row>
    <row r="97" spans="22:27" x14ac:dyDescent="0.2">
      <c r="V97" s="146"/>
      <c r="W97" s="146"/>
      <c r="X97" s="146"/>
      <c r="Y97" s="146"/>
      <c r="Z97" s="146"/>
      <c r="AA97" s="146"/>
    </row>
    <row r="98" spans="22:27" x14ac:dyDescent="0.2">
      <c r="V98" s="146"/>
      <c r="W98" s="146"/>
      <c r="X98" s="146"/>
      <c r="Y98" s="146"/>
      <c r="Z98" s="146"/>
      <c r="AA98" s="146"/>
    </row>
    <row r="99" spans="22:27" x14ac:dyDescent="0.2">
      <c r="V99" s="146"/>
      <c r="W99" s="146"/>
      <c r="X99" s="146"/>
      <c r="Y99" s="146"/>
      <c r="Z99" s="146"/>
      <c r="AA99" s="146"/>
    </row>
    <row r="100" spans="22:27" x14ac:dyDescent="0.2">
      <c r="V100" s="146"/>
      <c r="W100" s="146"/>
      <c r="X100" s="146"/>
      <c r="Y100" s="146"/>
      <c r="Z100" s="146"/>
      <c r="AA100" s="146"/>
    </row>
    <row r="101" spans="22:27" x14ac:dyDescent="0.2">
      <c r="V101" s="146"/>
      <c r="W101" s="146"/>
      <c r="X101" s="146"/>
      <c r="Y101" s="146"/>
      <c r="Z101" s="146"/>
      <c r="AA101" s="146"/>
    </row>
    <row r="102" spans="22:27" x14ac:dyDescent="0.2">
      <c r="V102" s="146"/>
      <c r="W102" s="146"/>
      <c r="X102" s="146"/>
      <c r="Y102" s="146"/>
      <c r="Z102" s="146"/>
      <c r="AA102" s="146"/>
    </row>
    <row r="103" spans="22:27" x14ac:dyDescent="0.2">
      <c r="V103" s="146"/>
      <c r="W103" s="146"/>
      <c r="X103" s="146"/>
      <c r="Y103" s="146"/>
      <c r="Z103" s="146"/>
      <c r="AA103" s="146"/>
    </row>
    <row r="104" spans="22:27" x14ac:dyDescent="0.2">
      <c r="V104" s="146"/>
      <c r="W104" s="146"/>
      <c r="X104" s="146"/>
      <c r="Y104" s="146"/>
      <c r="Z104" s="146"/>
      <c r="AA104" s="146"/>
    </row>
    <row r="105" spans="22:27" x14ac:dyDescent="0.2">
      <c r="V105" s="146"/>
      <c r="W105" s="146"/>
      <c r="X105" s="146"/>
      <c r="Y105" s="146"/>
      <c r="Z105" s="146"/>
      <c r="AA105" s="146"/>
    </row>
    <row r="106" spans="22:27" x14ac:dyDescent="0.2">
      <c r="V106" s="146"/>
      <c r="W106" s="146"/>
      <c r="X106" s="146"/>
      <c r="Y106" s="146"/>
      <c r="Z106" s="146"/>
      <c r="AA106" s="146"/>
    </row>
    <row r="107" spans="22:27" x14ac:dyDescent="0.2">
      <c r="V107" s="146"/>
      <c r="W107" s="146"/>
      <c r="X107" s="146"/>
      <c r="Y107" s="146"/>
      <c r="Z107" s="146"/>
      <c r="AA107" s="146"/>
    </row>
    <row r="108" spans="22:27" x14ac:dyDescent="0.2">
      <c r="V108" s="146"/>
      <c r="W108" s="146"/>
      <c r="X108" s="146"/>
      <c r="Y108" s="146"/>
      <c r="Z108" s="146"/>
      <c r="AA108" s="146"/>
    </row>
    <row r="109" spans="22:27" x14ac:dyDescent="0.2">
      <c r="V109" s="146"/>
      <c r="W109" s="146"/>
      <c r="X109" s="146"/>
      <c r="Y109" s="146"/>
      <c r="Z109" s="146"/>
      <c r="AA109" s="146"/>
    </row>
    <row r="110" spans="22:27" x14ac:dyDescent="0.2">
      <c r="V110" s="146"/>
      <c r="W110" s="146"/>
      <c r="X110" s="146"/>
      <c r="Y110" s="146"/>
      <c r="Z110" s="146"/>
      <c r="AA110" s="146"/>
    </row>
    <row r="111" spans="22:27" x14ac:dyDescent="0.2">
      <c r="V111" s="146"/>
      <c r="W111" s="146"/>
      <c r="X111" s="146"/>
      <c r="Y111" s="146"/>
      <c r="Z111" s="146"/>
      <c r="AA111" s="146"/>
    </row>
    <row r="112" spans="22:27" x14ac:dyDescent="0.2">
      <c r="V112" s="146"/>
      <c r="W112" s="146"/>
      <c r="X112" s="146"/>
      <c r="Y112" s="146"/>
      <c r="Z112" s="146"/>
      <c r="AA112" s="146"/>
    </row>
    <row r="113" spans="22:27" x14ac:dyDescent="0.2">
      <c r="V113" s="146"/>
      <c r="W113" s="146"/>
      <c r="X113" s="146"/>
      <c r="Y113" s="146"/>
      <c r="Z113" s="146"/>
      <c r="AA113" s="146"/>
    </row>
    <row r="114" spans="22:27" x14ac:dyDescent="0.2">
      <c r="V114" s="146"/>
      <c r="W114" s="146"/>
      <c r="X114" s="146"/>
      <c r="Y114" s="146"/>
      <c r="Z114" s="146"/>
      <c r="AA114" s="146"/>
    </row>
    <row r="115" spans="22:27" x14ac:dyDescent="0.2">
      <c r="V115" s="146"/>
      <c r="W115" s="146"/>
      <c r="X115" s="146"/>
      <c r="Y115" s="146"/>
      <c r="Z115" s="146"/>
      <c r="AA115" s="146"/>
    </row>
    <row r="116" spans="22:27" x14ac:dyDescent="0.2">
      <c r="V116" s="146"/>
      <c r="W116" s="146"/>
      <c r="X116" s="146"/>
      <c r="Y116" s="146"/>
      <c r="Z116" s="146"/>
      <c r="AA116" s="146"/>
    </row>
    <row r="117" spans="22:27" x14ac:dyDescent="0.2">
      <c r="V117" s="146"/>
      <c r="W117" s="146"/>
      <c r="X117" s="146"/>
      <c r="Y117" s="146"/>
      <c r="Z117" s="146"/>
      <c r="AA117" s="146"/>
    </row>
    <row r="118" spans="22:27" x14ac:dyDescent="0.2">
      <c r="V118" s="146"/>
      <c r="W118" s="146"/>
      <c r="X118" s="146"/>
      <c r="Y118" s="146"/>
      <c r="Z118" s="146"/>
      <c r="AA118" s="146"/>
    </row>
    <row r="119" spans="22:27" x14ac:dyDescent="0.2">
      <c r="V119" s="146"/>
      <c r="W119" s="146"/>
      <c r="X119" s="146"/>
      <c r="Y119" s="146"/>
      <c r="Z119" s="146"/>
      <c r="AA119" s="146"/>
    </row>
    <row r="120" spans="22:27" x14ac:dyDescent="0.2">
      <c r="V120" s="146"/>
      <c r="W120" s="146"/>
      <c r="X120" s="146"/>
      <c r="Y120" s="146"/>
      <c r="Z120" s="146"/>
      <c r="AA120" s="146"/>
    </row>
    <row r="121" spans="22:27" x14ac:dyDescent="0.2">
      <c r="V121" s="146"/>
      <c r="W121" s="146"/>
      <c r="X121" s="146"/>
      <c r="Y121" s="146"/>
      <c r="Z121" s="146"/>
      <c r="AA121" s="146"/>
    </row>
    <row r="122" spans="22:27" x14ac:dyDescent="0.2">
      <c r="V122" s="146"/>
      <c r="W122" s="146"/>
      <c r="X122" s="146"/>
      <c r="Y122" s="146"/>
      <c r="Z122" s="146"/>
      <c r="AA122" s="146"/>
    </row>
    <row r="123" spans="22:27" x14ac:dyDescent="0.2">
      <c r="V123" s="146"/>
      <c r="W123" s="146"/>
      <c r="X123" s="146"/>
      <c r="Y123" s="146"/>
      <c r="Z123" s="146"/>
      <c r="AA123" s="146"/>
    </row>
    <row r="124" spans="22:27" x14ac:dyDescent="0.2">
      <c r="V124" s="146"/>
      <c r="W124" s="146"/>
      <c r="X124" s="146"/>
      <c r="Y124" s="146"/>
      <c r="Z124" s="146"/>
      <c r="AA124" s="146"/>
    </row>
    <row r="125" spans="22:27" x14ac:dyDescent="0.2">
      <c r="V125" s="146"/>
      <c r="W125" s="146"/>
      <c r="X125" s="146"/>
      <c r="Y125" s="146"/>
      <c r="Z125" s="146"/>
      <c r="AA125" s="146"/>
    </row>
    <row r="126" spans="22:27" x14ac:dyDescent="0.2">
      <c r="V126" s="146"/>
      <c r="W126" s="146"/>
      <c r="X126" s="146"/>
      <c r="Y126" s="146"/>
      <c r="Z126" s="146"/>
      <c r="AA126" s="146"/>
    </row>
    <row r="127" spans="22:27" x14ac:dyDescent="0.2">
      <c r="V127" s="146"/>
      <c r="W127" s="146"/>
      <c r="X127" s="146"/>
      <c r="Y127" s="146"/>
      <c r="Z127" s="146"/>
      <c r="AA127" s="146"/>
    </row>
    <row r="128" spans="22:27" x14ac:dyDescent="0.2">
      <c r="V128" s="146"/>
      <c r="W128" s="146"/>
      <c r="X128" s="146"/>
      <c r="Y128" s="146"/>
      <c r="Z128" s="146"/>
      <c r="AA128" s="146"/>
    </row>
    <row r="129" spans="22:27" x14ac:dyDescent="0.2">
      <c r="V129" s="146"/>
      <c r="W129" s="146"/>
      <c r="X129" s="146"/>
      <c r="Y129" s="146"/>
      <c r="Z129" s="146"/>
      <c r="AA129" s="146"/>
    </row>
    <row r="130" spans="22:27" x14ac:dyDescent="0.2">
      <c r="V130" s="146"/>
      <c r="W130" s="146"/>
      <c r="X130" s="146"/>
      <c r="Y130" s="146"/>
      <c r="Z130" s="146"/>
      <c r="AA130" s="146"/>
    </row>
    <row r="131" spans="22:27" x14ac:dyDescent="0.2">
      <c r="V131" s="146"/>
      <c r="W131" s="146"/>
      <c r="X131" s="146"/>
      <c r="Y131" s="146"/>
      <c r="Z131" s="146"/>
      <c r="AA131" s="146"/>
    </row>
    <row r="132" spans="22:27" x14ac:dyDescent="0.2">
      <c r="V132" s="146"/>
      <c r="W132" s="146"/>
      <c r="X132" s="146"/>
      <c r="Y132" s="146"/>
      <c r="Z132" s="146"/>
      <c r="AA132" s="146"/>
    </row>
    <row r="133" spans="22:27" x14ac:dyDescent="0.2">
      <c r="V133" s="146"/>
      <c r="W133" s="146"/>
      <c r="X133" s="146"/>
      <c r="Y133" s="146"/>
      <c r="Z133" s="146"/>
      <c r="AA133" s="146"/>
    </row>
    <row r="134" spans="22:27" x14ac:dyDescent="0.2">
      <c r="V134" s="146"/>
      <c r="W134" s="146"/>
      <c r="X134" s="146"/>
      <c r="Y134" s="146"/>
      <c r="Z134" s="146"/>
      <c r="AA134" s="146"/>
    </row>
    <row r="135" spans="22:27" x14ac:dyDescent="0.2">
      <c r="V135" s="146"/>
      <c r="W135" s="146"/>
      <c r="X135" s="146"/>
      <c r="Y135" s="146"/>
      <c r="Z135" s="146"/>
      <c r="AA135" s="146"/>
    </row>
    <row r="136" spans="22:27" x14ac:dyDescent="0.2">
      <c r="V136" s="146"/>
      <c r="W136" s="146"/>
      <c r="X136" s="146"/>
      <c r="Y136" s="146"/>
      <c r="Z136" s="146"/>
      <c r="AA136" s="146"/>
    </row>
    <row r="137" spans="22:27" x14ac:dyDescent="0.2">
      <c r="V137" s="146"/>
      <c r="W137" s="146"/>
      <c r="X137" s="146"/>
      <c r="Y137" s="146"/>
      <c r="Z137" s="146"/>
      <c r="AA137" s="146"/>
    </row>
    <row r="138" spans="22:27" x14ac:dyDescent="0.2">
      <c r="V138" s="146"/>
      <c r="W138" s="146"/>
      <c r="X138" s="146"/>
      <c r="Y138" s="146"/>
      <c r="Z138" s="146"/>
      <c r="AA138" s="146"/>
    </row>
    <row r="139" spans="22:27" x14ac:dyDescent="0.2">
      <c r="V139" s="146"/>
      <c r="W139" s="146"/>
      <c r="X139" s="146"/>
      <c r="Y139" s="146"/>
      <c r="Z139" s="146"/>
      <c r="AA139" s="146"/>
    </row>
    <row r="140" spans="22:27" x14ac:dyDescent="0.2">
      <c r="V140" s="146"/>
      <c r="W140" s="146"/>
      <c r="X140" s="146"/>
      <c r="Y140" s="146"/>
      <c r="Z140" s="146"/>
      <c r="AA140" s="146"/>
    </row>
    <row r="141" spans="22:27" x14ac:dyDescent="0.2">
      <c r="V141" s="146"/>
      <c r="W141" s="146"/>
      <c r="X141" s="146"/>
      <c r="Y141" s="146"/>
      <c r="Z141" s="146"/>
      <c r="AA141" s="146"/>
    </row>
    <row r="142" spans="22:27" x14ac:dyDescent="0.2">
      <c r="V142" s="146"/>
      <c r="W142" s="146"/>
      <c r="X142" s="146"/>
      <c r="Y142" s="146"/>
      <c r="Z142" s="146"/>
      <c r="AA142" s="146"/>
    </row>
    <row r="143" spans="22:27" x14ac:dyDescent="0.2">
      <c r="V143" s="146"/>
      <c r="W143" s="146"/>
      <c r="X143" s="146"/>
      <c r="Y143" s="146"/>
      <c r="Z143" s="146"/>
      <c r="AA143" s="146"/>
    </row>
    <row r="144" spans="22:27" x14ac:dyDescent="0.2">
      <c r="V144" s="146"/>
      <c r="W144" s="146"/>
      <c r="X144" s="146"/>
      <c r="Y144" s="146"/>
      <c r="Z144" s="146"/>
      <c r="AA144" s="146"/>
    </row>
    <row r="145" spans="22:27" x14ac:dyDescent="0.2">
      <c r="V145" s="146"/>
      <c r="W145" s="146"/>
      <c r="X145" s="146"/>
      <c r="Y145" s="146"/>
      <c r="Z145" s="146"/>
      <c r="AA145" s="146"/>
    </row>
    <row r="146" spans="22:27" x14ac:dyDescent="0.2">
      <c r="V146" s="146"/>
      <c r="W146" s="146"/>
      <c r="X146" s="146"/>
      <c r="Y146" s="146"/>
      <c r="Z146" s="146"/>
      <c r="AA146" s="146"/>
    </row>
    <row r="147" spans="22:27" x14ac:dyDescent="0.2">
      <c r="V147" s="146"/>
      <c r="W147" s="146"/>
      <c r="X147" s="146"/>
      <c r="Y147" s="146"/>
      <c r="Z147" s="146"/>
      <c r="AA147" s="146"/>
    </row>
    <row r="148" spans="22:27" x14ac:dyDescent="0.2">
      <c r="V148" s="146"/>
      <c r="W148" s="146"/>
      <c r="X148" s="146"/>
      <c r="Y148" s="146"/>
      <c r="Z148" s="146"/>
      <c r="AA148" s="146"/>
    </row>
    <row r="149" spans="22:27" x14ac:dyDescent="0.2">
      <c r="V149" s="146"/>
      <c r="W149" s="146"/>
      <c r="X149" s="146"/>
      <c r="Y149" s="146"/>
      <c r="Z149" s="146"/>
      <c r="AA149" s="146"/>
    </row>
    <row r="150" spans="22:27" x14ac:dyDescent="0.2">
      <c r="V150" s="146"/>
      <c r="W150" s="146"/>
      <c r="X150" s="146"/>
      <c r="Y150" s="146"/>
      <c r="Z150" s="146"/>
      <c r="AA150" s="146"/>
    </row>
    <row r="151" spans="22:27" x14ac:dyDescent="0.2">
      <c r="V151" s="146"/>
      <c r="W151" s="146"/>
      <c r="X151" s="146"/>
      <c r="Y151" s="146"/>
      <c r="Z151" s="146"/>
      <c r="AA151" s="146"/>
    </row>
    <row r="152" spans="22:27" x14ac:dyDescent="0.2">
      <c r="V152" s="146"/>
      <c r="W152" s="146"/>
      <c r="X152" s="146"/>
      <c r="Y152" s="146"/>
      <c r="Z152" s="146"/>
      <c r="AA152" s="146"/>
    </row>
    <row r="153" spans="22:27" x14ac:dyDescent="0.2">
      <c r="V153" s="146"/>
      <c r="W153" s="146"/>
      <c r="X153" s="146"/>
      <c r="Y153" s="146"/>
      <c r="Z153" s="146"/>
      <c r="AA153" s="146"/>
    </row>
    <row r="154" spans="22:27" x14ac:dyDescent="0.2">
      <c r="V154" s="146"/>
      <c r="W154" s="146"/>
      <c r="X154" s="146"/>
      <c r="Y154" s="146"/>
      <c r="Z154" s="146"/>
      <c r="AA154" s="146"/>
    </row>
    <row r="155" spans="22:27" x14ac:dyDescent="0.2">
      <c r="V155" s="146"/>
      <c r="W155" s="146"/>
      <c r="X155" s="146"/>
      <c r="Y155" s="146"/>
      <c r="Z155" s="146"/>
      <c r="AA155" s="146"/>
    </row>
    <row r="156" spans="22:27" x14ac:dyDescent="0.2">
      <c r="V156" s="146"/>
      <c r="W156" s="146"/>
      <c r="X156" s="146"/>
      <c r="Y156" s="146"/>
      <c r="Z156" s="146"/>
      <c r="AA156" s="146"/>
    </row>
    <row r="157" spans="22:27" x14ac:dyDescent="0.2">
      <c r="V157" s="146"/>
      <c r="W157" s="146"/>
      <c r="X157" s="146"/>
      <c r="Y157" s="146"/>
      <c r="Z157" s="146"/>
      <c r="AA157" s="146"/>
    </row>
    <row r="158" spans="22:27" x14ac:dyDescent="0.2">
      <c r="V158" s="146"/>
      <c r="W158" s="146"/>
      <c r="X158" s="146"/>
      <c r="Y158" s="146"/>
      <c r="Z158" s="146"/>
      <c r="AA158" s="146"/>
    </row>
    <row r="159" spans="22:27" x14ac:dyDescent="0.2">
      <c r="V159" s="146"/>
      <c r="W159" s="146"/>
      <c r="X159" s="146"/>
      <c r="Y159" s="146"/>
      <c r="Z159" s="146"/>
      <c r="AA159" s="146"/>
    </row>
    <row r="160" spans="22:27" x14ac:dyDescent="0.2">
      <c r="V160" s="146"/>
      <c r="W160" s="146"/>
      <c r="X160" s="146"/>
      <c r="Y160" s="146"/>
      <c r="Z160" s="146"/>
      <c r="AA160" s="146"/>
    </row>
    <row r="161" spans="22:27" x14ac:dyDescent="0.2">
      <c r="V161" s="146"/>
      <c r="W161" s="146"/>
      <c r="X161" s="146"/>
      <c r="Y161" s="146"/>
      <c r="Z161" s="146"/>
      <c r="AA161" s="146"/>
    </row>
    <row r="162" spans="22:27" x14ac:dyDescent="0.2">
      <c r="V162" s="146"/>
      <c r="W162" s="146"/>
      <c r="X162" s="146"/>
      <c r="Y162" s="146"/>
      <c r="Z162" s="146"/>
      <c r="AA162" s="146"/>
    </row>
    <row r="163" spans="22:27" x14ac:dyDescent="0.2">
      <c r="V163" s="146"/>
      <c r="W163" s="146"/>
      <c r="X163" s="146"/>
      <c r="Y163" s="146"/>
      <c r="Z163" s="146"/>
      <c r="AA163" s="146"/>
    </row>
    <row r="164" spans="22:27" x14ac:dyDescent="0.2">
      <c r="V164" s="146"/>
      <c r="W164" s="146"/>
      <c r="X164" s="146"/>
      <c r="Y164" s="146"/>
      <c r="Z164" s="146"/>
      <c r="AA164" s="146"/>
    </row>
    <row r="165" spans="22:27" x14ac:dyDescent="0.2">
      <c r="V165" s="146"/>
      <c r="W165" s="146"/>
      <c r="X165" s="146"/>
      <c r="Y165" s="146"/>
      <c r="Z165" s="146"/>
      <c r="AA165" s="146"/>
    </row>
    <row r="166" spans="22:27" x14ac:dyDescent="0.2">
      <c r="V166" s="146"/>
      <c r="W166" s="146"/>
      <c r="X166" s="146"/>
      <c r="Y166" s="146"/>
      <c r="Z166" s="146"/>
      <c r="AA166" s="146"/>
    </row>
    <row r="167" spans="22:27" x14ac:dyDescent="0.2">
      <c r="V167" s="146"/>
      <c r="W167" s="146"/>
      <c r="X167" s="146"/>
      <c r="Y167" s="146"/>
      <c r="Z167" s="146"/>
      <c r="AA167" s="146"/>
    </row>
    <row r="168" spans="22:27" x14ac:dyDescent="0.2">
      <c r="V168" s="146"/>
      <c r="W168" s="146"/>
      <c r="X168" s="146"/>
      <c r="Y168" s="146"/>
      <c r="Z168" s="146"/>
      <c r="AA168" s="146"/>
    </row>
    <row r="169" spans="22:27" x14ac:dyDescent="0.2">
      <c r="V169" s="146"/>
      <c r="W169" s="146"/>
      <c r="X169" s="146"/>
      <c r="Y169" s="146"/>
      <c r="Z169" s="146"/>
      <c r="AA169" s="146"/>
    </row>
    <row r="170" spans="22:27" x14ac:dyDescent="0.2">
      <c r="V170" s="146"/>
      <c r="W170" s="146"/>
      <c r="X170" s="146"/>
      <c r="Y170" s="146"/>
      <c r="Z170" s="146"/>
      <c r="AA170" s="146"/>
    </row>
    <row r="171" spans="22:27" x14ac:dyDescent="0.2">
      <c r="V171" s="146"/>
      <c r="W171" s="146"/>
      <c r="X171" s="146"/>
      <c r="Y171" s="146"/>
      <c r="Z171" s="146"/>
      <c r="AA171" s="146"/>
    </row>
    <row r="172" spans="22:27" x14ac:dyDescent="0.2">
      <c r="V172" s="146"/>
      <c r="W172" s="146"/>
      <c r="X172" s="146"/>
      <c r="Y172" s="146"/>
      <c r="Z172" s="146"/>
      <c r="AA172" s="146"/>
    </row>
    <row r="173" spans="22:27" x14ac:dyDescent="0.2">
      <c r="V173" s="146"/>
      <c r="W173" s="146"/>
      <c r="X173" s="146"/>
      <c r="Y173" s="146"/>
      <c r="Z173" s="146"/>
      <c r="AA173" s="146"/>
    </row>
    <row r="174" spans="22:27" x14ac:dyDescent="0.2">
      <c r="V174" s="146"/>
      <c r="W174" s="146"/>
      <c r="X174" s="146"/>
      <c r="Y174" s="146"/>
      <c r="Z174" s="146"/>
      <c r="AA174" s="146"/>
    </row>
    <row r="175" spans="22:27" x14ac:dyDescent="0.2">
      <c r="V175" s="146"/>
      <c r="W175" s="146"/>
      <c r="X175" s="146"/>
      <c r="Y175" s="146"/>
      <c r="Z175" s="146"/>
      <c r="AA175" s="146"/>
    </row>
    <row r="176" spans="22:27" x14ac:dyDescent="0.2">
      <c r="V176" s="146"/>
      <c r="W176" s="146"/>
      <c r="X176" s="146"/>
      <c r="Y176" s="146"/>
      <c r="Z176" s="146"/>
      <c r="AA176" s="146"/>
    </row>
    <row r="177" spans="22:27" x14ac:dyDescent="0.2">
      <c r="V177" s="146"/>
      <c r="W177" s="146"/>
      <c r="X177" s="146"/>
      <c r="Y177" s="146"/>
      <c r="Z177" s="146"/>
      <c r="AA177" s="146"/>
    </row>
    <row r="178" spans="22:27" x14ac:dyDescent="0.2">
      <c r="V178" s="146"/>
      <c r="W178" s="146"/>
      <c r="X178" s="146"/>
      <c r="Y178" s="146"/>
      <c r="Z178" s="146"/>
      <c r="AA178" s="146"/>
    </row>
    <row r="179" spans="22:27" x14ac:dyDescent="0.2">
      <c r="V179" s="146"/>
      <c r="W179" s="146"/>
      <c r="X179" s="146"/>
      <c r="Y179" s="146"/>
      <c r="Z179" s="146"/>
      <c r="AA179" s="146"/>
    </row>
    <row r="180" spans="22:27" x14ac:dyDescent="0.2">
      <c r="V180" s="146"/>
      <c r="W180" s="146"/>
      <c r="X180" s="146"/>
      <c r="Y180" s="146"/>
      <c r="Z180" s="146"/>
      <c r="AA180" s="146"/>
    </row>
    <row r="181" spans="22:27" x14ac:dyDescent="0.2">
      <c r="V181" s="146"/>
      <c r="W181" s="146"/>
      <c r="X181" s="146"/>
      <c r="Y181" s="146"/>
      <c r="Z181" s="146"/>
      <c r="AA181" s="146"/>
    </row>
    <row r="182" spans="22:27" x14ac:dyDescent="0.2">
      <c r="V182" s="146"/>
      <c r="W182" s="146"/>
      <c r="X182" s="146"/>
      <c r="Y182" s="146"/>
      <c r="Z182" s="146"/>
      <c r="AA182" s="146"/>
    </row>
    <row r="183" spans="22:27" x14ac:dyDescent="0.2">
      <c r="V183" s="146"/>
      <c r="W183" s="146"/>
      <c r="X183" s="146"/>
      <c r="Y183" s="146"/>
      <c r="Z183" s="146"/>
      <c r="AA183" s="146"/>
    </row>
    <row r="184" spans="22:27" x14ac:dyDescent="0.2">
      <c r="V184" s="146"/>
      <c r="W184" s="146"/>
      <c r="X184" s="146"/>
      <c r="Y184" s="146"/>
      <c r="Z184" s="146"/>
      <c r="AA184" s="146"/>
    </row>
    <row r="185" spans="22:27" x14ac:dyDescent="0.2">
      <c r="V185" s="146"/>
      <c r="W185" s="146"/>
      <c r="X185" s="146"/>
      <c r="Y185" s="146"/>
      <c r="Z185" s="146"/>
      <c r="AA185" s="146"/>
    </row>
    <row r="186" spans="22:27" x14ac:dyDescent="0.2">
      <c r="V186" s="146"/>
      <c r="W186" s="146"/>
      <c r="X186" s="146"/>
      <c r="Y186" s="146"/>
      <c r="Z186" s="146"/>
      <c r="AA186" s="146"/>
    </row>
    <row r="187" spans="22:27" x14ac:dyDescent="0.2">
      <c r="V187" s="146"/>
      <c r="W187" s="146"/>
      <c r="X187" s="146"/>
      <c r="Y187" s="146"/>
      <c r="Z187" s="146"/>
      <c r="AA187" s="146"/>
    </row>
    <row r="188" spans="22:27" x14ac:dyDescent="0.2">
      <c r="V188" s="146"/>
      <c r="W188" s="146"/>
      <c r="X188" s="146"/>
      <c r="Y188" s="146"/>
      <c r="Z188" s="146"/>
      <c r="AA188" s="146"/>
    </row>
    <row r="189" spans="22:27" x14ac:dyDescent="0.2">
      <c r="V189" s="146"/>
      <c r="W189" s="146"/>
      <c r="X189" s="146"/>
      <c r="Y189" s="146"/>
      <c r="Z189" s="146"/>
      <c r="AA189" s="146"/>
    </row>
  </sheetData>
  <sheetProtection sheet="1" objects="1" scenarios="1"/>
  <dataConsolidate link="1"/>
  <mergeCells count="37">
    <mergeCell ref="K47:Q47"/>
    <mergeCell ref="R56:R57"/>
    <mergeCell ref="G44:H44"/>
    <mergeCell ref="I44:Q44"/>
    <mergeCell ref="D46:F46"/>
    <mergeCell ref="G46:H46"/>
    <mergeCell ref="I46:Q46"/>
    <mergeCell ref="D45:F45"/>
    <mergeCell ref="G45:H45"/>
    <mergeCell ref="I45:Q45"/>
    <mergeCell ref="S37:S38"/>
    <mergeCell ref="T37:T38"/>
    <mergeCell ref="S39:S46"/>
    <mergeCell ref="T39:T46"/>
    <mergeCell ref="C41:F41"/>
    <mergeCell ref="G41:Q41"/>
    <mergeCell ref="D42:F42"/>
    <mergeCell ref="G42:H42"/>
    <mergeCell ref="I42:Q42"/>
    <mergeCell ref="D43:F43"/>
    <mergeCell ref="G43:H43"/>
    <mergeCell ref="I43:Q43"/>
    <mergeCell ref="D44:F44"/>
    <mergeCell ref="B27:B28"/>
    <mergeCell ref="S28:S35"/>
    <mergeCell ref="T28:T35"/>
    <mergeCell ref="C1:J1"/>
    <mergeCell ref="K1:S1"/>
    <mergeCell ref="C2:D2"/>
    <mergeCell ref="G2:I2"/>
    <mergeCell ref="B5:B6"/>
    <mergeCell ref="S15:S16"/>
    <mergeCell ref="T15:T16"/>
    <mergeCell ref="S17:S24"/>
    <mergeCell ref="T17:T24"/>
    <mergeCell ref="S26:S27"/>
    <mergeCell ref="T26:T27"/>
  </mergeCells>
  <conditionalFormatting sqref="C10:C18">
    <cfRule type="expression" dxfId="229" priority="309" stopIfTrue="1">
      <formula>B10=3</formula>
    </cfRule>
    <cfRule type="expression" dxfId="228" priority="310" stopIfTrue="1">
      <formula>B10=4</formula>
    </cfRule>
    <cfRule type="expression" dxfId="227" priority="311" stopIfTrue="1">
      <formula>B10=5</formula>
    </cfRule>
  </conditionalFormatting>
  <conditionalFormatting sqref="F5:F40">
    <cfRule type="expression" dxfId="226" priority="305">
      <formula>$H5=0</formula>
    </cfRule>
    <cfRule type="expression" dxfId="225" priority="308">
      <formula>$H5=0</formula>
    </cfRule>
  </conditionalFormatting>
  <conditionalFormatting sqref="H5:H40">
    <cfRule type="cellIs" dxfId="224" priority="312" stopIfTrue="1" operator="between">
      <formula>0.1</formula>
      <formula>1.9</formula>
    </cfRule>
    <cfRule type="cellIs" dxfId="223" priority="313" stopIfTrue="1" operator="between">
      <formula>3</formula>
      <formula>3.9</formula>
    </cfRule>
    <cfRule type="cellIs" dxfId="222" priority="314" stopIfTrue="1" operator="between">
      <formula>4</formula>
      <formula>5</formula>
    </cfRule>
  </conditionalFormatting>
  <conditionalFormatting sqref="F5:F40">
    <cfRule type="expression" dxfId="221" priority="306">
      <formula>$H5&lt;#REF!</formula>
    </cfRule>
    <cfRule type="expression" dxfId="220" priority="307">
      <formula>$H5&gt;=#REF!</formula>
    </cfRule>
  </conditionalFormatting>
  <conditionalFormatting sqref="E5:E40">
    <cfRule type="expression" dxfId="219" priority="299">
      <formula>$D5=3</formula>
    </cfRule>
    <cfRule type="expression" dxfId="218" priority="300">
      <formula>$D5=4</formula>
    </cfRule>
    <cfRule type="expression" dxfId="217" priority="301">
      <formula>$D5=5</formula>
    </cfRule>
    <cfRule type="expression" dxfId="216" priority="302">
      <formula>$D5=8</formula>
    </cfRule>
    <cfRule type="expression" dxfId="215" priority="303">
      <formula>$D5=7</formula>
    </cfRule>
    <cfRule type="expression" dxfId="214" priority="304">
      <formula>$D5=6</formula>
    </cfRule>
  </conditionalFormatting>
  <conditionalFormatting sqref="C10:C18">
    <cfRule type="cellIs" dxfId="213" priority="295" operator="equal">
      <formula>""</formula>
    </cfRule>
    <cfRule type="expression" dxfId="212" priority="296" stopIfTrue="1">
      <formula>B10=8</formula>
    </cfRule>
    <cfRule type="expression" dxfId="211" priority="297" stopIfTrue="1">
      <formula>B10=7</formula>
    </cfRule>
    <cfRule type="expression" dxfId="210" priority="298" stopIfTrue="1">
      <formula>B10=6</formula>
    </cfRule>
  </conditionalFormatting>
  <conditionalFormatting sqref="C29:C40">
    <cfRule type="expression" dxfId="209" priority="292" stopIfTrue="1">
      <formula>B29=3</formula>
    </cfRule>
    <cfRule type="expression" dxfId="208" priority="293" stopIfTrue="1">
      <formula>B29=4</formula>
    </cfRule>
    <cfRule type="expression" dxfId="207" priority="294" stopIfTrue="1">
      <formula>B29=5</formula>
    </cfRule>
  </conditionalFormatting>
  <conditionalFormatting sqref="C29:C40">
    <cfRule type="cellIs" dxfId="206" priority="288" operator="equal">
      <formula>""</formula>
    </cfRule>
    <cfRule type="expression" dxfId="205" priority="289" stopIfTrue="1">
      <formula>B29=8</formula>
    </cfRule>
    <cfRule type="expression" dxfId="204" priority="290" stopIfTrue="1">
      <formula>B29=7</formula>
    </cfRule>
    <cfRule type="expression" dxfId="203" priority="291" stopIfTrue="1">
      <formula>B29=6</formula>
    </cfRule>
  </conditionalFormatting>
  <conditionalFormatting sqref="G42:G46">
    <cfRule type="cellIs" dxfId="202" priority="287" operator="notEqual">
      <formula>""</formula>
    </cfRule>
  </conditionalFormatting>
  <conditionalFormatting sqref="W7:Y7 W9:Y9 W11:Y11">
    <cfRule type="cellIs" dxfId="201" priority="286" operator="equal">
      <formula>0</formula>
    </cfRule>
  </conditionalFormatting>
  <conditionalFormatting sqref="Z13 Z15">
    <cfRule type="cellIs" dxfId="200" priority="285" operator="equal">
      <formula>0</formula>
    </cfRule>
  </conditionalFormatting>
  <conditionalFormatting sqref="V13 V15">
    <cfRule type="cellIs" dxfId="199" priority="284" operator="equal">
      <formula>0</formula>
    </cfRule>
  </conditionalFormatting>
  <conditionalFormatting sqref="V7 V9 V11">
    <cfRule type="cellIs" dxfId="198" priority="283" operator="equal">
      <formula>0</formula>
    </cfRule>
  </conditionalFormatting>
  <conditionalFormatting sqref="Z7 Z9 Z11">
    <cfRule type="cellIs" dxfId="197" priority="282" operator="equal">
      <formula>0</formula>
    </cfRule>
  </conditionalFormatting>
  <conditionalFormatting sqref="W13:Y13 W15:Y15">
    <cfRule type="cellIs" dxfId="196" priority="281" operator="equal">
      <formula>0</formula>
    </cfRule>
  </conditionalFormatting>
  <conditionalFormatting sqref="V6">
    <cfRule type="cellIs" dxfId="195" priority="280" operator="equal">
      <formula>0</formula>
    </cfRule>
  </conditionalFormatting>
  <conditionalFormatting sqref="Z6">
    <cfRule type="cellIs" dxfId="194" priority="279" operator="equal">
      <formula>0</formula>
    </cfRule>
  </conditionalFormatting>
  <conditionalFormatting sqref="I5:I40">
    <cfRule type="cellIs" dxfId="193" priority="276" stopIfTrue="1" operator="between">
      <formula>"D-3"</formula>
      <formula>"E-5"</formula>
    </cfRule>
    <cfRule type="cellIs" dxfId="192" priority="277" stopIfTrue="1" operator="between">
      <formula>"B-2"</formula>
      <formula>"B-3"</formula>
    </cfRule>
    <cfRule type="cellIs" dxfId="191" priority="278" stopIfTrue="1" operator="between">
      <formula>"A-1"</formula>
      <formula>"A-2"</formula>
    </cfRule>
  </conditionalFormatting>
  <conditionalFormatting sqref="I5:I40">
    <cfRule type="cellIs" dxfId="190" priority="274" operator="equal">
      <formula>"E-5-"</formula>
    </cfRule>
    <cfRule type="cellIs" dxfId="189" priority="275" operator="equal">
      <formula>"A-1+"</formula>
    </cfRule>
  </conditionalFormatting>
  <conditionalFormatting sqref="C7:C9">
    <cfRule type="expression" dxfId="188" priority="271" stopIfTrue="1">
      <formula>B7=3</formula>
    </cfRule>
    <cfRule type="expression" dxfId="187" priority="272" stopIfTrue="1">
      <formula>B7=4</formula>
    </cfRule>
    <cfRule type="expression" dxfId="186" priority="273" stopIfTrue="1">
      <formula>B7=5</formula>
    </cfRule>
  </conditionalFormatting>
  <conditionalFormatting sqref="C7:C9">
    <cfRule type="cellIs" dxfId="185" priority="267" operator="equal">
      <formula>""</formula>
    </cfRule>
    <cfRule type="expression" dxfId="184" priority="268" stopIfTrue="1">
      <formula>B7=8</formula>
    </cfRule>
    <cfRule type="expression" dxfId="183" priority="269" stopIfTrue="1">
      <formula>B7=7</formula>
    </cfRule>
    <cfRule type="expression" dxfId="182" priority="270" stopIfTrue="1">
      <formula>B7=6</formula>
    </cfRule>
  </conditionalFormatting>
  <conditionalFormatting sqref="C42:C46">
    <cfRule type="cellIs" dxfId="181" priority="266" operator="notEqual">
      <formula>""</formula>
    </cfRule>
  </conditionalFormatting>
  <conditionalFormatting sqref="J5:J40">
    <cfRule type="cellIs" dxfId="180" priority="242" operator="equal">
      <formula>"*"</formula>
    </cfRule>
    <cfRule type="cellIs" dxfId="179" priority="243" operator="equal">
      <formula>"!"</formula>
    </cfRule>
  </conditionalFormatting>
  <conditionalFormatting sqref="K36:Q40 N35:Q35">
    <cfRule type="cellIs" dxfId="178" priority="223" stopIfTrue="1" operator="equal">
      <formula>"G"</formula>
    </cfRule>
    <cfRule type="cellIs" dxfId="177" priority="224" stopIfTrue="1" operator="equal">
      <formula>"M"</formula>
    </cfRule>
    <cfRule type="cellIs" dxfId="176" priority="225" stopIfTrue="1" operator="equal">
      <formula>"O"</formula>
    </cfRule>
  </conditionalFormatting>
  <conditionalFormatting sqref="N34:Q34">
    <cfRule type="cellIs" dxfId="175" priority="148" stopIfTrue="1" operator="equal">
      <formula>"G"</formula>
    </cfRule>
    <cfRule type="cellIs" dxfId="174" priority="149" stopIfTrue="1" operator="equal">
      <formula>"M"</formula>
    </cfRule>
    <cfRule type="cellIs" dxfId="173" priority="150" stopIfTrue="1" operator="equal">
      <formula>"O"</formula>
    </cfRule>
  </conditionalFormatting>
  <conditionalFormatting sqref="N33:Q33">
    <cfRule type="cellIs" dxfId="172" priority="145" stopIfTrue="1" operator="equal">
      <formula>"G"</formula>
    </cfRule>
    <cfRule type="cellIs" dxfId="171" priority="146" stopIfTrue="1" operator="equal">
      <formula>"M"</formula>
    </cfRule>
    <cfRule type="cellIs" dxfId="170" priority="147" stopIfTrue="1" operator="equal">
      <formula>"O"</formula>
    </cfRule>
  </conditionalFormatting>
  <conditionalFormatting sqref="N32:Q32">
    <cfRule type="cellIs" dxfId="169" priority="142" stopIfTrue="1" operator="equal">
      <formula>"G"</formula>
    </cfRule>
    <cfRule type="cellIs" dxfId="168" priority="143" stopIfTrue="1" operator="equal">
      <formula>"M"</formula>
    </cfRule>
    <cfRule type="cellIs" dxfId="167" priority="144" stopIfTrue="1" operator="equal">
      <formula>"O"</formula>
    </cfRule>
  </conditionalFormatting>
  <conditionalFormatting sqref="N29:Q33">
    <cfRule type="cellIs" dxfId="166" priority="139" stopIfTrue="1" operator="equal">
      <formula>"G"</formula>
    </cfRule>
    <cfRule type="cellIs" dxfId="165" priority="140" stopIfTrue="1" operator="equal">
      <formula>"M"</formula>
    </cfRule>
    <cfRule type="cellIs" dxfId="164" priority="141" stopIfTrue="1" operator="equal">
      <formula>"O"</formula>
    </cfRule>
  </conditionalFormatting>
  <conditionalFormatting sqref="N27:Q30">
    <cfRule type="cellIs" dxfId="163" priority="133" stopIfTrue="1" operator="equal">
      <formula>"G"</formula>
    </cfRule>
    <cfRule type="cellIs" dxfId="162" priority="134" stopIfTrue="1" operator="equal">
      <formula>"M"</formula>
    </cfRule>
    <cfRule type="cellIs" dxfId="161" priority="135" stopIfTrue="1" operator="equal">
      <formula>"O"</formula>
    </cfRule>
  </conditionalFormatting>
  <conditionalFormatting sqref="N15:Q15">
    <cfRule type="cellIs" dxfId="160" priority="130" stopIfTrue="1" operator="equal">
      <formula>"G"</formula>
    </cfRule>
    <cfRule type="cellIs" dxfId="159" priority="131" stopIfTrue="1" operator="equal">
      <formula>"M"</formula>
    </cfRule>
    <cfRule type="cellIs" dxfId="158" priority="132" stopIfTrue="1" operator="equal">
      <formula>"O"</formula>
    </cfRule>
  </conditionalFormatting>
  <conditionalFormatting sqref="N5:Q17">
    <cfRule type="cellIs" dxfId="157" priority="127" stopIfTrue="1" operator="equal">
      <formula>"G"</formula>
    </cfRule>
    <cfRule type="cellIs" dxfId="156" priority="128" stopIfTrue="1" operator="equal">
      <formula>"M"</formula>
    </cfRule>
    <cfRule type="cellIs" dxfId="155" priority="129" stopIfTrue="1" operator="equal">
      <formula>"O"</formula>
    </cfRule>
  </conditionalFormatting>
  <conditionalFormatting sqref="N21:Q21">
    <cfRule type="cellIs" dxfId="154" priority="124" stopIfTrue="1" operator="equal">
      <formula>"G"</formula>
    </cfRule>
    <cfRule type="cellIs" dxfId="153" priority="125" stopIfTrue="1" operator="equal">
      <formula>"M"</formula>
    </cfRule>
    <cfRule type="cellIs" dxfId="152" priority="126" stopIfTrue="1" operator="equal">
      <formula>"O"</formula>
    </cfRule>
  </conditionalFormatting>
  <conditionalFormatting sqref="N16:Q23">
    <cfRule type="cellIs" dxfId="151" priority="118" stopIfTrue="1" operator="equal">
      <formula>"G"</formula>
    </cfRule>
    <cfRule type="cellIs" dxfId="150" priority="119" stopIfTrue="1" operator="equal">
      <formula>"M"</formula>
    </cfRule>
    <cfRule type="cellIs" dxfId="149" priority="120" stopIfTrue="1" operator="equal">
      <formula>"O"</formula>
    </cfRule>
  </conditionalFormatting>
  <conditionalFormatting sqref="N21:Q28">
    <cfRule type="cellIs" dxfId="148" priority="112" stopIfTrue="1" operator="equal">
      <formula>"G"</formula>
    </cfRule>
    <cfRule type="cellIs" dxfId="147" priority="113" stopIfTrue="1" operator="equal">
      <formula>"M"</formula>
    </cfRule>
    <cfRule type="cellIs" dxfId="146" priority="114" stopIfTrue="1" operator="equal">
      <formula>"O"</formula>
    </cfRule>
  </conditionalFormatting>
  <conditionalFormatting sqref="N16:Q16">
    <cfRule type="cellIs" dxfId="145" priority="109" stopIfTrue="1" operator="equal">
      <formula>"G"</formula>
    </cfRule>
    <cfRule type="cellIs" dxfId="144" priority="110" stopIfTrue="1" operator="equal">
      <formula>"M"</formula>
    </cfRule>
    <cfRule type="cellIs" dxfId="143" priority="111" stopIfTrue="1" operator="equal">
      <formula>"O"</formula>
    </cfRule>
  </conditionalFormatting>
  <conditionalFormatting sqref="N22:Q22">
    <cfRule type="cellIs" dxfId="142" priority="106" stopIfTrue="1" operator="equal">
      <formula>"G"</formula>
    </cfRule>
    <cfRule type="cellIs" dxfId="141" priority="107" stopIfTrue="1" operator="equal">
      <formula>"M"</formula>
    </cfRule>
    <cfRule type="cellIs" dxfId="140" priority="108" stopIfTrue="1" operator="equal">
      <formula>"O"</formula>
    </cfRule>
  </conditionalFormatting>
  <conditionalFormatting sqref="N20:Q20">
    <cfRule type="cellIs" dxfId="139" priority="103" stopIfTrue="1" operator="equal">
      <formula>"G"</formula>
    </cfRule>
    <cfRule type="cellIs" dxfId="138" priority="104" stopIfTrue="1" operator="equal">
      <formula>"M"</formula>
    </cfRule>
    <cfRule type="cellIs" dxfId="137" priority="105" stopIfTrue="1" operator="equal">
      <formula>"O"</formula>
    </cfRule>
  </conditionalFormatting>
  <conditionalFormatting sqref="N21:Q21">
    <cfRule type="cellIs" dxfId="136" priority="100" stopIfTrue="1" operator="equal">
      <formula>"G"</formula>
    </cfRule>
    <cfRule type="cellIs" dxfId="135" priority="101" stopIfTrue="1" operator="equal">
      <formula>"M"</formula>
    </cfRule>
    <cfRule type="cellIs" dxfId="134" priority="102" stopIfTrue="1" operator="equal">
      <formula>"O"</formula>
    </cfRule>
  </conditionalFormatting>
  <conditionalFormatting sqref="N16:Q16">
    <cfRule type="cellIs" dxfId="133" priority="97" stopIfTrue="1" operator="equal">
      <formula>"G"</formula>
    </cfRule>
    <cfRule type="cellIs" dxfId="132" priority="98" stopIfTrue="1" operator="equal">
      <formula>"M"</formula>
    </cfRule>
    <cfRule type="cellIs" dxfId="131" priority="99" stopIfTrue="1" operator="equal">
      <formula>"O"</formula>
    </cfRule>
  </conditionalFormatting>
  <conditionalFormatting sqref="N22:Q22">
    <cfRule type="cellIs" dxfId="130" priority="94" stopIfTrue="1" operator="equal">
      <formula>"G"</formula>
    </cfRule>
    <cfRule type="cellIs" dxfId="129" priority="95" stopIfTrue="1" operator="equal">
      <formula>"M"</formula>
    </cfRule>
    <cfRule type="cellIs" dxfId="128" priority="96" stopIfTrue="1" operator="equal">
      <formula>"O"</formula>
    </cfRule>
  </conditionalFormatting>
  <conditionalFormatting sqref="N17:Q17">
    <cfRule type="cellIs" dxfId="127" priority="91" stopIfTrue="1" operator="equal">
      <formula>"G"</formula>
    </cfRule>
    <cfRule type="cellIs" dxfId="126" priority="92" stopIfTrue="1" operator="equal">
      <formula>"M"</formula>
    </cfRule>
    <cfRule type="cellIs" dxfId="125" priority="93" stopIfTrue="1" operator="equal">
      <formula>"O"</formula>
    </cfRule>
  </conditionalFormatting>
  <conditionalFormatting sqref="N23:Q23">
    <cfRule type="cellIs" dxfId="124" priority="88" stopIfTrue="1" operator="equal">
      <formula>"G"</formula>
    </cfRule>
    <cfRule type="cellIs" dxfId="123" priority="89" stopIfTrue="1" operator="equal">
      <formula>"M"</formula>
    </cfRule>
    <cfRule type="cellIs" dxfId="122" priority="90" stopIfTrue="1" operator="equal">
      <formula>"O"</formula>
    </cfRule>
  </conditionalFormatting>
  <conditionalFormatting sqref="N21:Q21">
    <cfRule type="cellIs" dxfId="121" priority="85" stopIfTrue="1" operator="equal">
      <formula>"G"</formula>
    </cfRule>
    <cfRule type="cellIs" dxfId="120" priority="86" stopIfTrue="1" operator="equal">
      <formula>"M"</formula>
    </cfRule>
    <cfRule type="cellIs" dxfId="119" priority="87" stopIfTrue="1" operator="equal">
      <formula>"O"</formula>
    </cfRule>
  </conditionalFormatting>
  <conditionalFormatting sqref="N22:Q22">
    <cfRule type="cellIs" dxfId="118" priority="82" stopIfTrue="1" operator="equal">
      <formula>"G"</formula>
    </cfRule>
    <cfRule type="cellIs" dxfId="117" priority="83" stopIfTrue="1" operator="equal">
      <formula>"M"</formula>
    </cfRule>
    <cfRule type="cellIs" dxfId="116" priority="84" stopIfTrue="1" operator="equal">
      <formula>"O"</formula>
    </cfRule>
  </conditionalFormatting>
  <conditionalFormatting sqref="N33:Q33">
    <cfRule type="cellIs" dxfId="115" priority="79" stopIfTrue="1" operator="equal">
      <formula>"G"</formula>
    </cfRule>
    <cfRule type="cellIs" dxfId="114" priority="80" stopIfTrue="1" operator="equal">
      <formula>"M"</formula>
    </cfRule>
    <cfRule type="cellIs" dxfId="113" priority="81" stopIfTrue="1" operator="equal">
      <formula>"O"</formula>
    </cfRule>
  </conditionalFormatting>
  <conditionalFormatting sqref="R5:R40">
    <cfRule type="cellIs" dxfId="112" priority="76" operator="equal">
      <formula>FALSE</formula>
    </cfRule>
    <cfRule type="cellIs" dxfId="111" priority="77" operator="equal">
      <formula>"*"</formula>
    </cfRule>
    <cfRule type="cellIs" dxfId="110" priority="78" operator="equal">
      <formula>"!"</formula>
    </cfRule>
  </conditionalFormatting>
  <conditionalFormatting sqref="K35:M35">
    <cfRule type="cellIs" dxfId="109" priority="73" stopIfTrue="1" operator="equal">
      <formula>"G"</formula>
    </cfRule>
    <cfRule type="cellIs" dxfId="108" priority="74" stopIfTrue="1" operator="equal">
      <formula>"M"</formula>
    </cfRule>
    <cfRule type="cellIs" dxfId="107" priority="75" stopIfTrue="1" operator="equal">
      <formula>"O"</formula>
    </cfRule>
  </conditionalFormatting>
  <conditionalFormatting sqref="K34:M34">
    <cfRule type="cellIs" dxfId="106" priority="70" stopIfTrue="1" operator="equal">
      <formula>"G"</formula>
    </cfRule>
    <cfRule type="cellIs" dxfId="105" priority="71" stopIfTrue="1" operator="equal">
      <formula>"M"</formula>
    </cfRule>
    <cfRule type="cellIs" dxfId="104" priority="72" stopIfTrue="1" operator="equal">
      <formula>"O"</formula>
    </cfRule>
  </conditionalFormatting>
  <conditionalFormatting sqref="K33:M33">
    <cfRule type="cellIs" dxfId="103" priority="67" stopIfTrue="1" operator="equal">
      <formula>"G"</formula>
    </cfRule>
    <cfRule type="cellIs" dxfId="102" priority="68" stopIfTrue="1" operator="equal">
      <formula>"M"</formula>
    </cfRule>
    <cfRule type="cellIs" dxfId="101" priority="69" stopIfTrue="1" operator="equal">
      <formula>"O"</formula>
    </cfRule>
  </conditionalFormatting>
  <conditionalFormatting sqref="K32:M32">
    <cfRule type="cellIs" dxfId="100" priority="64" stopIfTrue="1" operator="equal">
      <formula>"G"</formula>
    </cfRule>
    <cfRule type="cellIs" dxfId="99" priority="65" stopIfTrue="1" operator="equal">
      <formula>"M"</formula>
    </cfRule>
    <cfRule type="cellIs" dxfId="98" priority="66" stopIfTrue="1" operator="equal">
      <formula>"O"</formula>
    </cfRule>
  </conditionalFormatting>
  <conditionalFormatting sqref="K29:M33">
    <cfRule type="cellIs" dxfId="97" priority="61" stopIfTrue="1" operator="equal">
      <formula>"G"</formula>
    </cfRule>
    <cfRule type="cellIs" dxfId="96" priority="62" stopIfTrue="1" operator="equal">
      <formula>"M"</formula>
    </cfRule>
    <cfRule type="cellIs" dxfId="95" priority="63" stopIfTrue="1" operator="equal">
      <formula>"O"</formula>
    </cfRule>
  </conditionalFormatting>
  <conditionalFormatting sqref="K27:K30">
    <cfRule type="cellIs" dxfId="94" priority="58" stopIfTrue="1" operator="equal">
      <formula>"G"</formula>
    </cfRule>
    <cfRule type="cellIs" dxfId="93" priority="59" stopIfTrue="1" operator="equal">
      <formula>"M"</formula>
    </cfRule>
    <cfRule type="cellIs" dxfId="92" priority="60" stopIfTrue="1" operator="equal">
      <formula>"O"</formula>
    </cfRule>
  </conditionalFormatting>
  <conditionalFormatting sqref="L27:M30">
    <cfRule type="cellIs" dxfId="91" priority="55" stopIfTrue="1" operator="equal">
      <formula>"G"</formula>
    </cfRule>
    <cfRule type="cellIs" dxfId="90" priority="56" stopIfTrue="1" operator="equal">
      <formula>"M"</formula>
    </cfRule>
    <cfRule type="cellIs" dxfId="89" priority="57" stopIfTrue="1" operator="equal">
      <formula>"O"</formula>
    </cfRule>
  </conditionalFormatting>
  <conditionalFormatting sqref="K15:M15">
    <cfRule type="cellIs" dxfId="88" priority="52" stopIfTrue="1" operator="equal">
      <formula>"G"</formula>
    </cfRule>
    <cfRule type="cellIs" dxfId="87" priority="53" stopIfTrue="1" operator="equal">
      <formula>"M"</formula>
    </cfRule>
    <cfRule type="cellIs" dxfId="86" priority="54" stopIfTrue="1" operator="equal">
      <formula>"O"</formula>
    </cfRule>
  </conditionalFormatting>
  <conditionalFormatting sqref="K5:M17">
    <cfRule type="cellIs" dxfId="85" priority="49" stopIfTrue="1" operator="equal">
      <formula>"G"</formula>
    </cfRule>
    <cfRule type="cellIs" dxfId="84" priority="50" stopIfTrue="1" operator="equal">
      <formula>"M"</formula>
    </cfRule>
    <cfRule type="cellIs" dxfId="83" priority="51" stopIfTrue="1" operator="equal">
      <formula>"O"</formula>
    </cfRule>
  </conditionalFormatting>
  <conditionalFormatting sqref="K21:M21">
    <cfRule type="cellIs" dxfId="82" priority="46" stopIfTrue="1" operator="equal">
      <formula>"G"</formula>
    </cfRule>
    <cfRule type="cellIs" dxfId="81" priority="47" stopIfTrue="1" operator="equal">
      <formula>"M"</formula>
    </cfRule>
    <cfRule type="cellIs" dxfId="80" priority="48" stopIfTrue="1" operator="equal">
      <formula>"O"</formula>
    </cfRule>
  </conditionalFormatting>
  <conditionalFormatting sqref="K16:K22">
    <cfRule type="cellIs" dxfId="79" priority="43" stopIfTrue="1" operator="equal">
      <formula>"G"</formula>
    </cfRule>
    <cfRule type="cellIs" dxfId="78" priority="44" stopIfTrue="1" operator="equal">
      <formula>"M"</formula>
    </cfRule>
    <cfRule type="cellIs" dxfId="77" priority="45" stopIfTrue="1" operator="equal">
      <formula>"O"</formula>
    </cfRule>
  </conditionalFormatting>
  <conditionalFormatting sqref="L16:M23">
    <cfRule type="cellIs" dxfId="76" priority="40" stopIfTrue="1" operator="equal">
      <formula>"G"</formula>
    </cfRule>
    <cfRule type="cellIs" dxfId="75" priority="41" stopIfTrue="1" operator="equal">
      <formula>"M"</formula>
    </cfRule>
    <cfRule type="cellIs" dxfId="74" priority="42" stopIfTrue="1" operator="equal">
      <formula>"O"</formula>
    </cfRule>
  </conditionalFormatting>
  <conditionalFormatting sqref="K21:K28">
    <cfRule type="cellIs" dxfId="73" priority="37" stopIfTrue="1" operator="equal">
      <formula>"G"</formula>
    </cfRule>
    <cfRule type="cellIs" dxfId="72" priority="38" stopIfTrue="1" operator="equal">
      <formula>"M"</formula>
    </cfRule>
    <cfRule type="cellIs" dxfId="71" priority="39" stopIfTrue="1" operator="equal">
      <formula>"O"</formula>
    </cfRule>
  </conditionalFormatting>
  <conditionalFormatting sqref="L21:M28">
    <cfRule type="cellIs" dxfId="70" priority="34" stopIfTrue="1" operator="equal">
      <formula>"G"</formula>
    </cfRule>
    <cfRule type="cellIs" dxfId="69" priority="35" stopIfTrue="1" operator="equal">
      <formula>"M"</formula>
    </cfRule>
    <cfRule type="cellIs" dxfId="68" priority="36" stopIfTrue="1" operator="equal">
      <formula>"O"</formula>
    </cfRule>
  </conditionalFormatting>
  <conditionalFormatting sqref="K16:M16">
    <cfRule type="cellIs" dxfId="67" priority="31" stopIfTrue="1" operator="equal">
      <formula>"G"</formula>
    </cfRule>
    <cfRule type="cellIs" dxfId="66" priority="32" stopIfTrue="1" operator="equal">
      <formula>"M"</formula>
    </cfRule>
    <cfRule type="cellIs" dxfId="65" priority="33" stopIfTrue="1" operator="equal">
      <formula>"O"</formula>
    </cfRule>
  </conditionalFormatting>
  <conditionalFormatting sqref="K22:M22">
    <cfRule type="cellIs" dxfId="64" priority="28" stopIfTrue="1" operator="equal">
      <formula>"G"</formula>
    </cfRule>
    <cfRule type="cellIs" dxfId="63" priority="29" stopIfTrue="1" operator="equal">
      <formula>"M"</formula>
    </cfRule>
    <cfRule type="cellIs" dxfId="62" priority="30" stopIfTrue="1" operator="equal">
      <formula>"O"</formula>
    </cfRule>
  </conditionalFormatting>
  <conditionalFormatting sqref="K20:M20">
    <cfRule type="cellIs" dxfId="61" priority="25" stopIfTrue="1" operator="equal">
      <formula>"G"</formula>
    </cfRule>
    <cfRule type="cellIs" dxfId="60" priority="26" stopIfTrue="1" operator="equal">
      <formula>"M"</formula>
    </cfRule>
    <cfRule type="cellIs" dxfId="59" priority="27" stopIfTrue="1" operator="equal">
      <formula>"O"</formula>
    </cfRule>
  </conditionalFormatting>
  <conditionalFormatting sqref="K21:M21">
    <cfRule type="cellIs" dxfId="58" priority="22" stopIfTrue="1" operator="equal">
      <formula>"G"</formula>
    </cfRule>
    <cfRule type="cellIs" dxfId="57" priority="23" stopIfTrue="1" operator="equal">
      <formula>"M"</formula>
    </cfRule>
    <cfRule type="cellIs" dxfId="56" priority="24" stopIfTrue="1" operator="equal">
      <formula>"O"</formula>
    </cfRule>
  </conditionalFormatting>
  <conditionalFormatting sqref="K16:M16">
    <cfRule type="cellIs" dxfId="55" priority="19" stopIfTrue="1" operator="equal">
      <formula>"G"</formula>
    </cfRule>
    <cfRule type="cellIs" dxfId="54" priority="20" stopIfTrue="1" operator="equal">
      <formula>"M"</formula>
    </cfRule>
    <cfRule type="cellIs" dxfId="53" priority="21" stopIfTrue="1" operator="equal">
      <formula>"O"</formula>
    </cfRule>
  </conditionalFormatting>
  <conditionalFormatting sqref="K22:M22">
    <cfRule type="cellIs" dxfId="52" priority="16" stopIfTrue="1" operator="equal">
      <formula>"G"</formula>
    </cfRule>
    <cfRule type="cellIs" dxfId="51" priority="17" stopIfTrue="1" operator="equal">
      <formula>"M"</formula>
    </cfRule>
    <cfRule type="cellIs" dxfId="50" priority="18" stopIfTrue="1" operator="equal">
      <formula>"O"</formula>
    </cfRule>
  </conditionalFormatting>
  <conditionalFormatting sqref="K17:M17">
    <cfRule type="cellIs" dxfId="49" priority="13" stopIfTrue="1" operator="equal">
      <formula>"G"</formula>
    </cfRule>
    <cfRule type="cellIs" dxfId="48" priority="14" stopIfTrue="1" operator="equal">
      <formula>"M"</formula>
    </cfRule>
    <cfRule type="cellIs" dxfId="47" priority="15" stopIfTrue="1" operator="equal">
      <formula>"O"</formula>
    </cfRule>
  </conditionalFormatting>
  <conditionalFormatting sqref="K23:M23">
    <cfRule type="cellIs" dxfId="46" priority="10" stopIfTrue="1" operator="equal">
      <formula>"G"</formula>
    </cfRule>
    <cfRule type="cellIs" dxfId="45" priority="11" stopIfTrue="1" operator="equal">
      <formula>"M"</formula>
    </cfRule>
    <cfRule type="cellIs" dxfId="44" priority="12" stopIfTrue="1" operator="equal">
      <formula>"O"</formula>
    </cfRule>
  </conditionalFormatting>
  <conditionalFormatting sqref="K21:M21">
    <cfRule type="cellIs" dxfId="43" priority="7" stopIfTrue="1" operator="equal">
      <formula>"G"</formula>
    </cfRule>
    <cfRule type="cellIs" dxfId="42" priority="8" stopIfTrue="1" operator="equal">
      <formula>"M"</formula>
    </cfRule>
    <cfRule type="cellIs" dxfId="41" priority="9" stopIfTrue="1" operator="equal">
      <formula>"O"</formula>
    </cfRule>
  </conditionalFormatting>
  <conditionalFormatting sqref="K22:M22">
    <cfRule type="cellIs" dxfId="40" priority="4" stopIfTrue="1" operator="equal">
      <formula>"G"</formula>
    </cfRule>
    <cfRule type="cellIs" dxfId="39" priority="5" stopIfTrue="1" operator="equal">
      <formula>"M"</formula>
    </cfRule>
    <cfRule type="cellIs" dxfId="38" priority="6" stopIfTrue="1" operator="equal">
      <formula>"O"</formula>
    </cfRule>
  </conditionalFormatting>
  <conditionalFormatting sqref="K33:M33">
    <cfRule type="cellIs" dxfId="37" priority="1" stopIfTrue="1" operator="equal">
      <formula>"G"</formula>
    </cfRule>
    <cfRule type="cellIs" dxfId="36" priority="2" stopIfTrue="1" operator="equal">
      <formula>"M"</formula>
    </cfRule>
    <cfRule type="cellIs" dxfId="35" priority="3" stopIfTrue="1" operator="equal">
      <formula>"O"</formula>
    </cfRule>
  </conditionalFormatting>
  <dataValidations xWindow="699" yWindow="668" count="10">
    <dataValidation allowBlank="1" showInputMessage="1" showErrorMessage="1" promptTitle="Nieuwe regel:" prompt="druk op Alt-Enter" sqref="T15 T28 T17 T26 T37 T39" xr:uid="{00000000-0002-0000-2C00-000000000000}"/>
    <dataValidation allowBlank="1" showInputMessage="1" showErrorMessage="1" promptTitle="Pulldown menu" prompt="groeps  HP: -_x000a_indiv.    HP:#_x000a_hele groep: $" sqref="C18 C40" xr:uid="{00000000-0002-0000-2C00-000001000000}"/>
    <dataValidation allowBlank="1" showInputMessage="1" showErrorMessage="1" promptTitle="Pulldown venster" prompt="groeps  HP: -_x000a_indiv.    HP:#_x000a_hele groep: $" sqref="C7:C17 C29:C39" xr:uid="{00000000-0002-0000-2C00-000002000000}"/>
    <dataValidation type="list" allowBlank="1" showInputMessage="1" showErrorMessage="1" sqref="B7:B18 B29:B40" xr:uid="{00000000-0002-0000-2C00-000003000000}">
      <formula1>"3,4,5,6,7,8,"</formula1>
    </dataValidation>
    <dataValidation type="list" allowBlank="1" showInputMessage="1" showErrorMessage="1" sqref="C42 G42" xr:uid="{00000000-0002-0000-2C00-000004000000}">
      <formula1>"maandag,"</formula1>
    </dataValidation>
    <dataValidation type="list" allowBlank="1" showInputMessage="1" showErrorMessage="1" sqref="C43 G43" xr:uid="{00000000-0002-0000-2C00-000005000000}">
      <formula1>"dinsdag,"</formula1>
    </dataValidation>
    <dataValidation type="list" allowBlank="1" showInputMessage="1" showErrorMessage="1" sqref="C44 G44" xr:uid="{00000000-0002-0000-2C00-000006000000}">
      <formula1>"woensdag,"</formula1>
    </dataValidation>
    <dataValidation type="list" allowBlank="1" showInputMessage="1" showErrorMessage="1" sqref="C45 G45" xr:uid="{00000000-0002-0000-2C00-000007000000}">
      <formula1>"donderdag,"</formula1>
    </dataValidation>
    <dataValidation type="list" allowBlank="1" showInputMessage="1" showErrorMessage="1" sqref="C46 G46" xr:uid="{00000000-0002-0000-2C00-000008000000}">
      <formula1>"vrijdag,"</formula1>
    </dataValidation>
    <dataValidation allowBlank="1" showInputMessage="1" showErrorMessage="1" promptTitle="kies uit:" prompt="g = goed_x000a_v = voldoende_x000a_m = matig_x000a_o = onvoldoende" sqref="K5:Q40" xr:uid="{00000000-0002-0000-2C00-000009000000}"/>
  </dataValidations>
  <pageMargins left="0.26" right="0.14000000000000001" top="0.82" bottom="0.33" header="0.33" footer="0.21"/>
  <pageSetup paperSize="9" scale="66" orientation="portrait" horizontalDpi="4294967293" r:id="rId1"/>
  <headerFooter alignWithMargins="0">
    <oddHeader>&amp;C&amp;"Arial,Vet"&amp;16&amp;A</oddHeader>
    <oddFooter>&amp;R© www.meesterharrie.nl</oddFooter>
  </headerFooter>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990C4-5F04-4E94-B269-49D162BE1EB6}">
  <sheetPr>
    <tabColor rgb="FF66CCFF"/>
    <pageSetUpPr fitToPage="1"/>
  </sheetPr>
  <dimension ref="B2:AJ53"/>
  <sheetViews>
    <sheetView showGridLines="0" showRowColHeaders="0" zoomScale="45" zoomScaleNormal="45" workbookViewId="0"/>
  </sheetViews>
  <sheetFormatPr defaultColWidth="9.140625" defaultRowHeight="15" x14ac:dyDescent="0.2"/>
  <cols>
    <col min="1" max="2" width="5.5703125" style="253" customWidth="1"/>
    <col min="3" max="3" width="25.7109375" style="253" customWidth="1"/>
    <col min="4" max="7" width="9.140625" style="253"/>
    <col min="8" max="8" width="9.140625" style="255" hidden="1" customWidth="1"/>
    <col min="9" max="9" width="9.140625" style="255"/>
    <col min="10" max="14" width="9.140625" style="253"/>
    <col min="15" max="15" width="5.5703125" style="253" customWidth="1"/>
    <col min="16" max="16" width="39.28515625" style="256" customWidth="1"/>
    <col min="17" max="26" width="12.5703125" style="256" customWidth="1"/>
    <col min="27" max="27" width="10.5703125" style="255" customWidth="1"/>
    <col min="28" max="28" width="5.5703125" style="253" customWidth="1"/>
    <col min="29" max="33" width="9.140625" style="253"/>
    <col min="34" max="34" width="9.140625" style="253" customWidth="1"/>
    <col min="35" max="35" width="9.140625" style="253"/>
    <col min="36" max="36" width="9.140625" style="254"/>
    <col min="37" max="16384" width="9.140625" style="253"/>
  </cols>
  <sheetData>
    <row r="2" spans="2:36" ht="30" x14ac:dyDescent="0.2">
      <c r="B2" s="1266" t="s">
        <v>330</v>
      </c>
      <c r="C2" s="1266"/>
      <c r="D2" s="1266"/>
      <c r="E2" s="1266"/>
      <c r="F2" s="1266"/>
      <c r="G2" s="1266"/>
      <c r="H2" s="1266"/>
      <c r="I2" s="1266"/>
      <c r="J2" s="1266"/>
      <c r="K2" s="1266"/>
      <c r="L2" s="1266"/>
      <c r="M2" s="1266"/>
      <c r="N2" s="1266"/>
      <c r="P2" s="1266" t="s">
        <v>331</v>
      </c>
      <c r="Q2" s="1266"/>
      <c r="R2" s="1266"/>
      <c r="S2" s="1266"/>
      <c r="T2" s="1266"/>
      <c r="U2" s="1266"/>
      <c r="V2" s="1266"/>
      <c r="W2" s="1266"/>
      <c r="X2" s="1266"/>
      <c r="Y2" s="1266"/>
      <c r="Z2" s="1266"/>
      <c r="AA2" s="1266"/>
      <c r="AC2" s="1266" t="s">
        <v>332</v>
      </c>
      <c r="AD2" s="1266"/>
      <c r="AE2" s="1266"/>
      <c r="AF2" s="1266"/>
      <c r="AG2" s="1266"/>
      <c r="AH2" s="1266"/>
      <c r="AI2" s="1266"/>
    </row>
    <row r="3" spans="2:36" ht="15.75" customHeight="1" thickBot="1" x14ac:dyDescent="0.25"/>
    <row r="4" spans="2:36" s="262" customFormat="1" ht="20.100000000000001" customHeight="1" x14ac:dyDescent="0.2">
      <c r="B4" s="257"/>
      <c r="C4" s="1267" t="s">
        <v>333</v>
      </c>
      <c r="D4" s="1269"/>
      <c r="E4" s="1271" t="s">
        <v>334</v>
      </c>
      <c r="F4" s="1271" t="s">
        <v>335</v>
      </c>
      <c r="G4" s="1273" t="s">
        <v>336</v>
      </c>
      <c r="H4" s="258"/>
      <c r="I4" s="259"/>
      <c r="J4" s="260"/>
      <c r="K4" s="260"/>
      <c r="L4" s="260"/>
      <c r="M4" s="260"/>
      <c r="N4" s="261"/>
      <c r="P4" s="1275" t="s">
        <v>38</v>
      </c>
      <c r="Q4" s="1276"/>
      <c r="R4" s="263" t="s">
        <v>337</v>
      </c>
      <c r="S4" s="264"/>
      <c r="T4" s="264"/>
      <c r="U4" s="264"/>
      <c r="V4" s="264"/>
      <c r="W4" s="264"/>
      <c r="X4" s="264"/>
      <c r="Y4" s="264"/>
      <c r="Z4" s="264"/>
      <c r="AA4" s="261"/>
      <c r="AC4" s="777" t="s">
        <v>338</v>
      </c>
      <c r="AD4" s="778"/>
      <c r="AE4" s="778"/>
      <c r="AF4" s="778"/>
      <c r="AG4" s="778"/>
      <c r="AH4" s="778"/>
      <c r="AI4" s="779"/>
      <c r="AJ4" s="265">
        <v>1.2</v>
      </c>
    </row>
    <row r="5" spans="2:36" ht="20.100000000000001" customHeight="1" thickBot="1" x14ac:dyDescent="0.25">
      <c r="B5" s="266"/>
      <c r="C5" s="1268"/>
      <c r="D5" s="1270"/>
      <c r="E5" s="1272"/>
      <c r="F5" s="1272"/>
      <c r="G5" s="1274"/>
      <c r="I5" s="267"/>
      <c r="N5" s="268"/>
      <c r="P5" s="1277" t="s">
        <v>339</v>
      </c>
      <c r="Q5" s="1278"/>
      <c r="R5" s="269">
        <v>17</v>
      </c>
      <c r="S5" s="270"/>
      <c r="T5" s="270"/>
      <c r="U5" s="270"/>
      <c r="V5" s="270"/>
      <c r="W5" s="270"/>
      <c r="X5" s="270"/>
      <c r="Y5" s="270"/>
      <c r="Z5" s="270"/>
      <c r="AA5" s="271"/>
      <c r="AC5" s="780" t="s">
        <v>340</v>
      </c>
      <c r="AD5" s="278"/>
      <c r="AE5" s="278"/>
      <c r="AF5" s="278"/>
      <c r="AG5" s="278"/>
      <c r="AH5" s="278"/>
      <c r="AI5" s="271"/>
    </row>
    <row r="6" spans="2:36" ht="20.100000000000001" customHeight="1" thickBot="1" x14ac:dyDescent="0.25">
      <c r="B6" s="266"/>
      <c r="C6" s="1268"/>
      <c r="D6" s="1270"/>
      <c r="E6" s="1272"/>
      <c r="F6" s="1272"/>
      <c r="G6" s="1274"/>
      <c r="I6" s="267"/>
      <c r="N6" s="268"/>
      <c r="AB6" s="254"/>
      <c r="AJ6" s="272">
        <v>1.2</v>
      </c>
    </row>
    <row r="7" spans="2:36" ht="20.100000000000001" customHeight="1" x14ac:dyDescent="0.2">
      <c r="B7" s="266"/>
      <c r="C7" s="1268"/>
      <c r="D7" s="1270"/>
      <c r="E7" s="1272"/>
      <c r="F7" s="1272"/>
      <c r="G7" s="1274"/>
      <c r="I7" s="267"/>
      <c r="N7" s="268"/>
      <c r="P7" s="1283" t="s">
        <v>341</v>
      </c>
      <c r="Q7" s="1284"/>
      <c r="R7" s="1284"/>
      <c r="S7" s="1284"/>
      <c r="T7" s="1284"/>
      <c r="U7" s="1284"/>
      <c r="V7" s="1284"/>
      <c r="W7" s="1284"/>
      <c r="X7" s="1284"/>
      <c r="Y7" s="1284"/>
      <c r="Z7" s="1284"/>
      <c r="AA7" s="1285"/>
      <c r="AB7" s="254"/>
      <c r="AC7" s="1286" t="s">
        <v>342</v>
      </c>
      <c r="AD7" s="1288" t="s">
        <v>343</v>
      </c>
      <c r="AE7" s="1288" t="s">
        <v>344</v>
      </c>
      <c r="AF7" s="1288" t="s">
        <v>345</v>
      </c>
      <c r="AG7" s="1288" t="s">
        <v>346</v>
      </c>
      <c r="AH7" s="1279" t="s">
        <v>347</v>
      </c>
      <c r="AI7" s="1281" t="s">
        <v>348</v>
      </c>
      <c r="AJ7" s="273"/>
    </row>
    <row r="8" spans="2:36" ht="20.100000000000001" customHeight="1" x14ac:dyDescent="0.2">
      <c r="B8" s="266"/>
      <c r="C8" s="1268"/>
      <c r="D8" s="1270"/>
      <c r="E8" s="1272"/>
      <c r="F8" s="1272"/>
      <c r="G8" s="1274"/>
      <c r="I8" s="267"/>
      <c r="N8" s="268"/>
      <c r="P8" s="274" t="s">
        <v>349</v>
      </c>
      <c r="Q8" s="253"/>
      <c r="R8" s="255"/>
      <c r="AA8" s="275"/>
      <c r="AB8" s="276">
        <v>3</v>
      </c>
      <c r="AC8" s="1287"/>
      <c r="AD8" s="1280"/>
      <c r="AE8" s="1280"/>
      <c r="AF8" s="1280"/>
      <c r="AG8" s="1280"/>
      <c r="AH8" s="1280"/>
      <c r="AI8" s="1282"/>
      <c r="AJ8" s="273"/>
    </row>
    <row r="9" spans="2:36" ht="20.100000000000001" customHeight="1" thickBot="1" x14ac:dyDescent="0.25">
      <c r="B9" s="266"/>
      <c r="C9" s="1268" t="s">
        <v>350</v>
      </c>
      <c r="D9" s="1270" t="s">
        <v>351</v>
      </c>
      <c r="E9" s="1272" t="s">
        <v>352</v>
      </c>
      <c r="F9" s="1272" t="s">
        <v>353</v>
      </c>
      <c r="G9" s="1274" t="s">
        <v>354</v>
      </c>
      <c r="I9" s="267"/>
      <c r="N9" s="268"/>
      <c r="P9" s="274" t="s">
        <v>355</v>
      </c>
      <c r="Q9" s="253"/>
      <c r="R9" s="255"/>
      <c r="AA9" s="275"/>
      <c r="AB9" s="254"/>
      <c r="AC9" s="781" t="str">
        <f>DIVERSITEIT!$R$4</f>
        <v xml:space="preserve"> 6-7-8</v>
      </c>
      <c r="AD9" s="782">
        <f>DIVERSITEIT!$AA$15</f>
        <v>10</v>
      </c>
      <c r="AE9" s="782">
        <f>DIVERSITEIT!$AA$29</f>
        <v>5</v>
      </c>
      <c r="AF9" s="782">
        <f>DIVERSITEIT!$AA$40</f>
        <v>2</v>
      </c>
      <c r="AG9" s="782">
        <f>DIVERSITEIT!$AA$48</f>
        <v>0</v>
      </c>
      <c r="AH9" s="783">
        <f>IF(AB8=1,AD9+(AE9*1.5)+(AF9*2)+(AG9*4),IF(AB8=2,(AD9+(AE9*1.5)+(AF9*2)+(AG9*4))*1.1,IF(AB8=3,(AD9+(AE9*1.5)+(AF9*2)+(AG9*4))*1.15,IF(AB8=4,(AD9+(AE9*1.5)+(AF9*2)+(AG9*4))*1.2))))</f>
        <v>24.724999999999998</v>
      </c>
      <c r="AI9" s="784">
        <f>AA52</f>
        <v>1.0302083333333334</v>
      </c>
      <c r="AJ9" s="273"/>
    </row>
    <row r="10" spans="2:36" ht="20.100000000000001" customHeight="1" x14ac:dyDescent="0.2">
      <c r="B10" s="266"/>
      <c r="C10" s="1268"/>
      <c r="D10" s="1270"/>
      <c r="E10" s="1272"/>
      <c r="F10" s="1272"/>
      <c r="G10" s="1274"/>
      <c r="I10" s="267"/>
      <c r="N10" s="268"/>
      <c r="P10" s="274" t="s">
        <v>356</v>
      </c>
      <c r="Q10" s="253"/>
      <c r="R10" s="255"/>
      <c r="AA10" s="275"/>
      <c r="AC10" s="255"/>
      <c r="AD10" s="255"/>
      <c r="AE10" s="255"/>
      <c r="AF10" s="255"/>
      <c r="AG10" s="255"/>
      <c r="AH10" s="785"/>
      <c r="AI10" s="786"/>
      <c r="AJ10" s="273"/>
    </row>
    <row r="11" spans="2:36" ht="20.100000000000001" customHeight="1" thickBot="1" x14ac:dyDescent="0.25">
      <c r="B11" s="266"/>
      <c r="C11" s="1268"/>
      <c r="D11" s="1270"/>
      <c r="E11" s="1272"/>
      <c r="F11" s="1272"/>
      <c r="G11" s="1274"/>
      <c r="I11" s="267"/>
      <c r="N11" s="268"/>
      <c r="P11" s="277" t="s">
        <v>357</v>
      </c>
      <c r="Q11" s="278"/>
      <c r="R11" s="279"/>
      <c r="S11" s="280"/>
      <c r="T11" s="280"/>
      <c r="U11" s="280"/>
      <c r="V11" s="280"/>
      <c r="W11" s="280"/>
      <c r="X11" s="280"/>
      <c r="Y11" s="280"/>
      <c r="Z11" s="280"/>
      <c r="AA11" s="281"/>
      <c r="AC11" s="255"/>
      <c r="AD11" s="255"/>
      <c r="AE11" s="255"/>
      <c r="AF11" s="255"/>
      <c r="AG11" s="255"/>
      <c r="AH11" s="785"/>
      <c r="AI11" s="786"/>
      <c r="AJ11" s="273"/>
    </row>
    <row r="12" spans="2:36" ht="20.100000000000001" customHeight="1" thickBot="1" x14ac:dyDescent="0.25">
      <c r="B12" s="282"/>
      <c r="C12" s="1301"/>
      <c r="D12" s="1270"/>
      <c r="E12" s="1272"/>
      <c r="F12" s="1272"/>
      <c r="G12" s="1274"/>
      <c r="I12" s="267"/>
      <c r="N12" s="268"/>
      <c r="AC12" s="255"/>
      <c r="AD12" s="255"/>
      <c r="AE12" s="255"/>
      <c r="AF12" s="255"/>
      <c r="AG12" s="255"/>
      <c r="AH12" s="785"/>
      <c r="AI12" s="786"/>
      <c r="AJ12" s="273"/>
    </row>
    <row r="13" spans="2:36" ht="20.100000000000001" customHeight="1" thickBot="1" x14ac:dyDescent="0.25">
      <c r="B13" s="1292" t="s">
        <v>44</v>
      </c>
      <c r="C13" s="1293"/>
      <c r="D13" s="283" t="s">
        <v>343</v>
      </c>
      <c r="E13" s="284" t="s">
        <v>344</v>
      </c>
      <c r="F13" s="284" t="s">
        <v>345</v>
      </c>
      <c r="G13" s="285" t="s">
        <v>346</v>
      </c>
      <c r="H13" s="255" t="s">
        <v>358</v>
      </c>
      <c r="I13" s="267" t="s">
        <v>358</v>
      </c>
      <c r="N13" s="268"/>
      <c r="AC13" s="1294" t="s">
        <v>359</v>
      </c>
      <c r="AD13" s="1295"/>
      <c r="AE13" s="1295"/>
      <c r="AF13" s="1295"/>
      <c r="AG13" s="1295"/>
      <c r="AH13" s="1295"/>
      <c r="AI13" s="1296"/>
    </row>
    <row r="14" spans="2:36" ht="20.100000000000001" customHeight="1" x14ac:dyDescent="0.2">
      <c r="B14" s="286">
        <v>1</v>
      </c>
      <c r="C14" s="287" t="str">
        <f>BEGINBLAD!C4</f>
        <v>leelring 1</v>
      </c>
      <c r="D14" s="266"/>
      <c r="G14" s="268"/>
      <c r="H14" s="787">
        <v>1</v>
      </c>
      <c r="I14" s="288">
        <f>IF(C14=0,"",IF(C14="","",IF(C14&gt;0,H14)))</f>
        <v>1</v>
      </c>
      <c r="J14" s="253" t="str">
        <f>IF(C14=0,"",IF(I14="","",IF(I14&lt;2,"",IF(I14&gt;1,"noteer de naam in de tabel hiernaast"))))</f>
        <v/>
      </c>
      <c r="N14" s="268"/>
      <c r="P14" s="289" t="s">
        <v>360</v>
      </c>
      <c r="Q14" s="290">
        <v>1</v>
      </c>
      <c r="R14" s="290">
        <v>2</v>
      </c>
      <c r="S14" s="290">
        <v>3</v>
      </c>
      <c r="T14" s="290">
        <v>4</v>
      </c>
      <c r="U14" s="290">
        <v>5</v>
      </c>
      <c r="V14" s="290">
        <v>6</v>
      </c>
      <c r="W14" s="290">
        <v>7</v>
      </c>
      <c r="X14" s="290">
        <v>8</v>
      </c>
      <c r="Y14" s="290">
        <v>9</v>
      </c>
      <c r="Z14" s="290">
        <v>10</v>
      </c>
      <c r="AA14" s="291"/>
      <c r="AC14" s="292" t="s">
        <v>43</v>
      </c>
      <c r="AD14" s="788" t="str">
        <f>$AC$9</f>
        <v xml:space="preserve"> 6-7-8</v>
      </c>
      <c r="AE14" s="293"/>
      <c r="AF14" s="293"/>
      <c r="AG14" s="1297" t="s">
        <v>361</v>
      </c>
      <c r="AH14" s="1298"/>
      <c r="AI14" s="294" t="s">
        <v>362</v>
      </c>
    </row>
    <row r="15" spans="2:36" ht="20.100000000000001" customHeight="1" thickBot="1" x14ac:dyDescent="0.25">
      <c r="B15" s="286">
        <v>2</v>
      </c>
      <c r="C15" s="287" t="str">
        <f>BEGINBLAD!C5</f>
        <v>leerling 2</v>
      </c>
      <c r="D15" s="266"/>
      <c r="G15" s="268"/>
      <c r="H15" s="787">
        <v>1</v>
      </c>
      <c r="I15" s="288">
        <f t="shared" ref="I15:I49" si="0">IF(C15=0,"",IF(C15="","",IF(C15&gt;0,H15)))</f>
        <v>1</v>
      </c>
      <c r="J15" s="253" t="str">
        <f t="shared" ref="J15:J49" si="1">IF(C15=0,"",IF(I15="","",IF(I15&lt;2,"",IF(I15&gt;1,"noteer de naam in de tabel hiernaast"))))</f>
        <v/>
      </c>
      <c r="N15" s="268"/>
      <c r="P15" s="295" t="s">
        <v>50</v>
      </c>
      <c r="Q15" s="296" t="s">
        <v>363</v>
      </c>
      <c r="R15" s="297"/>
      <c r="S15" s="297"/>
      <c r="T15" s="297"/>
      <c r="U15" s="297"/>
      <c r="V15" s="297"/>
      <c r="W15" s="297"/>
      <c r="X15" s="297"/>
      <c r="Y15" s="297"/>
      <c r="Z15" s="297"/>
      <c r="AA15" s="789">
        <f>R5-(AA29+AA40+AA48)</f>
        <v>10</v>
      </c>
      <c r="AC15" s="266" t="s">
        <v>364</v>
      </c>
      <c r="AG15" s="1299">
        <f>IF(AG17="","",IF(AG17&lt;&gt;0,AG17*1.692))</f>
        <v>-0.28728749999999981</v>
      </c>
      <c r="AH15" s="1300"/>
      <c r="AI15" s="298">
        <f>AG15*5</f>
        <v>-1.4364374999999989</v>
      </c>
    </row>
    <row r="16" spans="2:36" ht="20.100000000000001" customHeight="1" thickBot="1" x14ac:dyDescent="0.25">
      <c r="B16" s="286">
        <v>3</v>
      </c>
      <c r="C16" s="287" t="str">
        <f>BEGINBLAD!C6</f>
        <v>leerling 3</v>
      </c>
      <c r="D16" s="266"/>
      <c r="G16" s="268"/>
      <c r="H16" s="787">
        <v>1</v>
      </c>
      <c r="I16" s="288">
        <f t="shared" si="0"/>
        <v>1</v>
      </c>
      <c r="J16" s="253" t="str">
        <f t="shared" si="1"/>
        <v/>
      </c>
      <c r="N16" s="268"/>
      <c r="AC16" s="266" t="s">
        <v>365</v>
      </c>
      <c r="AG16" s="1299">
        <f>IF(AG17="","",IF(AG17&lt;&gt;0,AG17*1.462))</f>
        <v>-0.24823541666666651</v>
      </c>
      <c r="AH16" s="1300"/>
      <c r="AI16" s="298">
        <f>AG16*5</f>
        <v>-1.2411770833333327</v>
      </c>
    </row>
    <row r="17" spans="2:35" ht="20.100000000000001" customHeight="1" x14ac:dyDescent="0.2">
      <c r="B17" s="286">
        <v>4</v>
      </c>
      <c r="C17" s="287" t="str">
        <f>BEGINBLAD!C7</f>
        <v>leerling 4</v>
      </c>
      <c r="D17" s="266"/>
      <c r="G17" s="268"/>
      <c r="H17" s="787">
        <v>1</v>
      </c>
      <c r="I17" s="288">
        <f t="shared" si="0"/>
        <v>1</v>
      </c>
      <c r="J17" s="253" t="str">
        <f t="shared" si="1"/>
        <v/>
      </c>
      <c r="N17" s="268"/>
      <c r="P17" s="289" t="s">
        <v>366</v>
      </c>
      <c r="Q17" s="299" t="s">
        <v>367</v>
      </c>
      <c r="R17" s="299"/>
      <c r="S17" s="299"/>
      <c r="T17" s="299"/>
      <c r="U17" s="299"/>
      <c r="V17" s="299"/>
      <c r="W17" s="299"/>
      <c r="X17" s="299"/>
      <c r="Y17" s="299"/>
      <c r="Z17" s="299"/>
      <c r="AA17" s="291"/>
      <c r="AC17" s="266" t="s">
        <v>368</v>
      </c>
      <c r="AG17" s="1299">
        <f>IF($AI$9="","",IF($AI$9&lt;&gt;0,$AI$9-1.2))</f>
        <v>-0.16979166666666656</v>
      </c>
      <c r="AH17" s="1300"/>
      <c r="AI17" s="298">
        <f>AG17*5</f>
        <v>-0.84895833333333282</v>
      </c>
    </row>
    <row r="18" spans="2:35" ht="20.100000000000001" customHeight="1" thickBot="1" x14ac:dyDescent="0.25">
      <c r="B18" s="286">
        <v>5</v>
      </c>
      <c r="C18" s="287" t="str">
        <f>BEGINBLAD!C8</f>
        <v>leerling 5</v>
      </c>
      <c r="D18" s="266"/>
      <c r="G18" s="268"/>
      <c r="H18" s="787">
        <v>1</v>
      </c>
      <c r="I18" s="288">
        <f t="shared" si="0"/>
        <v>1</v>
      </c>
      <c r="J18" s="253" t="str">
        <f t="shared" si="1"/>
        <v/>
      </c>
      <c r="N18" s="268"/>
      <c r="P18" s="790" t="s">
        <v>369</v>
      </c>
      <c r="Q18" s="300"/>
      <c r="R18" s="300"/>
      <c r="S18" s="300"/>
      <c r="T18" s="300"/>
      <c r="U18" s="300"/>
      <c r="V18" s="300"/>
      <c r="W18" s="300"/>
      <c r="X18" s="300"/>
      <c r="Y18" s="300"/>
      <c r="Z18" s="300"/>
      <c r="AA18" s="791">
        <f t="shared" ref="AA18:AA28" si="2">COUNTA(Q18:Z18)</f>
        <v>0</v>
      </c>
      <c r="AC18" s="780" t="s">
        <v>370</v>
      </c>
      <c r="AD18" s="278"/>
      <c r="AE18" s="278"/>
      <c r="AF18" s="278"/>
      <c r="AG18" s="1289">
        <f>IF(AG17="","",IF(AG17&lt;&gt;0,AG17*0.423))</f>
        <v>-7.1821874999999952E-2</v>
      </c>
      <c r="AH18" s="1290"/>
      <c r="AI18" s="301">
        <f>AG18*5</f>
        <v>-0.35910937499999973</v>
      </c>
    </row>
    <row r="19" spans="2:35" ht="20.100000000000001" customHeight="1" x14ac:dyDescent="0.2">
      <c r="B19" s="286">
        <v>6</v>
      </c>
      <c r="C19" s="287" t="str">
        <f>BEGINBLAD!C9</f>
        <v>leerling 6</v>
      </c>
      <c r="D19" s="266"/>
      <c r="G19" s="268"/>
      <c r="H19" s="787">
        <v>2</v>
      </c>
      <c r="I19" s="288">
        <f t="shared" si="0"/>
        <v>2</v>
      </c>
      <c r="J19" s="253" t="str">
        <f t="shared" si="1"/>
        <v>noteer de naam in de tabel hiernaast</v>
      </c>
      <c r="N19" s="268"/>
      <c r="P19" s="790" t="s">
        <v>371</v>
      </c>
      <c r="Q19" s="300"/>
      <c r="R19" s="300"/>
      <c r="S19" s="300"/>
      <c r="T19" s="300"/>
      <c r="U19" s="300"/>
      <c r="V19" s="300"/>
      <c r="W19" s="300"/>
      <c r="X19" s="300"/>
      <c r="Y19" s="300"/>
      <c r="Z19" s="300"/>
      <c r="AA19" s="791">
        <f t="shared" si="2"/>
        <v>0</v>
      </c>
      <c r="AF19" s="256"/>
      <c r="AG19" s="256"/>
      <c r="AH19" s="256"/>
      <c r="AI19" s="786"/>
    </row>
    <row r="20" spans="2:35" ht="20.100000000000001" customHeight="1" x14ac:dyDescent="0.2">
      <c r="B20" s="286">
        <v>7</v>
      </c>
      <c r="C20" s="287" t="str">
        <f>BEGINBLAD!C10</f>
        <v>leerling 7</v>
      </c>
      <c r="D20" s="266"/>
      <c r="G20" s="268"/>
      <c r="H20" s="787">
        <v>1</v>
      </c>
      <c r="I20" s="288">
        <f t="shared" si="0"/>
        <v>1</v>
      </c>
      <c r="J20" s="253" t="str">
        <f t="shared" si="1"/>
        <v/>
      </c>
      <c r="N20" s="268"/>
      <c r="P20" s="790" t="s">
        <v>372</v>
      </c>
      <c r="Q20" s="300"/>
      <c r="R20" s="300"/>
      <c r="S20" s="300"/>
      <c r="T20" s="300"/>
      <c r="U20" s="300"/>
      <c r="V20" s="300"/>
      <c r="W20" s="300"/>
      <c r="X20" s="300"/>
      <c r="Y20" s="300"/>
      <c r="Z20" s="300"/>
      <c r="AA20" s="791">
        <f t="shared" si="2"/>
        <v>0</v>
      </c>
      <c r="AF20" s="256"/>
      <c r="AG20" s="256"/>
      <c r="AH20" s="256"/>
      <c r="AI20" s="786"/>
    </row>
    <row r="21" spans="2:35" ht="20.100000000000001" customHeight="1" x14ac:dyDescent="0.2">
      <c r="B21" s="286">
        <v>8</v>
      </c>
      <c r="C21" s="287" t="str">
        <f>BEGINBLAD!C11</f>
        <v>leerling 8</v>
      </c>
      <c r="D21" s="266"/>
      <c r="G21" s="268"/>
      <c r="H21" s="787">
        <v>1</v>
      </c>
      <c r="I21" s="288">
        <f t="shared" si="0"/>
        <v>1</v>
      </c>
      <c r="J21" s="253" t="str">
        <f t="shared" si="1"/>
        <v/>
      </c>
      <c r="N21" s="268"/>
      <c r="P21" s="790" t="s">
        <v>373</v>
      </c>
      <c r="Q21" s="300"/>
      <c r="R21" s="300"/>
      <c r="S21" s="300"/>
      <c r="T21" s="300"/>
      <c r="U21" s="300"/>
      <c r="V21" s="300"/>
      <c r="W21" s="300"/>
      <c r="X21" s="300"/>
      <c r="Y21" s="300"/>
      <c r="Z21" s="300"/>
      <c r="AA21" s="791">
        <f t="shared" si="2"/>
        <v>0</v>
      </c>
    </row>
    <row r="22" spans="2:35" ht="20.100000000000001" customHeight="1" x14ac:dyDescent="0.2">
      <c r="B22" s="286">
        <v>9</v>
      </c>
      <c r="C22" s="287" t="str">
        <f>BEGINBLAD!C12</f>
        <v>leerling 9</v>
      </c>
      <c r="D22" s="266"/>
      <c r="G22" s="268"/>
      <c r="H22" s="787">
        <v>1</v>
      </c>
      <c r="I22" s="288">
        <f t="shared" si="0"/>
        <v>1</v>
      </c>
      <c r="J22" s="253" t="str">
        <f t="shared" si="1"/>
        <v/>
      </c>
      <c r="N22" s="268"/>
      <c r="P22" s="790" t="s">
        <v>374</v>
      </c>
      <c r="Q22" s="300"/>
      <c r="R22" s="300"/>
      <c r="S22" s="300"/>
      <c r="T22" s="300"/>
      <c r="U22" s="300"/>
      <c r="V22" s="300"/>
      <c r="W22" s="300"/>
      <c r="X22" s="300"/>
      <c r="Y22" s="300"/>
      <c r="Z22" s="300"/>
      <c r="AA22" s="791">
        <f t="shared" si="2"/>
        <v>0</v>
      </c>
    </row>
    <row r="23" spans="2:35" ht="20.100000000000001" customHeight="1" x14ac:dyDescent="0.2">
      <c r="B23" s="286">
        <v>10</v>
      </c>
      <c r="C23" s="287" t="str">
        <f>BEGINBLAD!C13</f>
        <v>leerling 10</v>
      </c>
      <c r="D23" s="266"/>
      <c r="G23" s="268"/>
      <c r="H23" s="787">
        <v>2</v>
      </c>
      <c r="I23" s="288">
        <f t="shared" si="0"/>
        <v>2</v>
      </c>
      <c r="J23" s="253" t="str">
        <f t="shared" si="1"/>
        <v>noteer de naam in de tabel hiernaast</v>
      </c>
      <c r="N23" s="268"/>
      <c r="P23" s="790" t="s">
        <v>375</v>
      </c>
      <c r="Q23" s="300" t="s">
        <v>502</v>
      </c>
      <c r="R23" s="300" t="s">
        <v>501</v>
      </c>
      <c r="S23" s="300" t="s">
        <v>499</v>
      </c>
      <c r="T23" s="300"/>
      <c r="U23" s="300"/>
      <c r="V23" s="300"/>
      <c r="W23" s="300"/>
      <c r="X23" s="300"/>
      <c r="Y23" s="300"/>
      <c r="Z23" s="300"/>
      <c r="AA23" s="791">
        <f>COUNTA(Q23:Z23)</f>
        <v>3</v>
      </c>
    </row>
    <row r="24" spans="2:35" ht="20.100000000000001" customHeight="1" x14ac:dyDescent="0.2">
      <c r="B24" s="286">
        <v>11</v>
      </c>
      <c r="C24" s="287" t="str">
        <f>BEGINBLAD!C14</f>
        <v>leerling 11</v>
      </c>
      <c r="D24" s="266"/>
      <c r="G24" s="268"/>
      <c r="H24" s="787">
        <v>3</v>
      </c>
      <c r="I24" s="288">
        <f t="shared" si="0"/>
        <v>3</v>
      </c>
      <c r="J24" s="253" t="str">
        <f t="shared" si="1"/>
        <v>noteer de naam in de tabel hiernaast</v>
      </c>
      <c r="N24" s="268"/>
      <c r="P24" s="790" t="s">
        <v>376</v>
      </c>
      <c r="Q24" s="300"/>
      <c r="R24" s="300"/>
      <c r="S24" s="300"/>
      <c r="T24" s="300"/>
      <c r="U24" s="300"/>
      <c r="V24" s="300"/>
      <c r="W24" s="300"/>
      <c r="X24" s="300"/>
      <c r="Y24" s="300"/>
      <c r="Z24" s="300"/>
      <c r="AA24" s="791">
        <f t="shared" si="2"/>
        <v>0</v>
      </c>
    </row>
    <row r="25" spans="2:35" ht="20.100000000000001" customHeight="1" x14ac:dyDescent="0.2">
      <c r="B25" s="286">
        <v>12</v>
      </c>
      <c r="C25" s="287" t="str">
        <f>BEGINBLAD!C15</f>
        <v>leerling 12</v>
      </c>
      <c r="D25" s="266"/>
      <c r="G25" s="268"/>
      <c r="H25" s="787">
        <v>1</v>
      </c>
      <c r="I25" s="288">
        <f t="shared" si="0"/>
        <v>1</v>
      </c>
      <c r="J25" s="253" t="str">
        <f t="shared" si="1"/>
        <v/>
      </c>
      <c r="N25" s="268"/>
      <c r="P25" s="790" t="s">
        <v>234</v>
      </c>
      <c r="Q25" s="300"/>
      <c r="R25" s="300"/>
      <c r="S25" s="300"/>
      <c r="T25" s="300"/>
      <c r="U25" s="300"/>
      <c r="V25" s="300"/>
      <c r="W25" s="300"/>
      <c r="X25" s="300"/>
      <c r="Y25" s="300"/>
      <c r="Z25" s="300"/>
      <c r="AA25" s="791">
        <f t="shared" si="2"/>
        <v>0</v>
      </c>
    </row>
    <row r="26" spans="2:35" ht="20.100000000000001" customHeight="1" x14ac:dyDescent="0.2">
      <c r="B26" s="286">
        <v>13</v>
      </c>
      <c r="C26" s="287" t="str">
        <f>BEGINBLAD!C16</f>
        <v>leerling 13</v>
      </c>
      <c r="D26" s="266"/>
      <c r="G26" s="268"/>
      <c r="H26" s="787">
        <v>2</v>
      </c>
      <c r="I26" s="288">
        <f t="shared" si="0"/>
        <v>2</v>
      </c>
      <c r="J26" s="253" t="str">
        <f t="shared" si="1"/>
        <v>noteer de naam in de tabel hiernaast</v>
      </c>
      <c r="N26" s="268"/>
      <c r="P26" s="790" t="s">
        <v>377</v>
      </c>
      <c r="Q26" s="300"/>
      <c r="R26" s="300"/>
      <c r="S26" s="300"/>
      <c r="T26" s="300"/>
      <c r="U26" s="300"/>
      <c r="V26" s="300"/>
      <c r="W26" s="300"/>
      <c r="X26" s="300"/>
      <c r="Y26" s="300"/>
      <c r="Z26" s="300"/>
      <c r="AA26" s="791">
        <f t="shared" si="2"/>
        <v>0</v>
      </c>
    </row>
    <row r="27" spans="2:35" ht="20.100000000000001" customHeight="1" x14ac:dyDescent="0.2">
      <c r="B27" s="286">
        <v>14</v>
      </c>
      <c r="C27" s="287" t="str">
        <f>BEGINBLAD!C17</f>
        <v>leerling 14</v>
      </c>
      <c r="D27" s="266"/>
      <c r="G27" s="268"/>
      <c r="H27" s="787">
        <v>1</v>
      </c>
      <c r="I27" s="288">
        <f t="shared" si="0"/>
        <v>1</v>
      </c>
      <c r="J27" s="253" t="str">
        <f t="shared" si="1"/>
        <v/>
      </c>
      <c r="N27" s="268"/>
      <c r="P27" s="790" t="s">
        <v>378</v>
      </c>
      <c r="Q27" s="300" t="s">
        <v>225</v>
      </c>
      <c r="R27" s="300" t="s">
        <v>487</v>
      </c>
      <c r="S27" s="300"/>
      <c r="T27" s="300"/>
      <c r="U27" s="300"/>
      <c r="V27" s="300"/>
      <c r="W27" s="300"/>
      <c r="X27" s="300"/>
      <c r="Y27" s="300"/>
      <c r="Z27" s="300"/>
      <c r="AA27" s="791">
        <f t="shared" si="2"/>
        <v>2</v>
      </c>
    </row>
    <row r="28" spans="2:35" ht="20.100000000000001" customHeight="1" x14ac:dyDescent="0.2">
      <c r="B28" s="286">
        <v>15</v>
      </c>
      <c r="C28" s="287" t="str">
        <f>BEGINBLAD!C18</f>
        <v>leerling 15</v>
      </c>
      <c r="D28" s="266"/>
      <c r="G28" s="268"/>
      <c r="H28" s="787">
        <v>2</v>
      </c>
      <c r="I28" s="288">
        <f t="shared" si="0"/>
        <v>2</v>
      </c>
      <c r="J28" s="253" t="str">
        <f t="shared" si="1"/>
        <v>noteer de naam in de tabel hiernaast</v>
      </c>
      <c r="N28" s="268"/>
      <c r="P28" s="302" t="s">
        <v>379</v>
      </c>
      <c r="Q28" s="300"/>
      <c r="R28" s="300"/>
      <c r="S28" s="300"/>
      <c r="T28" s="300"/>
      <c r="U28" s="300"/>
      <c r="V28" s="300"/>
      <c r="W28" s="300"/>
      <c r="X28" s="300"/>
      <c r="Y28" s="300"/>
      <c r="Z28" s="300"/>
      <c r="AA28" s="791">
        <f t="shared" si="2"/>
        <v>0</v>
      </c>
    </row>
    <row r="29" spans="2:35" ht="20.100000000000001" customHeight="1" thickBot="1" x14ac:dyDescent="0.25">
      <c r="B29" s="286">
        <v>16</v>
      </c>
      <c r="C29" s="287" t="str">
        <f>BEGINBLAD!C19</f>
        <v>leerling 16</v>
      </c>
      <c r="D29" s="266"/>
      <c r="G29" s="268"/>
      <c r="H29" s="787">
        <v>1</v>
      </c>
      <c r="I29" s="288">
        <f t="shared" si="0"/>
        <v>1</v>
      </c>
      <c r="J29" s="253" t="str">
        <f t="shared" si="1"/>
        <v/>
      </c>
      <c r="N29" s="268"/>
      <c r="P29" s="295" t="s">
        <v>380</v>
      </c>
      <c r="Q29" s="297"/>
      <c r="R29" s="297"/>
      <c r="S29" s="297"/>
      <c r="T29" s="297"/>
      <c r="U29" s="297"/>
      <c r="V29" s="297"/>
      <c r="W29" s="297"/>
      <c r="X29" s="297"/>
      <c r="Y29" s="297"/>
      <c r="Z29" s="297"/>
      <c r="AA29" s="792">
        <f>SUM(AA21:AA27)</f>
        <v>5</v>
      </c>
    </row>
    <row r="30" spans="2:35" ht="20.100000000000001" customHeight="1" thickBot="1" x14ac:dyDescent="0.25">
      <c r="B30" s="286">
        <v>17</v>
      </c>
      <c r="C30" s="287" t="str">
        <f>BEGINBLAD!C20</f>
        <v>leerling 17</v>
      </c>
      <c r="D30" s="266"/>
      <c r="G30" s="268"/>
      <c r="H30" s="787">
        <v>1</v>
      </c>
      <c r="I30" s="288">
        <f t="shared" si="0"/>
        <v>1</v>
      </c>
      <c r="J30" s="253" t="str">
        <f t="shared" si="1"/>
        <v/>
      </c>
      <c r="N30" s="268"/>
      <c r="P30" s="793"/>
      <c r="Q30" s="793"/>
      <c r="R30" s="793"/>
      <c r="S30" s="793"/>
      <c r="T30" s="793"/>
      <c r="U30" s="793"/>
      <c r="V30" s="793"/>
      <c r="W30" s="793"/>
      <c r="X30" s="793"/>
      <c r="Y30" s="793"/>
      <c r="Z30" s="793"/>
    </row>
    <row r="31" spans="2:35" ht="20.100000000000001" customHeight="1" x14ac:dyDescent="0.2">
      <c r="B31" s="286">
        <v>18</v>
      </c>
      <c r="C31" s="287" t="str">
        <f>BEGINBLAD!C21</f>
        <v>leerling 18</v>
      </c>
      <c r="D31" s="266"/>
      <c r="G31" s="268"/>
      <c r="H31" s="787">
        <v>1</v>
      </c>
      <c r="I31" s="288">
        <f t="shared" si="0"/>
        <v>1</v>
      </c>
      <c r="J31" s="253" t="str">
        <f t="shared" si="1"/>
        <v/>
      </c>
      <c r="N31" s="268"/>
      <c r="P31" s="289" t="s">
        <v>381</v>
      </c>
      <c r="Q31" s="299" t="s">
        <v>367</v>
      </c>
      <c r="R31" s="299"/>
      <c r="S31" s="299"/>
      <c r="T31" s="299"/>
      <c r="U31" s="299"/>
      <c r="V31" s="299"/>
      <c r="W31" s="299"/>
      <c r="X31" s="299"/>
      <c r="Y31" s="299"/>
      <c r="Z31" s="299"/>
      <c r="AA31" s="291"/>
    </row>
    <row r="32" spans="2:35" ht="20.100000000000001" customHeight="1" x14ac:dyDescent="0.2">
      <c r="B32" s="286">
        <v>19</v>
      </c>
      <c r="C32" s="287" t="str">
        <f>BEGINBLAD!C22</f>
        <v>leerling 19</v>
      </c>
      <c r="D32" s="266"/>
      <c r="G32" s="268"/>
      <c r="H32" s="787">
        <v>1</v>
      </c>
      <c r="I32" s="288">
        <f t="shared" si="0"/>
        <v>1</v>
      </c>
      <c r="J32" s="253" t="str">
        <f t="shared" si="1"/>
        <v/>
      </c>
      <c r="N32" s="268"/>
      <c r="P32" s="790" t="s">
        <v>371</v>
      </c>
      <c r="Q32" s="300"/>
      <c r="R32" s="300"/>
      <c r="S32" s="300"/>
      <c r="T32" s="300"/>
      <c r="U32" s="300"/>
      <c r="V32" s="300"/>
      <c r="W32" s="300"/>
      <c r="X32" s="300"/>
      <c r="Y32" s="300"/>
      <c r="Z32" s="300"/>
      <c r="AA32" s="791">
        <f t="shared" ref="AA32:AA39" si="3">COUNTA(Q32:Z32)</f>
        <v>0</v>
      </c>
    </row>
    <row r="33" spans="2:35" ht="20.100000000000001" customHeight="1" x14ac:dyDescent="0.2">
      <c r="B33" s="286">
        <v>20</v>
      </c>
      <c r="C33" s="287" t="str">
        <f>BEGINBLAD!C23</f>
        <v>leerling 20</v>
      </c>
      <c r="D33" s="266"/>
      <c r="G33" s="268"/>
      <c r="H33" s="787">
        <v>1</v>
      </c>
      <c r="I33" s="288">
        <f t="shared" si="0"/>
        <v>1</v>
      </c>
      <c r="J33" s="253" t="str">
        <f t="shared" si="1"/>
        <v/>
      </c>
      <c r="N33" s="268"/>
      <c r="P33" s="790" t="s">
        <v>372</v>
      </c>
      <c r="Q33" s="300"/>
      <c r="R33" s="300"/>
      <c r="S33" s="300"/>
      <c r="T33" s="300"/>
      <c r="U33" s="300"/>
      <c r="V33" s="300"/>
      <c r="W33" s="300"/>
      <c r="X33" s="300"/>
      <c r="Y33" s="300"/>
      <c r="Z33" s="300"/>
      <c r="AA33" s="791">
        <f t="shared" si="3"/>
        <v>0</v>
      </c>
    </row>
    <row r="34" spans="2:35" ht="20.100000000000001" customHeight="1" x14ac:dyDescent="0.2">
      <c r="B34" s="286">
        <v>21</v>
      </c>
      <c r="C34" s="287" t="str">
        <f>BEGINBLAD!C24</f>
        <v>leerling 21</v>
      </c>
      <c r="D34" s="266"/>
      <c r="G34" s="268"/>
      <c r="H34" s="787">
        <v>1</v>
      </c>
      <c r="I34" s="288">
        <f t="shared" si="0"/>
        <v>1</v>
      </c>
      <c r="J34" s="253" t="str">
        <f t="shared" si="1"/>
        <v/>
      </c>
      <c r="N34" s="268"/>
      <c r="P34" s="790" t="s">
        <v>373</v>
      </c>
      <c r="Q34" s="300"/>
      <c r="R34" s="300"/>
      <c r="S34" s="300"/>
      <c r="T34" s="300"/>
      <c r="U34" s="300"/>
      <c r="V34" s="300"/>
      <c r="W34" s="300"/>
      <c r="X34" s="300"/>
      <c r="Y34" s="300"/>
      <c r="Z34" s="300"/>
      <c r="AA34" s="791">
        <f t="shared" si="3"/>
        <v>0</v>
      </c>
    </row>
    <row r="35" spans="2:35" ht="20.100000000000001" customHeight="1" x14ac:dyDescent="0.2">
      <c r="B35" s="286">
        <v>22</v>
      </c>
      <c r="C35" s="287" t="str">
        <f>BEGINBLAD!C25</f>
        <v>leerling 22</v>
      </c>
      <c r="D35" s="266"/>
      <c r="G35" s="268"/>
      <c r="H35" s="787">
        <v>1</v>
      </c>
      <c r="I35" s="288">
        <f t="shared" si="0"/>
        <v>1</v>
      </c>
      <c r="J35" s="253" t="str">
        <f t="shared" si="1"/>
        <v/>
      </c>
      <c r="N35" s="268"/>
      <c r="P35" s="790" t="s">
        <v>382</v>
      </c>
      <c r="Q35" s="300"/>
      <c r="R35" s="300"/>
      <c r="S35" s="300"/>
      <c r="T35" s="300"/>
      <c r="U35" s="300"/>
      <c r="V35" s="300"/>
      <c r="W35" s="300"/>
      <c r="X35" s="300"/>
      <c r="Y35" s="300"/>
      <c r="Z35" s="300"/>
      <c r="AA35" s="791">
        <f t="shared" si="3"/>
        <v>0</v>
      </c>
    </row>
    <row r="36" spans="2:35" ht="20.100000000000001" customHeight="1" x14ac:dyDescent="0.2">
      <c r="B36" s="286">
        <v>23</v>
      </c>
      <c r="C36" s="287" t="str">
        <f>BEGINBLAD!C26</f>
        <v>leerling 23</v>
      </c>
      <c r="D36" s="266"/>
      <c r="G36" s="268"/>
      <c r="H36" s="787">
        <v>1</v>
      </c>
      <c r="I36" s="288">
        <f t="shared" si="0"/>
        <v>1</v>
      </c>
      <c r="J36" s="253" t="str">
        <f t="shared" si="1"/>
        <v/>
      </c>
      <c r="N36" s="268"/>
      <c r="P36" s="790" t="s">
        <v>383</v>
      </c>
      <c r="Q36" s="300"/>
      <c r="R36" s="300"/>
      <c r="S36" s="300"/>
      <c r="T36" s="300"/>
      <c r="U36" s="300"/>
      <c r="V36" s="300"/>
      <c r="W36" s="300"/>
      <c r="X36" s="300"/>
      <c r="Y36" s="300"/>
      <c r="Z36" s="300"/>
      <c r="AA36" s="791">
        <f t="shared" si="3"/>
        <v>0</v>
      </c>
    </row>
    <row r="37" spans="2:35" ht="20.100000000000001" customHeight="1" x14ac:dyDescent="0.2">
      <c r="B37" s="286">
        <v>24</v>
      </c>
      <c r="C37" s="287" t="str">
        <f>BEGINBLAD!C27</f>
        <v>leerling 24</v>
      </c>
      <c r="D37" s="266"/>
      <c r="G37" s="268"/>
      <c r="H37" s="787">
        <v>1</v>
      </c>
      <c r="I37" s="288">
        <f t="shared" si="0"/>
        <v>1</v>
      </c>
      <c r="J37" s="253" t="str">
        <f t="shared" si="1"/>
        <v/>
      </c>
      <c r="N37" s="268"/>
      <c r="P37" s="790" t="s">
        <v>384</v>
      </c>
      <c r="Q37" s="300"/>
      <c r="R37" s="300"/>
      <c r="S37" s="300"/>
      <c r="T37" s="300"/>
      <c r="U37" s="300"/>
      <c r="V37" s="300"/>
      <c r="W37" s="300"/>
      <c r="X37" s="300"/>
      <c r="Y37" s="300"/>
      <c r="Z37" s="300"/>
      <c r="AA37" s="791">
        <f t="shared" si="3"/>
        <v>0</v>
      </c>
    </row>
    <row r="38" spans="2:35" ht="20.100000000000001" customHeight="1" x14ac:dyDescent="0.2">
      <c r="B38" s="286">
        <v>25</v>
      </c>
      <c r="C38" s="287" t="str">
        <f>BEGINBLAD!C28</f>
        <v>leerling 25</v>
      </c>
      <c r="D38" s="266"/>
      <c r="G38" s="268"/>
      <c r="H38" s="787">
        <v>1</v>
      </c>
      <c r="I38" s="288">
        <f t="shared" si="0"/>
        <v>1</v>
      </c>
      <c r="J38" s="253" t="str">
        <f t="shared" si="1"/>
        <v/>
      </c>
      <c r="N38" s="268"/>
      <c r="P38" s="790" t="s">
        <v>385</v>
      </c>
      <c r="Q38" s="300"/>
      <c r="R38" s="300"/>
      <c r="S38" s="300"/>
      <c r="T38" s="300"/>
      <c r="U38" s="300"/>
      <c r="V38" s="300"/>
      <c r="W38" s="300"/>
      <c r="X38" s="300"/>
      <c r="Y38" s="300"/>
      <c r="Z38" s="300"/>
      <c r="AA38" s="791">
        <f t="shared" si="3"/>
        <v>0</v>
      </c>
    </row>
    <row r="39" spans="2:35" ht="20.100000000000001" customHeight="1" x14ac:dyDescent="0.2">
      <c r="B39" s="286">
        <v>26</v>
      </c>
      <c r="C39" s="287" t="str">
        <f>BEGINBLAD!C29</f>
        <v>leerling 26</v>
      </c>
      <c r="D39" s="266"/>
      <c r="G39" s="268"/>
      <c r="H39" s="787">
        <v>1</v>
      </c>
      <c r="I39" s="288">
        <f t="shared" si="0"/>
        <v>1</v>
      </c>
      <c r="J39" s="253" t="str">
        <f t="shared" si="1"/>
        <v/>
      </c>
      <c r="N39" s="268"/>
      <c r="P39" s="790" t="s">
        <v>386</v>
      </c>
      <c r="Q39" s="300" t="s">
        <v>225</v>
      </c>
      <c r="R39" s="300" t="s">
        <v>490</v>
      </c>
      <c r="S39" s="300"/>
      <c r="T39" s="300"/>
      <c r="U39" s="300"/>
      <c r="V39" s="300"/>
      <c r="W39" s="300"/>
      <c r="X39" s="300"/>
      <c r="Y39" s="300"/>
      <c r="Z39" s="300"/>
      <c r="AA39" s="791">
        <f t="shared" si="3"/>
        <v>2</v>
      </c>
    </row>
    <row r="40" spans="2:35" ht="20.100000000000001" customHeight="1" thickBot="1" x14ac:dyDescent="0.25">
      <c r="B40" s="286">
        <v>27</v>
      </c>
      <c r="C40" s="287">
        <f>BEGINBLAD!C30</f>
        <v>0</v>
      </c>
      <c r="D40" s="266"/>
      <c r="G40" s="268"/>
      <c r="H40" s="787">
        <v>1</v>
      </c>
      <c r="I40" s="288" t="str">
        <f t="shared" si="0"/>
        <v/>
      </c>
      <c r="J40" s="253" t="str">
        <f t="shared" si="1"/>
        <v/>
      </c>
      <c r="N40" s="268"/>
      <c r="P40" s="295" t="s">
        <v>380</v>
      </c>
      <c r="Q40" s="297"/>
      <c r="R40" s="297"/>
      <c r="S40" s="297"/>
      <c r="T40" s="297"/>
      <c r="U40" s="297"/>
      <c r="V40" s="297"/>
      <c r="W40" s="297"/>
      <c r="X40" s="297"/>
      <c r="Y40" s="297"/>
      <c r="Z40" s="297"/>
      <c r="AA40" s="792">
        <f>SUM(AA32:AA39)</f>
        <v>2</v>
      </c>
    </row>
    <row r="41" spans="2:35" ht="20.100000000000001" customHeight="1" thickBot="1" x14ac:dyDescent="0.25">
      <c r="B41" s="286">
        <v>28</v>
      </c>
      <c r="C41" s="287">
        <f>BEGINBLAD!C31</f>
        <v>0</v>
      </c>
      <c r="D41" s="266"/>
      <c r="G41" s="268"/>
      <c r="H41" s="787">
        <v>1</v>
      </c>
      <c r="I41" s="288" t="str">
        <f t="shared" si="0"/>
        <v/>
      </c>
      <c r="J41" s="253" t="str">
        <f t="shared" si="1"/>
        <v/>
      </c>
      <c r="N41" s="268"/>
    </row>
    <row r="42" spans="2:35" ht="20.100000000000001" customHeight="1" x14ac:dyDescent="0.2">
      <c r="B42" s="286">
        <v>29</v>
      </c>
      <c r="C42" s="287">
        <f>BEGINBLAD!C32</f>
        <v>0</v>
      </c>
      <c r="D42" s="266"/>
      <c r="G42" s="268"/>
      <c r="H42" s="787">
        <v>1</v>
      </c>
      <c r="I42" s="288" t="str">
        <f t="shared" si="0"/>
        <v/>
      </c>
      <c r="J42" s="253" t="str">
        <f t="shared" si="1"/>
        <v/>
      </c>
      <c r="N42" s="268"/>
      <c r="P42" s="289" t="s">
        <v>387</v>
      </c>
      <c r="Q42" s="299" t="s">
        <v>367</v>
      </c>
      <c r="R42" s="299"/>
      <c r="S42" s="299"/>
      <c r="T42" s="299"/>
      <c r="U42" s="299"/>
      <c r="V42" s="299"/>
      <c r="W42" s="299"/>
      <c r="X42" s="299"/>
      <c r="Y42" s="299"/>
      <c r="Z42" s="299"/>
      <c r="AA42" s="291"/>
    </row>
    <row r="43" spans="2:35" ht="20.100000000000001" customHeight="1" x14ac:dyDescent="0.2">
      <c r="B43" s="286">
        <v>30</v>
      </c>
      <c r="C43" s="287">
        <f>BEGINBLAD!C33</f>
        <v>0</v>
      </c>
      <c r="D43" s="266"/>
      <c r="G43" s="268"/>
      <c r="H43" s="787">
        <v>1</v>
      </c>
      <c r="I43" s="288" t="str">
        <f t="shared" si="0"/>
        <v/>
      </c>
      <c r="J43" s="253" t="str">
        <f t="shared" si="1"/>
        <v/>
      </c>
      <c r="N43" s="268"/>
      <c r="P43" s="790" t="s">
        <v>388</v>
      </c>
      <c r="Q43" s="300"/>
      <c r="R43" s="300"/>
      <c r="S43" s="300"/>
      <c r="T43" s="300"/>
      <c r="U43" s="300"/>
      <c r="V43" s="300"/>
      <c r="W43" s="300"/>
      <c r="X43" s="300"/>
      <c r="Y43" s="300"/>
      <c r="Z43" s="300"/>
      <c r="AA43" s="791">
        <f>COUNTA(Q43:Z43)</f>
        <v>0</v>
      </c>
    </row>
    <row r="44" spans="2:35" ht="20.100000000000001" customHeight="1" x14ac:dyDescent="0.2">
      <c r="B44" s="286">
        <v>31</v>
      </c>
      <c r="C44" s="287">
        <f>BEGINBLAD!C34</f>
        <v>0</v>
      </c>
      <c r="D44" s="266"/>
      <c r="G44" s="268"/>
      <c r="H44" s="787">
        <v>1</v>
      </c>
      <c r="I44" s="288" t="str">
        <f t="shared" si="0"/>
        <v/>
      </c>
      <c r="J44" s="253" t="str">
        <f t="shared" si="1"/>
        <v/>
      </c>
      <c r="N44" s="268"/>
      <c r="P44" s="790" t="s">
        <v>389</v>
      </c>
      <c r="Q44" s="300"/>
      <c r="R44" s="300"/>
      <c r="S44" s="300"/>
      <c r="T44" s="300"/>
      <c r="U44" s="300"/>
      <c r="V44" s="300"/>
      <c r="W44" s="300"/>
      <c r="X44" s="300"/>
      <c r="Y44" s="300"/>
      <c r="Z44" s="300"/>
      <c r="AA44" s="791">
        <f>COUNTA(Q44:Z44)</f>
        <v>0</v>
      </c>
      <c r="AC44" s="1291"/>
      <c r="AD44" s="1291"/>
      <c r="AE44" s="1291"/>
      <c r="AF44" s="1291"/>
    </row>
    <row r="45" spans="2:35" ht="20.100000000000001" customHeight="1" x14ac:dyDescent="0.2">
      <c r="B45" s="286">
        <v>32</v>
      </c>
      <c r="C45" s="287">
        <f>BEGINBLAD!C35</f>
        <v>0</v>
      </c>
      <c r="D45" s="266"/>
      <c r="G45" s="268"/>
      <c r="H45" s="787">
        <v>1</v>
      </c>
      <c r="I45" s="288" t="str">
        <f t="shared" si="0"/>
        <v/>
      </c>
      <c r="J45" s="253" t="str">
        <f t="shared" si="1"/>
        <v/>
      </c>
      <c r="N45" s="268"/>
      <c r="P45" s="790" t="s">
        <v>390</v>
      </c>
      <c r="Q45" s="300"/>
      <c r="R45" s="300"/>
      <c r="S45" s="300"/>
      <c r="T45" s="300"/>
      <c r="U45" s="300"/>
      <c r="V45" s="300"/>
      <c r="W45" s="300"/>
      <c r="X45" s="300"/>
      <c r="Y45" s="300"/>
      <c r="Z45" s="300"/>
      <c r="AA45" s="791">
        <f>COUNTA(Q45:Z45)</f>
        <v>0</v>
      </c>
      <c r="AC45" s="255"/>
      <c r="AD45" s="255"/>
      <c r="AE45" s="255"/>
      <c r="AF45" s="255"/>
      <c r="AG45" s="255"/>
      <c r="AH45" s="255"/>
      <c r="AI45" s="255"/>
    </row>
    <row r="46" spans="2:35" ht="20.100000000000001" customHeight="1" x14ac:dyDescent="0.2">
      <c r="B46" s="286">
        <v>33</v>
      </c>
      <c r="C46" s="287">
        <f>BEGINBLAD!C36</f>
        <v>0</v>
      </c>
      <c r="D46" s="266"/>
      <c r="G46" s="268"/>
      <c r="H46" s="787">
        <v>1</v>
      </c>
      <c r="I46" s="288" t="str">
        <f t="shared" si="0"/>
        <v/>
      </c>
      <c r="J46" s="253" t="str">
        <f t="shared" si="1"/>
        <v/>
      </c>
      <c r="N46" s="268"/>
      <c r="P46" s="790" t="s">
        <v>391</v>
      </c>
      <c r="Q46" s="300"/>
      <c r="R46" s="300"/>
      <c r="S46" s="300"/>
      <c r="T46" s="300"/>
      <c r="U46" s="300"/>
      <c r="V46" s="300"/>
      <c r="W46" s="300"/>
      <c r="X46" s="300"/>
      <c r="Y46" s="300"/>
      <c r="Z46" s="300"/>
      <c r="AA46" s="791">
        <f>COUNTA(Q46:Z46)</f>
        <v>0</v>
      </c>
      <c r="AC46" s="256"/>
      <c r="AD46" s="256"/>
      <c r="AE46" s="256"/>
      <c r="AF46" s="794"/>
      <c r="AG46" s="794"/>
      <c r="AH46" s="794"/>
      <c r="AI46" s="794"/>
    </row>
    <row r="47" spans="2:35" ht="20.100000000000001" customHeight="1" x14ac:dyDescent="0.2">
      <c r="B47" s="286">
        <v>34</v>
      </c>
      <c r="C47" s="287">
        <f>BEGINBLAD!C37</f>
        <v>0</v>
      </c>
      <c r="D47" s="266"/>
      <c r="G47" s="268"/>
      <c r="H47" s="787">
        <v>1</v>
      </c>
      <c r="I47" s="288" t="str">
        <f t="shared" si="0"/>
        <v/>
      </c>
      <c r="J47" s="253" t="str">
        <f t="shared" si="1"/>
        <v/>
      </c>
      <c r="N47" s="268"/>
      <c r="P47" s="790" t="s">
        <v>392</v>
      </c>
      <c r="Q47" s="300"/>
      <c r="R47" s="300"/>
      <c r="S47" s="300"/>
      <c r="T47" s="300"/>
      <c r="U47" s="300"/>
      <c r="V47" s="300"/>
      <c r="W47" s="300"/>
      <c r="X47" s="300"/>
      <c r="Y47" s="300"/>
      <c r="Z47" s="300"/>
      <c r="AA47" s="791">
        <f>COUNTA(Q47:Z47)</f>
        <v>0</v>
      </c>
      <c r="AC47" s="256"/>
      <c r="AD47" s="256"/>
      <c r="AE47" s="256"/>
      <c r="AF47" s="794"/>
      <c r="AG47" s="794"/>
      <c r="AH47" s="794"/>
      <c r="AI47" s="794"/>
    </row>
    <row r="48" spans="2:35" ht="20.100000000000001" customHeight="1" thickBot="1" x14ac:dyDescent="0.25">
      <c r="B48" s="286">
        <v>35</v>
      </c>
      <c r="C48" s="287">
        <f>BEGINBLAD!C38</f>
        <v>0</v>
      </c>
      <c r="D48" s="266"/>
      <c r="G48" s="268"/>
      <c r="H48" s="787">
        <v>1</v>
      </c>
      <c r="I48" s="288" t="str">
        <f t="shared" si="0"/>
        <v/>
      </c>
      <c r="J48" s="253" t="str">
        <f t="shared" si="1"/>
        <v/>
      </c>
      <c r="N48" s="268"/>
      <c r="P48" s="295" t="s">
        <v>50</v>
      </c>
      <c r="Q48" s="297"/>
      <c r="R48" s="297"/>
      <c r="S48" s="297"/>
      <c r="T48" s="297"/>
      <c r="U48" s="297"/>
      <c r="V48" s="297"/>
      <c r="W48" s="297"/>
      <c r="X48" s="297"/>
      <c r="Y48" s="297"/>
      <c r="Z48" s="297"/>
      <c r="AA48" s="792">
        <f>SUM(AA43:AA47)</f>
        <v>0</v>
      </c>
    </row>
    <row r="49" spans="2:27" ht="20.100000000000001" customHeight="1" thickBot="1" x14ac:dyDescent="0.25">
      <c r="B49" s="286">
        <v>36</v>
      </c>
      <c r="C49" s="287">
        <f>BEGINBLAD!C39</f>
        <v>0</v>
      </c>
      <c r="D49" s="266"/>
      <c r="G49" s="268"/>
      <c r="H49" s="787">
        <v>1</v>
      </c>
      <c r="I49" s="288" t="str">
        <f t="shared" si="0"/>
        <v/>
      </c>
      <c r="J49" s="253" t="str">
        <f t="shared" si="1"/>
        <v/>
      </c>
      <c r="N49" s="268"/>
      <c r="P49" s="793"/>
      <c r="Q49" s="793"/>
      <c r="R49" s="793"/>
      <c r="S49" s="793"/>
      <c r="T49" s="793"/>
      <c r="U49" s="793"/>
      <c r="V49" s="793"/>
      <c r="W49" s="793"/>
      <c r="X49" s="793"/>
      <c r="Y49" s="793"/>
      <c r="Z49" s="793"/>
    </row>
    <row r="50" spans="2:27" ht="20.100000000000001" customHeight="1" x14ac:dyDescent="0.2">
      <c r="B50" s="303"/>
      <c r="C50" s="287"/>
      <c r="D50" s="266"/>
      <c r="G50" s="268"/>
      <c r="H50" s="787">
        <v>1</v>
      </c>
      <c r="I50" s="288"/>
      <c r="N50" s="268"/>
      <c r="P50" s="304" t="s">
        <v>339</v>
      </c>
      <c r="Q50" s="305"/>
      <c r="R50" s="305"/>
      <c r="S50" s="305"/>
      <c r="T50" s="305"/>
      <c r="U50" s="305"/>
      <c r="V50" s="305"/>
      <c r="W50" s="305"/>
      <c r="X50" s="305"/>
      <c r="Y50" s="305"/>
      <c r="Z50" s="305"/>
      <c r="AA50" s="306">
        <f>SUM(AA48+AA40+AA29+AA15)</f>
        <v>17</v>
      </c>
    </row>
    <row r="51" spans="2:27" ht="20.100000000000001" customHeight="1" x14ac:dyDescent="0.2">
      <c r="B51" s="286"/>
      <c r="C51" s="287"/>
      <c r="D51" s="266"/>
      <c r="G51" s="268"/>
      <c r="H51" s="787">
        <v>1</v>
      </c>
      <c r="I51" s="288"/>
      <c r="N51" s="268"/>
      <c r="P51" s="274"/>
      <c r="AA51" s="307">
        <f>AA15+(AA29*1.5)+(AA40*2)+(AA48*4)</f>
        <v>21.5</v>
      </c>
    </row>
    <row r="52" spans="2:27" ht="20.100000000000001" customHeight="1" thickBot="1" x14ac:dyDescent="0.25">
      <c r="B52" s="308"/>
      <c r="C52" s="334"/>
      <c r="D52" s="780"/>
      <c r="E52" s="278"/>
      <c r="F52" s="278"/>
      <c r="G52" s="271"/>
      <c r="H52" s="309">
        <v>1</v>
      </c>
      <c r="I52" s="322"/>
      <c r="J52" s="278"/>
      <c r="K52" s="278"/>
      <c r="L52" s="278"/>
      <c r="M52" s="278"/>
      <c r="N52" s="271"/>
      <c r="P52" s="295" t="s">
        <v>393</v>
      </c>
      <c r="Q52" s="297"/>
      <c r="R52" s="297"/>
      <c r="S52" s="297"/>
      <c r="T52" s="297"/>
      <c r="U52" s="297"/>
      <c r="V52" s="297"/>
      <c r="W52" s="297"/>
      <c r="X52" s="297"/>
      <c r="Y52" s="297"/>
      <c r="Z52" s="297"/>
      <c r="AA52" s="310">
        <f>IF(AB8=1,AA51/24,IF(AB8=2,(AA51/24)*1.1,IF(AB8=3,(AA51/24)*1.15,IF(AB8=4,(AA51/24)*1.2))))</f>
        <v>1.0302083333333334</v>
      </c>
    </row>
    <row r="53" spans="2:27" x14ac:dyDescent="0.2">
      <c r="C53" s="253">
        <f>BEGINBLAD!$D$40</f>
        <v>26</v>
      </c>
    </row>
  </sheetData>
  <sheetProtection algorithmName="SHA-512" hashValue="Bk2bwSKaE3ekWyRVy0gPjPK2jHCtrKxBiyDp2lLaplDH4AJHXvjzBx5woE7w3Q0Dvxe2xvo063TEndu2CsweDA==" saltValue="Tbrpb50cvLfLOG9JwhTMjw==" spinCount="100000" sheet="1" objects="1" scenarios="1"/>
  <mergeCells count="31">
    <mergeCell ref="AF7:AF8"/>
    <mergeCell ref="AG7:AG8"/>
    <mergeCell ref="AG18:AH18"/>
    <mergeCell ref="AC44:AF44"/>
    <mergeCell ref="B13:C13"/>
    <mergeCell ref="AC13:AI13"/>
    <mergeCell ref="AG14:AH14"/>
    <mergeCell ref="AG15:AH15"/>
    <mergeCell ref="AG16:AH16"/>
    <mergeCell ref="AG17:AH17"/>
    <mergeCell ref="C9:C12"/>
    <mergeCell ref="D9:D12"/>
    <mergeCell ref="E9:E12"/>
    <mergeCell ref="F9:F12"/>
    <mergeCell ref="G9:G12"/>
    <mergeCell ref="B2:N2"/>
    <mergeCell ref="P2:AA2"/>
    <mergeCell ref="AC2:AI2"/>
    <mergeCell ref="C4:C8"/>
    <mergeCell ref="D4:D8"/>
    <mergeCell ref="E4:E8"/>
    <mergeCell ref="F4:F8"/>
    <mergeCell ref="G4:G8"/>
    <mergeCell ref="P4:Q4"/>
    <mergeCell ref="P5:Q5"/>
    <mergeCell ref="AH7:AH8"/>
    <mergeCell ref="AI7:AI8"/>
    <mergeCell ref="P7:AA7"/>
    <mergeCell ref="AC7:AC8"/>
    <mergeCell ref="AD7:AD8"/>
    <mergeCell ref="AE7:AE8"/>
  </mergeCells>
  <conditionalFormatting sqref="I14:I52">
    <cfRule type="expression" dxfId="34" priority="4">
      <formula>$I14&gt;0</formula>
    </cfRule>
    <cfRule type="cellIs" dxfId="33" priority="5" operator="equal">
      <formula>4</formula>
    </cfRule>
    <cfRule type="cellIs" dxfId="32" priority="6" operator="equal">
      <formula>3</formula>
    </cfRule>
    <cfRule type="cellIs" dxfId="31" priority="7" operator="equal">
      <formula>2</formula>
    </cfRule>
    <cfRule type="cellIs" dxfId="30" priority="8" operator="equal">
      <formula>1</formula>
    </cfRule>
  </conditionalFormatting>
  <conditionalFormatting sqref="C14:C52">
    <cfRule type="expression" priority="1" stopIfTrue="1">
      <formula>$M15=""</formula>
    </cfRule>
    <cfRule type="expression" dxfId="29" priority="2" stopIfTrue="1">
      <formula>$M15&gt;9</formula>
    </cfRule>
    <cfRule type="expression" dxfId="28" priority="3" stopIfTrue="1">
      <formula>$M15&lt;0</formula>
    </cfRule>
  </conditionalFormatting>
  <pageMargins left="0.35433070866141736" right="0.31496062992125984" top="0.98425196850393704" bottom="0.43307086614173229" header="0.51181102362204722" footer="0.19685039370078741"/>
  <pageSetup paperSize="9" scale="38" orientation="landscape" horizontalDpi="4294967293" r:id="rId1"/>
  <headerFooter alignWithMargins="0">
    <oddHeader>&amp;C&amp;"Arial,Vet"&amp;22Diversiteit</oddHeader>
    <oddFooter>&amp;R© www.meesterharrie.nl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Option Button 1">
              <controlPr defaultSize="0" autoFill="0" autoLine="0" autoPict="0">
                <anchor moveWithCells="1">
                  <from>
                    <xdr:col>17</xdr:col>
                    <xdr:colOff>228600</xdr:colOff>
                    <xdr:row>7</xdr:row>
                    <xdr:rowOff>19050</xdr:rowOff>
                  </from>
                  <to>
                    <xdr:col>17</xdr:col>
                    <xdr:colOff>581025</xdr:colOff>
                    <xdr:row>7</xdr:row>
                    <xdr:rowOff>228600</xdr:rowOff>
                  </to>
                </anchor>
              </controlPr>
            </control>
          </mc:Choice>
        </mc:AlternateContent>
        <mc:AlternateContent xmlns:mc="http://schemas.openxmlformats.org/markup-compatibility/2006">
          <mc:Choice Requires="x14">
            <control shapeId="86018" r:id="rId5" name="Option Button 2">
              <controlPr defaultSize="0" autoFill="0" autoLine="0" autoPict="0">
                <anchor moveWithCells="1">
                  <from>
                    <xdr:col>17</xdr:col>
                    <xdr:colOff>228600</xdr:colOff>
                    <xdr:row>8</xdr:row>
                    <xdr:rowOff>19050</xdr:rowOff>
                  </from>
                  <to>
                    <xdr:col>17</xdr:col>
                    <xdr:colOff>581025</xdr:colOff>
                    <xdr:row>8</xdr:row>
                    <xdr:rowOff>228600</xdr:rowOff>
                  </to>
                </anchor>
              </controlPr>
            </control>
          </mc:Choice>
        </mc:AlternateContent>
        <mc:AlternateContent xmlns:mc="http://schemas.openxmlformats.org/markup-compatibility/2006">
          <mc:Choice Requires="x14">
            <control shapeId="86019" r:id="rId6" name="Option Button 3">
              <controlPr defaultSize="0" autoFill="0" autoLine="0" autoPict="0">
                <anchor moveWithCells="1">
                  <from>
                    <xdr:col>17</xdr:col>
                    <xdr:colOff>228600</xdr:colOff>
                    <xdr:row>9</xdr:row>
                    <xdr:rowOff>9525</xdr:rowOff>
                  </from>
                  <to>
                    <xdr:col>17</xdr:col>
                    <xdr:colOff>581025</xdr:colOff>
                    <xdr:row>9</xdr:row>
                    <xdr:rowOff>228600</xdr:rowOff>
                  </to>
                </anchor>
              </controlPr>
            </control>
          </mc:Choice>
        </mc:AlternateContent>
        <mc:AlternateContent xmlns:mc="http://schemas.openxmlformats.org/markup-compatibility/2006">
          <mc:Choice Requires="x14">
            <control shapeId="86020" r:id="rId7" name="Option Button 4">
              <controlPr defaultSize="0" autoFill="0" autoLine="0" autoPict="0">
                <anchor moveWithCells="1">
                  <from>
                    <xdr:col>17</xdr:col>
                    <xdr:colOff>228600</xdr:colOff>
                    <xdr:row>10</xdr:row>
                    <xdr:rowOff>9525</xdr:rowOff>
                  </from>
                  <to>
                    <xdr:col>17</xdr:col>
                    <xdr:colOff>581025</xdr:colOff>
                    <xdr:row>10</xdr:row>
                    <xdr:rowOff>228600</xdr:rowOff>
                  </to>
                </anchor>
              </controlPr>
            </control>
          </mc:Choice>
        </mc:AlternateContent>
        <mc:AlternateContent xmlns:mc="http://schemas.openxmlformats.org/markup-compatibility/2006">
          <mc:Choice Requires="x14">
            <control shapeId="86021" r:id="rId8" name="Option Button 5">
              <controlPr defaultSize="0" autoFill="0" autoLine="0" autoPict="0">
                <anchor moveWithCells="1">
                  <from>
                    <xdr:col>3</xdr:col>
                    <xdr:colOff>219075</xdr:colOff>
                    <xdr:row>13</xdr:row>
                    <xdr:rowOff>19050</xdr:rowOff>
                  </from>
                  <to>
                    <xdr:col>3</xdr:col>
                    <xdr:colOff>409575</xdr:colOff>
                    <xdr:row>13</xdr:row>
                    <xdr:rowOff>228600</xdr:rowOff>
                  </to>
                </anchor>
              </controlPr>
            </control>
          </mc:Choice>
        </mc:AlternateContent>
        <mc:AlternateContent xmlns:mc="http://schemas.openxmlformats.org/markup-compatibility/2006">
          <mc:Choice Requires="x14">
            <control shapeId="86022" r:id="rId9" name="Group Box 6">
              <controlPr defaultSize="0" autoFill="0" autoPict="0">
                <anchor moveWithCells="1">
                  <from>
                    <xdr:col>15</xdr:col>
                    <xdr:colOff>0</xdr:colOff>
                    <xdr:row>6</xdr:row>
                    <xdr:rowOff>247650</xdr:rowOff>
                  </from>
                  <to>
                    <xdr:col>26</xdr:col>
                    <xdr:colOff>704850</xdr:colOff>
                    <xdr:row>11</xdr:row>
                    <xdr:rowOff>0</xdr:rowOff>
                  </to>
                </anchor>
              </controlPr>
            </control>
          </mc:Choice>
        </mc:AlternateContent>
        <mc:AlternateContent xmlns:mc="http://schemas.openxmlformats.org/markup-compatibility/2006">
          <mc:Choice Requires="x14">
            <control shapeId="86023" r:id="rId10" name="Option Button 7">
              <controlPr defaultSize="0" autoFill="0" autoLine="0" autoPict="0">
                <anchor moveWithCells="1">
                  <from>
                    <xdr:col>4</xdr:col>
                    <xdr:colOff>219075</xdr:colOff>
                    <xdr:row>13</xdr:row>
                    <xdr:rowOff>19050</xdr:rowOff>
                  </from>
                  <to>
                    <xdr:col>4</xdr:col>
                    <xdr:colOff>409575</xdr:colOff>
                    <xdr:row>13</xdr:row>
                    <xdr:rowOff>228600</xdr:rowOff>
                  </to>
                </anchor>
              </controlPr>
            </control>
          </mc:Choice>
        </mc:AlternateContent>
        <mc:AlternateContent xmlns:mc="http://schemas.openxmlformats.org/markup-compatibility/2006">
          <mc:Choice Requires="x14">
            <control shapeId="86024" r:id="rId11" name="Option Button 8">
              <controlPr defaultSize="0" autoFill="0" autoLine="0" autoPict="0">
                <anchor moveWithCells="1">
                  <from>
                    <xdr:col>5</xdr:col>
                    <xdr:colOff>219075</xdr:colOff>
                    <xdr:row>13</xdr:row>
                    <xdr:rowOff>19050</xdr:rowOff>
                  </from>
                  <to>
                    <xdr:col>5</xdr:col>
                    <xdr:colOff>409575</xdr:colOff>
                    <xdr:row>13</xdr:row>
                    <xdr:rowOff>228600</xdr:rowOff>
                  </to>
                </anchor>
              </controlPr>
            </control>
          </mc:Choice>
        </mc:AlternateContent>
        <mc:AlternateContent xmlns:mc="http://schemas.openxmlformats.org/markup-compatibility/2006">
          <mc:Choice Requires="x14">
            <control shapeId="86025" r:id="rId12" name="Option Button 9">
              <controlPr defaultSize="0" autoFill="0" autoLine="0" autoPict="0">
                <anchor moveWithCells="1">
                  <from>
                    <xdr:col>6</xdr:col>
                    <xdr:colOff>219075</xdr:colOff>
                    <xdr:row>13</xdr:row>
                    <xdr:rowOff>19050</xdr:rowOff>
                  </from>
                  <to>
                    <xdr:col>6</xdr:col>
                    <xdr:colOff>409575</xdr:colOff>
                    <xdr:row>13</xdr:row>
                    <xdr:rowOff>228600</xdr:rowOff>
                  </to>
                </anchor>
              </controlPr>
            </control>
          </mc:Choice>
        </mc:AlternateContent>
        <mc:AlternateContent xmlns:mc="http://schemas.openxmlformats.org/markup-compatibility/2006">
          <mc:Choice Requires="x14">
            <control shapeId="86026" r:id="rId13" name="Option Button 10">
              <controlPr defaultSize="0" autoFill="0" autoLine="0" autoPict="0">
                <anchor moveWithCells="1">
                  <from>
                    <xdr:col>3</xdr:col>
                    <xdr:colOff>219075</xdr:colOff>
                    <xdr:row>14</xdr:row>
                    <xdr:rowOff>19050</xdr:rowOff>
                  </from>
                  <to>
                    <xdr:col>3</xdr:col>
                    <xdr:colOff>409575</xdr:colOff>
                    <xdr:row>14</xdr:row>
                    <xdr:rowOff>228600</xdr:rowOff>
                  </to>
                </anchor>
              </controlPr>
            </control>
          </mc:Choice>
        </mc:AlternateContent>
        <mc:AlternateContent xmlns:mc="http://schemas.openxmlformats.org/markup-compatibility/2006">
          <mc:Choice Requires="x14">
            <control shapeId="86027" r:id="rId14" name="Option Button 11">
              <controlPr defaultSize="0" autoFill="0" autoLine="0" autoPict="0">
                <anchor moveWithCells="1">
                  <from>
                    <xdr:col>4</xdr:col>
                    <xdr:colOff>219075</xdr:colOff>
                    <xdr:row>14</xdr:row>
                    <xdr:rowOff>19050</xdr:rowOff>
                  </from>
                  <to>
                    <xdr:col>4</xdr:col>
                    <xdr:colOff>409575</xdr:colOff>
                    <xdr:row>14</xdr:row>
                    <xdr:rowOff>228600</xdr:rowOff>
                  </to>
                </anchor>
              </controlPr>
            </control>
          </mc:Choice>
        </mc:AlternateContent>
        <mc:AlternateContent xmlns:mc="http://schemas.openxmlformats.org/markup-compatibility/2006">
          <mc:Choice Requires="x14">
            <control shapeId="86028" r:id="rId15" name="Option Button 12">
              <controlPr defaultSize="0" autoFill="0" autoLine="0" autoPict="0">
                <anchor moveWithCells="1">
                  <from>
                    <xdr:col>5</xdr:col>
                    <xdr:colOff>219075</xdr:colOff>
                    <xdr:row>14</xdr:row>
                    <xdr:rowOff>19050</xdr:rowOff>
                  </from>
                  <to>
                    <xdr:col>5</xdr:col>
                    <xdr:colOff>409575</xdr:colOff>
                    <xdr:row>14</xdr:row>
                    <xdr:rowOff>228600</xdr:rowOff>
                  </to>
                </anchor>
              </controlPr>
            </control>
          </mc:Choice>
        </mc:AlternateContent>
        <mc:AlternateContent xmlns:mc="http://schemas.openxmlformats.org/markup-compatibility/2006">
          <mc:Choice Requires="x14">
            <control shapeId="86029" r:id="rId16" name="Option Button 13">
              <controlPr defaultSize="0" autoFill="0" autoLine="0" autoPict="0">
                <anchor moveWithCells="1">
                  <from>
                    <xdr:col>6</xdr:col>
                    <xdr:colOff>219075</xdr:colOff>
                    <xdr:row>14</xdr:row>
                    <xdr:rowOff>19050</xdr:rowOff>
                  </from>
                  <to>
                    <xdr:col>6</xdr:col>
                    <xdr:colOff>409575</xdr:colOff>
                    <xdr:row>14</xdr:row>
                    <xdr:rowOff>228600</xdr:rowOff>
                  </to>
                </anchor>
              </controlPr>
            </control>
          </mc:Choice>
        </mc:AlternateContent>
        <mc:AlternateContent xmlns:mc="http://schemas.openxmlformats.org/markup-compatibility/2006">
          <mc:Choice Requires="x14">
            <control shapeId="86030" r:id="rId17" name="Option Button 14">
              <controlPr defaultSize="0" autoFill="0" autoLine="0" autoPict="0">
                <anchor moveWithCells="1">
                  <from>
                    <xdr:col>3</xdr:col>
                    <xdr:colOff>219075</xdr:colOff>
                    <xdr:row>15</xdr:row>
                    <xdr:rowOff>19050</xdr:rowOff>
                  </from>
                  <to>
                    <xdr:col>3</xdr:col>
                    <xdr:colOff>409575</xdr:colOff>
                    <xdr:row>15</xdr:row>
                    <xdr:rowOff>228600</xdr:rowOff>
                  </to>
                </anchor>
              </controlPr>
            </control>
          </mc:Choice>
        </mc:AlternateContent>
        <mc:AlternateContent xmlns:mc="http://schemas.openxmlformats.org/markup-compatibility/2006">
          <mc:Choice Requires="x14">
            <control shapeId="86031" r:id="rId18" name="Option Button 15">
              <controlPr defaultSize="0" autoFill="0" autoLine="0" autoPict="0">
                <anchor moveWithCells="1">
                  <from>
                    <xdr:col>4</xdr:col>
                    <xdr:colOff>219075</xdr:colOff>
                    <xdr:row>15</xdr:row>
                    <xdr:rowOff>19050</xdr:rowOff>
                  </from>
                  <to>
                    <xdr:col>4</xdr:col>
                    <xdr:colOff>409575</xdr:colOff>
                    <xdr:row>15</xdr:row>
                    <xdr:rowOff>228600</xdr:rowOff>
                  </to>
                </anchor>
              </controlPr>
            </control>
          </mc:Choice>
        </mc:AlternateContent>
        <mc:AlternateContent xmlns:mc="http://schemas.openxmlformats.org/markup-compatibility/2006">
          <mc:Choice Requires="x14">
            <control shapeId="86032" r:id="rId19" name="Option Button 16">
              <controlPr defaultSize="0" autoFill="0" autoLine="0" autoPict="0">
                <anchor moveWithCells="1">
                  <from>
                    <xdr:col>5</xdr:col>
                    <xdr:colOff>219075</xdr:colOff>
                    <xdr:row>15</xdr:row>
                    <xdr:rowOff>19050</xdr:rowOff>
                  </from>
                  <to>
                    <xdr:col>5</xdr:col>
                    <xdr:colOff>409575</xdr:colOff>
                    <xdr:row>15</xdr:row>
                    <xdr:rowOff>228600</xdr:rowOff>
                  </to>
                </anchor>
              </controlPr>
            </control>
          </mc:Choice>
        </mc:AlternateContent>
        <mc:AlternateContent xmlns:mc="http://schemas.openxmlformats.org/markup-compatibility/2006">
          <mc:Choice Requires="x14">
            <control shapeId="86033" r:id="rId20" name="Option Button 17">
              <controlPr defaultSize="0" autoFill="0" autoLine="0" autoPict="0">
                <anchor moveWithCells="1">
                  <from>
                    <xdr:col>6</xdr:col>
                    <xdr:colOff>219075</xdr:colOff>
                    <xdr:row>15</xdr:row>
                    <xdr:rowOff>19050</xdr:rowOff>
                  </from>
                  <to>
                    <xdr:col>6</xdr:col>
                    <xdr:colOff>409575</xdr:colOff>
                    <xdr:row>15</xdr:row>
                    <xdr:rowOff>228600</xdr:rowOff>
                  </to>
                </anchor>
              </controlPr>
            </control>
          </mc:Choice>
        </mc:AlternateContent>
        <mc:AlternateContent xmlns:mc="http://schemas.openxmlformats.org/markup-compatibility/2006">
          <mc:Choice Requires="x14">
            <control shapeId="86034" r:id="rId21" name="Option Button 18">
              <controlPr defaultSize="0" autoFill="0" autoLine="0" autoPict="0">
                <anchor moveWithCells="1">
                  <from>
                    <xdr:col>3</xdr:col>
                    <xdr:colOff>219075</xdr:colOff>
                    <xdr:row>16</xdr:row>
                    <xdr:rowOff>19050</xdr:rowOff>
                  </from>
                  <to>
                    <xdr:col>3</xdr:col>
                    <xdr:colOff>409575</xdr:colOff>
                    <xdr:row>16</xdr:row>
                    <xdr:rowOff>228600</xdr:rowOff>
                  </to>
                </anchor>
              </controlPr>
            </control>
          </mc:Choice>
        </mc:AlternateContent>
        <mc:AlternateContent xmlns:mc="http://schemas.openxmlformats.org/markup-compatibility/2006">
          <mc:Choice Requires="x14">
            <control shapeId="86035" r:id="rId22" name="Option Button 19">
              <controlPr defaultSize="0" autoFill="0" autoLine="0" autoPict="0">
                <anchor moveWithCells="1">
                  <from>
                    <xdr:col>4</xdr:col>
                    <xdr:colOff>219075</xdr:colOff>
                    <xdr:row>16</xdr:row>
                    <xdr:rowOff>19050</xdr:rowOff>
                  </from>
                  <to>
                    <xdr:col>4</xdr:col>
                    <xdr:colOff>409575</xdr:colOff>
                    <xdr:row>16</xdr:row>
                    <xdr:rowOff>228600</xdr:rowOff>
                  </to>
                </anchor>
              </controlPr>
            </control>
          </mc:Choice>
        </mc:AlternateContent>
        <mc:AlternateContent xmlns:mc="http://schemas.openxmlformats.org/markup-compatibility/2006">
          <mc:Choice Requires="x14">
            <control shapeId="86036" r:id="rId23" name="Option Button 20">
              <controlPr defaultSize="0" autoFill="0" autoLine="0" autoPict="0">
                <anchor moveWithCells="1">
                  <from>
                    <xdr:col>5</xdr:col>
                    <xdr:colOff>219075</xdr:colOff>
                    <xdr:row>16</xdr:row>
                    <xdr:rowOff>19050</xdr:rowOff>
                  </from>
                  <to>
                    <xdr:col>5</xdr:col>
                    <xdr:colOff>409575</xdr:colOff>
                    <xdr:row>16</xdr:row>
                    <xdr:rowOff>228600</xdr:rowOff>
                  </to>
                </anchor>
              </controlPr>
            </control>
          </mc:Choice>
        </mc:AlternateContent>
        <mc:AlternateContent xmlns:mc="http://schemas.openxmlformats.org/markup-compatibility/2006">
          <mc:Choice Requires="x14">
            <control shapeId="86037" r:id="rId24" name="Option Button 21">
              <controlPr defaultSize="0" autoFill="0" autoLine="0" autoPict="0">
                <anchor moveWithCells="1">
                  <from>
                    <xdr:col>6</xdr:col>
                    <xdr:colOff>219075</xdr:colOff>
                    <xdr:row>16</xdr:row>
                    <xdr:rowOff>19050</xdr:rowOff>
                  </from>
                  <to>
                    <xdr:col>6</xdr:col>
                    <xdr:colOff>409575</xdr:colOff>
                    <xdr:row>16</xdr:row>
                    <xdr:rowOff>228600</xdr:rowOff>
                  </to>
                </anchor>
              </controlPr>
            </control>
          </mc:Choice>
        </mc:AlternateContent>
        <mc:AlternateContent xmlns:mc="http://schemas.openxmlformats.org/markup-compatibility/2006">
          <mc:Choice Requires="x14">
            <control shapeId="86038" r:id="rId25" name="Option Button 22">
              <controlPr defaultSize="0" autoFill="0" autoLine="0" autoPict="0">
                <anchor moveWithCells="1">
                  <from>
                    <xdr:col>3</xdr:col>
                    <xdr:colOff>219075</xdr:colOff>
                    <xdr:row>17</xdr:row>
                    <xdr:rowOff>19050</xdr:rowOff>
                  </from>
                  <to>
                    <xdr:col>3</xdr:col>
                    <xdr:colOff>409575</xdr:colOff>
                    <xdr:row>17</xdr:row>
                    <xdr:rowOff>228600</xdr:rowOff>
                  </to>
                </anchor>
              </controlPr>
            </control>
          </mc:Choice>
        </mc:AlternateContent>
        <mc:AlternateContent xmlns:mc="http://schemas.openxmlformats.org/markup-compatibility/2006">
          <mc:Choice Requires="x14">
            <control shapeId="86039" r:id="rId26" name="Option Button 23">
              <controlPr defaultSize="0" autoFill="0" autoLine="0" autoPict="0">
                <anchor moveWithCells="1">
                  <from>
                    <xdr:col>4</xdr:col>
                    <xdr:colOff>219075</xdr:colOff>
                    <xdr:row>17</xdr:row>
                    <xdr:rowOff>19050</xdr:rowOff>
                  </from>
                  <to>
                    <xdr:col>4</xdr:col>
                    <xdr:colOff>409575</xdr:colOff>
                    <xdr:row>17</xdr:row>
                    <xdr:rowOff>228600</xdr:rowOff>
                  </to>
                </anchor>
              </controlPr>
            </control>
          </mc:Choice>
        </mc:AlternateContent>
        <mc:AlternateContent xmlns:mc="http://schemas.openxmlformats.org/markup-compatibility/2006">
          <mc:Choice Requires="x14">
            <control shapeId="86040" r:id="rId27" name="Option Button 24">
              <controlPr defaultSize="0" autoFill="0" autoLine="0" autoPict="0">
                <anchor moveWithCells="1">
                  <from>
                    <xdr:col>5</xdr:col>
                    <xdr:colOff>219075</xdr:colOff>
                    <xdr:row>17</xdr:row>
                    <xdr:rowOff>19050</xdr:rowOff>
                  </from>
                  <to>
                    <xdr:col>5</xdr:col>
                    <xdr:colOff>409575</xdr:colOff>
                    <xdr:row>17</xdr:row>
                    <xdr:rowOff>228600</xdr:rowOff>
                  </to>
                </anchor>
              </controlPr>
            </control>
          </mc:Choice>
        </mc:AlternateContent>
        <mc:AlternateContent xmlns:mc="http://schemas.openxmlformats.org/markup-compatibility/2006">
          <mc:Choice Requires="x14">
            <control shapeId="86041" r:id="rId28" name="Option Button 25">
              <controlPr defaultSize="0" autoFill="0" autoLine="0" autoPict="0">
                <anchor moveWithCells="1">
                  <from>
                    <xdr:col>6</xdr:col>
                    <xdr:colOff>219075</xdr:colOff>
                    <xdr:row>17</xdr:row>
                    <xdr:rowOff>19050</xdr:rowOff>
                  </from>
                  <to>
                    <xdr:col>6</xdr:col>
                    <xdr:colOff>409575</xdr:colOff>
                    <xdr:row>17</xdr:row>
                    <xdr:rowOff>228600</xdr:rowOff>
                  </to>
                </anchor>
              </controlPr>
            </control>
          </mc:Choice>
        </mc:AlternateContent>
        <mc:AlternateContent xmlns:mc="http://schemas.openxmlformats.org/markup-compatibility/2006">
          <mc:Choice Requires="x14">
            <control shapeId="86042" r:id="rId29" name="Option Button 26">
              <controlPr defaultSize="0" autoFill="0" autoLine="0" autoPict="0">
                <anchor moveWithCells="1">
                  <from>
                    <xdr:col>3</xdr:col>
                    <xdr:colOff>219075</xdr:colOff>
                    <xdr:row>18</xdr:row>
                    <xdr:rowOff>19050</xdr:rowOff>
                  </from>
                  <to>
                    <xdr:col>3</xdr:col>
                    <xdr:colOff>409575</xdr:colOff>
                    <xdr:row>18</xdr:row>
                    <xdr:rowOff>228600</xdr:rowOff>
                  </to>
                </anchor>
              </controlPr>
            </control>
          </mc:Choice>
        </mc:AlternateContent>
        <mc:AlternateContent xmlns:mc="http://schemas.openxmlformats.org/markup-compatibility/2006">
          <mc:Choice Requires="x14">
            <control shapeId="86043" r:id="rId30" name="Option Button 27">
              <controlPr defaultSize="0" autoFill="0" autoLine="0" autoPict="0">
                <anchor moveWithCells="1">
                  <from>
                    <xdr:col>4</xdr:col>
                    <xdr:colOff>219075</xdr:colOff>
                    <xdr:row>18</xdr:row>
                    <xdr:rowOff>19050</xdr:rowOff>
                  </from>
                  <to>
                    <xdr:col>4</xdr:col>
                    <xdr:colOff>409575</xdr:colOff>
                    <xdr:row>18</xdr:row>
                    <xdr:rowOff>228600</xdr:rowOff>
                  </to>
                </anchor>
              </controlPr>
            </control>
          </mc:Choice>
        </mc:AlternateContent>
        <mc:AlternateContent xmlns:mc="http://schemas.openxmlformats.org/markup-compatibility/2006">
          <mc:Choice Requires="x14">
            <control shapeId="86044" r:id="rId31" name="Option Button 28">
              <controlPr defaultSize="0" autoFill="0" autoLine="0" autoPict="0">
                <anchor moveWithCells="1">
                  <from>
                    <xdr:col>5</xdr:col>
                    <xdr:colOff>219075</xdr:colOff>
                    <xdr:row>18</xdr:row>
                    <xdr:rowOff>19050</xdr:rowOff>
                  </from>
                  <to>
                    <xdr:col>5</xdr:col>
                    <xdr:colOff>409575</xdr:colOff>
                    <xdr:row>18</xdr:row>
                    <xdr:rowOff>228600</xdr:rowOff>
                  </to>
                </anchor>
              </controlPr>
            </control>
          </mc:Choice>
        </mc:AlternateContent>
        <mc:AlternateContent xmlns:mc="http://schemas.openxmlformats.org/markup-compatibility/2006">
          <mc:Choice Requires="x14">
            <control shapeId="86045" r:id="rId32" name="Option Button 29">
              <controlPr defaultSize="0" autoFill="0" autoLine="0" autoPict="0">
                <anchor moveWithCells="1">
                  <from>
                    <xdr:col>6</xdr:col>
                    <xdr:colOff>219075</xdr:colOff>
                    <xdr:row>18</xdr:row>
                    <xdr:rowOff>19050</xdr:rowOff>
                  </from>
                  <to>
                    <xdr:col>6</xdr:col>
                    <xdr:colOff>409575</xdr:colOff>
                    <xdr:row>18</xdr:row>
                    <xdr:rowOff>228600</xdr:rowOff>
                  </to>
                </anchor>
              </controlPr>
            </control>
          </mc:Choice>
        </mc:AlternateContent>
        <mc:AlternateContent xmlns:mc="http://schemas.openxmlformats.org/markup-compatibility/2006">
          <mc:Choice Requires="x14">
            <control shapeId="86046" r:id="rId33" name="Option Button 30">
              <controlPr defaultSize="0" autoFill="0" autoLine="0" autoPict="0">
                <anchor moveWithCells="1">
                  <from>
                    <xdr:col>3</xdr:col>
                    <xdr:colOff>219075</xdr:colOff>
                    <xdr:row>19</xdr:row>
                    <xdr:rowOff>19050</xdr:rowOff>
                  </from>
                  <to>
                    <xdr:col>3</xdr:col>
                    <xdr:colOff>409575</xdr:colOff>
                    <xdr:row>19</xdr:row>
                    <xdr:rowOff>228600</xdr:rowOff>
                  </to>
                </anchor>
              </controlPr>
            </control>
          </mc:Choice>
        </mc:AlternateContent>
        <mc:AlternateContent xmlns:mc="http://schemas.openxmlformats.org/markup-compatibility/2006">
          <mc:Choice Requires="x14">
            <control shapeId="86047" r:id="rId34" name="Option Button 31">
              <controlPr defaultSize="0" autoFill="0" autoLine="0" autoPict="0">
                <anchor moveWithCells="1">
                  <from>
                    <xdr:col>4</xdr:col>
                    <xdr:colOff>219075</xdr:colOff>
                    <xdr:row>19</xdr:row>
                    <xdr:rowOff>19050</xdr:rowOff>
                  </from>
                  <to>
                    <xdr:col>4</xdr:col>
                    <xdr:colOff>409575</xdr:colOff>
                    <xdr:row>19</xdr:row>
                    <xdr:rowOff>228600</xdr:rowOff>
                  </to>
                </anchor>
              </controlPr>
            </control>
          </mc:Choice>
        </mc:AlternateContent>
        <mc:AlternateContent xmlns:mc="http://schemas.openxmlformats.org/markup-compatibility/2006">
          <mc:Choice Requires="x14">
            <control shapeId="86048" r:id="rId35" name="Option Button 32">
              <controlPr defaultSize="0" autoFill="0" autoLine="0" autoPict="0">
                <anchor moveWithCells="1">
                  <from>
                    <xdr:col>5</xdr:col>
                    <xdr:colOff>219075</xdr:colOff>
                    <xdr:row>19</xdr:row>
                    <xdr:rowOff>19050</xdr:rowOff>
                  </from>
                  <to>
                    <xdr:col>5</xdr:col>
                    <xdr:colOff>409575</xdr:colOff>
                    <xdr:row>19</xdr:row>
                    <xdr:rowOff>228600</xdr:rowOff>
                  </to>
                </anchor>
              </controlPr>
            </control>
          </mc:Choice>
        </mc:AlternateContent>
        <mc:AlternateContent xmlns:mc="http://schemas.openxmlformats.org/markup-compatibility/2006">
          <mc:Choice Requires="x14">
            <control shapeId="86049" r:id="rId36" name="Option Button 33">
              <controlPr defaultSize="0" autoFill="0" autoLine="0" autoPict="0">
                <anchor moveWithCells="1">
                  <from>
                    <xdr:col>6</xdr:col>
                    <xdr:colOff>219075</xdr:colOff>
                    <xdr:row>19</xdr:row>
                    <xdr:rowOff>19050</xdr:rowOff>
                  </from>
                  <to>
                    <xdr:col>6</xdr:col>
                    <xdr:colOff>409575</xdr:colOff>
                    <xdr:row>19</xdr:row>
                    <xdr:rowOff>228600</xdr:rowOff>
                  </to>
                </anchor>
              </controlPr>
            </control>
          </mc:Choice>
        </mc:AlternateContent>
        <mc:AlternateContent xmlns:mc="http://schemas.openxmlformats.org/markup-compatibility/2006">
          <mc:Choice Requires="x14">
            <control shapeId="86050" r:id="rId37" name="Option Button 34">
              <controlPr defaultSize="0" autoFill="0" autoLine="0" autoPict="0">
                <anchor moveWithCells="1">
                  <from>
                    <xdr:col>3</xdr:col>
                    <xdr:colOff>219075</xdr:colOff>
                    <xdr:row>20</xdr:row>
                    <xdr:rowOff>19050</xdr:rowOff>
                  </from>
                  <to>
                    <xdr:col>3</xdr:col>
                    <xdr:colOff>409575</xdr:colOff>
                    <xdr:row>20</xdr:row>
                    <xdr:rowOff>228600</xdr:rowOff>
                  </to>
                </anchor>
              </controlPr>
            </control>
          </mc:Choice>
        </mc:AlternateContent>
        <mc:AlternateContent xmlns:mc="http://schemas.openxmlformats.org/markup-compatibility/2006">
          <mc:Choice Requires="x14">
            <control shapeId="86051" r:id="rId38" name="Option Button 35">
              <controlPr defaultSize="0" autoFill="0" autoLine="0" autoPict="0">
                <anchor moveWithCells="1">
                  <from>
                    <xdr:col>4</xdr:col>
                    <xdr:colOff>219075</xdr:colOff>
                    <xdr:row>20</xdr:row>
                    <xdr:rowOff>19050</xdr:rowOff>
                  </from>
                  <to>
                    <xdr:col>4</xdr:col>
                    <xdr:colOff>409575</xdr:colOff>
                    <xdr:row>20</xdr:row>
                    <xdr:rowOff>228600</xdr:rowOff>
                  </to>
                </anchor>
              </controlPr>
            </control>
          </mc:Choice>
        </mc:AlternateContent>
        <mc:AlternateContent xmlns:mc="http://schemas.openxmlformats.org/markup-compatibility/2006">
          <mc:Choice Requires="x14">
            <control shapeId="86052" r:id="rId39" name="Option Button 36">
              <controlPr defaultSize="0" autoFill="0" autoLine="0" autoPict="0">
                <anchor moveWithCells="1">
                  <from>
                    <xdr:col>5</xdr:col>
                    <xdr:colOff>219075</xdr:colOff>
                    <xdr:row>20</xdr:row>
                    <xdr:rowOff>19050</xdr:rowOff>
                  </from>
                  <to>
                    <xdr:col>5</xdr:col>
                    <xdr:colOff>409575</xdr:colOff>
                    <xdr:row>20</xdr:row>
                    <xdr:rowOff>228600</xdr:rowOff>
                  </to>
                </anchor>
              </controlPr>
            </control>
          </mc:Choice>
        </mc:AlternateContent>
        <mc:AlternateContent xmlns:mc="http://schemas.openxmlformats.org/markup-compatibility/2006">
          <mc:Choice Requires="x14">
            <control shapeId="86053" r:id="rId40" name="Option Button 37">
              <controlPr defaultSize="0" autoFill="0" autoLine="0" autoPict="0">
                <anchor moveWithCells="1">
                  <from>
                    <xdr:col>6</xdr:col>
                    <xdr:colOff>219075</xdr:colOff>
                    <xdr:row>20</xdr:row>
                    <xdr:rowOff>19050</xdr:rowOff>
                  </from>
                  <to>
                    <xdr:col>6</xdr:col>
                    <xdr:colOff>409575</xdr:colOff>
                    <xdr:row>20</xdr:row>
                    <xdr:rowOff>228600</xdr:rowOff>
                  </to>
                </anchor>
              </controlPr>
            </control>
          </mc:Choice>
        </mc:AlternateContent>
        <mc:AlternateContent xmlns:mc="http://schemas.openxmlformats.org/markup-compatibility/2006">
          <mc:Choice Requires="x14">
            <control shapeId="86054" r:id="rId41" name="Option Button 38">
              <controlPr defaultSize="0" autoFill="0" autoLine="0" autoPict="0">
                <anchor moveWithCells="1">
                  <from>
                    <xdr:col>3</xdr:col>
                    <xdr:colOff>219075</xdr:colOff>
                    <xdr:row>21</xdr:row>
                    <xdr:rowOff>19050</xdr:rowOff>
                  </from>
                  <to>
                    <xdr:col>3</xdr:col>
                    <xdr:colOff>409575</xdr:colOff>
                    <xdr:row>21</xdr:row>
                    <xdr:rowOff>228600</xdr:rowOff>
                  </to>
                </anchor>
              </controlPr>
            </control>
          </mc:Choice>
        </mc:AlternateContent>
        <mc:AlternateContent xmlns:mc="http://schemas.openxmlformats.org/markup-compatibility/2006">
          <mc:Choice Requires="x14">
            <control shapeId="86055" r:id="rId42" name="Option Button 39">
              <controlPr defaultSize="0" autoFill="0" autoLine="0" autoPict="0">
                <anchor moveWithCells="1">
                  <from>
                    <xdr:col>4</xdr:col>
                    <xdr:colOff>219075</xdr:colOff>
                    <xdr:row>21</xdr:row>
                    <xdr:rowOff>19050</xdr:rowOff>
                  </from>
                  <to>
                    <xdr:col>4</xdr:col>
                    <xdr:colOff>409575</xdr:colOff>
                    <xdr:row>21</xdr:row>
                    <xdr:rowOff>228600</xdr:rowOff>
                  </to>
                </anchor>
              </controlPr>
            </control>
          </mc:Choice>
        </mc:AlternateContent>
        <mc:AlternateContent xmlns:mc="http://schemas.openxmlformats.org/markup-compatibility/2006">
          <mc:Choice Requires="x14">
            <control shapeId="86056" r:id="rId43" name="Option Button 40">
              <controlPr defaultSize="0" autoFill="0" autoLine="0" autoPict="0">
                <anchor moveWithCells="1">
                  <from>
                    <xdr:col>5</xdr:col>
                    <xdr:colOff>219075</xdr:colOff>
                    <xdr:row>21</xdr:row>
                    <xdr:rowOff>19050</xdr:rowOff>
                  </from>
                  <to>
                    <xdr:col>5</xdr:col>
                    <xdr:colOff>409575</xdr:colOff>
                    <xdr:row>21</xdr:row>
                    <xdr:rowOff>228600</xdr:rowOff>
                  </to>
                </anchor>
              </controlPr>
            </control>
          </mc:Choice>
        </mc:AlternateContent>
        <mc:AlternateContent xmlns:mc="http://schemas.openxmlformats.org/markup-compatibility/2006">
          <mc:Choice Requires="x14">
            <control shapeId="86057" r:id="rId44" name="Option Button 41">
              <controlPr defaultSize="0" autoFill="0" autoLine="0" autoPict="0">
                <anchor moveWithCells="1">
                  <from>
                    <xdr:col>6</xdr:col>
                    <xdr:colOff>219075</xdr:colOff>
                    <xdr:row>21</xdr:row>
                    <xdr:rowOff>19050</xdr:rowOff>
                  </from>
                  <to>
                    <xdr:col>6</xdr:col>
                    <xdr:colOff>409575</xdr:colOff>
                    <xdr:row>21</xdr:row>
                    <xdr:rowOff>228600</xdr:rowOff>
                  </to>
                </anchor>
              </controlPr>
            </control>
          </mc:Choice>
        </mc:AlternateContent>
        <mc:AlternateContent xmlns:mc="http://schemas.openxmlformats.org/markup-compatibility/2006">
          <mc:Choice Requires="x14">
            <control shapeId="86058" r:id="rId45" name="Option Button 42">
              <controlPr defaultSize="0" autoFill="0" autoLine="0" autoPict="0">
                <anchor moveWithCells="1">
                  <from>
                    <xdr:col>3</xdr:col>
                    <xdr:colOff>219075</xdr:colOff>
                    <xdr:row>22</xdr:row>
                    <xdr:rowOff>19050</xdr:rowOff>
                  </from>
                  <to>
                    <xdr:col>3</xdr:col>
                    <xdr:colOff>409575</xdr:colOff>
                    <xdr:row>22</xdr:row>
                    <xdr:rowOff>228600</xdr:rowOff>
                  </to>
                </anchor>
              </controlPr>
            </control>
          </mc:Choice>
        </mc:AlternateContent>
        <mc:AlternateContent xmlns:mc="http://schemas.openxmlformats.org/markup-compatibility/2006">
          <mc:Choice Requires="x14">
            <control shapeId="86059" r:id="rId46" name="Option Button 43">
              <controlPr defaultSize="0" autoFill="0" autoLine="0" autoPict="0">
                <anchor moveWithCells="1">
                  <from>
                    <xdr:col>4</xdr:col>
                    <xdr:colOff>219075</xdr:colOff>
                    <xdr:row>22</xdr:row>
                    <xdr:rowOff>19050</xdr:rowOff>
                  </from>
                  <to>
                    <xdr:col>4</xdr:col>
                    <xdr:colOff>409575</xdr:colOff>
                    <xdr:row>22</xdr:row>
                    <xdr:rowOff>228600</xdr:rowOff>
                  </to>
                </anchor>
              </controlPr>
            </control>
          </mc:Choice>
        </mc:AlternateContent>
        <mc:AlternateContent xmlns:mc="http://schemas.openxmlformats.org/markup-compatibility/2006">
          <mc:Choice Requires="x14">
            <control shapeId="86060" r:id="rId47" name="Option Button 44">
              <controlPr defaultSize="0" autoFill="0" autoLine="0" autoPict="0">
                <anchor moveWithCells="1">
                  <from>
                    <xdr:col>5</xdr:col>
                    <xdr:colOff>219075</xdr:colOff>
                    <xdr:row>22</xdr:row>
                    <xdr:rowOff>19050</xdr:rowOff>
                  </from>
                  <to>
                    <xdr:col>5</xdr:col>
                    <xdr:colOff>409575</xdr:colOff>
                    <xdr:row>22</xdr:row>
                    <xdr:rowOff>228600</xdr:rowOff>
                  </to>
                </anchor>
              </controlPr>
            </control>
          </mc:Choice>
        </mc:AlternateContent>
        <mc:AlternateContent xmlns:mc="http://schemas.openxmlformats.org/markup-compatibility/2006">
          <mc:Choice Requires="x14">
            <control shapeId="86061" r:id="rId48" name="Option Button 45">
              <controlPr defaultSize="0" autoFill="0" autoLine="0" autoPict="0">
                <anchor moveWithCells="1">
                  <from>
                    <xdr:col>6</xdr:col>
                    <xdr:colOff>219075</xdr:colOff>
                    <xdr:row>22</xdr:row>
                    <xdr:rowOff>19050</xdr:rowOff>
                  </from>
                  <to>
                    <xdr:col>6</xdr:col>
                    <xdr:colOff>409575</xdr:colOff>
                    <xdr:row>22</xdr:row>
                    <xdr:rowOff>228600</xdr:rowOff>
                  </to>
                </anchor>
              </controlPr>
            </control>
          </mc:Choice>
        </mc:AlternateContent>
        <mc:AlternateContent xmlns:mc="http://schemas.openxmlformats.org/markup-compatibility/2006">
          <mc:Choice Requires="x14">
            <control shapeId="86062" r:id="rId49" name="Option Button 46">
              <controlPr defaultSize="0" autoFill="0" autoLine="0" autoPict="0">
                <anchor moveWithCells="1">
                  <from>
                    <xdr:col>3</xdr:col>
                    <xdr:colOff>219075</xdr:colOff>
                    <xdr:row>23</xdr:row>
                    <xdr:rowOff>19050</xdr:rowOff>
                  </from>
                  <to>
                    <xdr:col>3</xdr:col>
                    <xdr:colOff>409575</xdr:colOff>
                    <xdr:row>23</xdr:row>
                    <xdr:rowOff>228600</xdr:rowOff>
                  </to>
                </anchor>
              </controlPr>
            </control>
          </mc:Choice>
        </mc:AlternateContent>
        <mc:AlternateContent xmlns:mc="http://schemas.openxmlformats.org/markup-compatibility/2006">
          <mc:Choice Requires="x14">
            <control shapeId="86063" r:id="rId50" name="Option Button 47">
              <controlPr defaultSize="0" autoFill="0" autoLine="0" autoPict="0">
                <anchor moveWithCells="1">
                  <from>
                    <xdr:col>4</xdr:col>
                    <xdr:colOff>219075</xdr:colOff>
                    <xdr:row>23</xdr:row>
                    <xdr:rowOff>19050</xdr:rowOff>
                  </from>
                  <to>
                    <xdr:col>4</xdr:col>
                    <xdr:colOff>409575</xdr:colOff>
                    <xdr:row>23</xdr:row>
                    <xdr:rowOff>228600</xdr:rowOff>
                  </to>
                </anchor>
              </controlPr>
            </control>
          </mc:Choice>
        </mc:AlternateContent>
        <mc:AlternateContent xmlns:mc="http://schemas.openxmlformats.org/markup-compatibility/2006">
          <mc:Choice Requires="x14">
            <control shapeId="86064" r:id="rId51" name="Option Button 48">
              <controlPr defaultSize="0" autoFill="0" autoLine="0" autoPict="0">
                <anchor moveWithCells="1">
                  <from>
                    <xdr:col>5</xdr:col>
                    <xdr:colOff>219075</xdr:colOff>
                    <xdr:row>23</xdr:row>
                    <xdr:rowOff>19050</xdr:rowOff>
                  </from>
                  <to>
                    <xdr:col>5</xdr:col>
                    <xdr:colOff>409575</xdr:colOff>
                    <xdr:row>23</xdr:row>
                    <xdr:rowOff>228600</xdr:rowOff>
                  </to>
                </anchor>
              </controlPr>
            </control>
          </mc:Choice>
        </mc:AlternateContent>
        <mc:AlternateContent xmlns:mc="http://schemas.openxmlformats.org/markup-compatibility/2006">
          <mc:Choice Requires="x14">
            <control shapeId="86065" r:id="rId52" name="Option Button 49">
              <controlPr defaultSize="0" autoFill="0" autoLine="0" autoPict="0">
                <anchor moveWithCells="1">
                  <from>
                    <xdr:col>6</xdr:col>
                    <xdr:colOff>219075</xdr:colOff>
                    <xdr:row>23</xdr:row>
                    <xdr:rowOff>19050</xdr:rowOff>
                  </from>
                  <to>
                    <xdr:col>6</xdr:col>
                    <xdr:colOff>409575</xdr:colOff>
                    <xdr:row>23</xdr:row>
                    <xdr:rowOff>228600</xdr:rowOff>
                  </to>
                </anchor>
              </controlPr>
            </control>
          </mc:Choice>
        </mc:AlternateContent>
        <mc:AlternateContent xmlns:mc="http://schemas.openxmlformats.org/markup-compatibility/2006">
          <mc:Choice Requires="x14">
            <control shapeId="86066" r:id="rId53" name="Option Button 50">
              <controlPr defaultSize="0" autoFill="0" autoLine="0" autoPict="0">
                <anchor moveWithCells="1">
                  <from>
                    <xdr:col>3</xdr:col>
                    <xdr:colOff>219075</xdr:colOff>
                    <xdr:row>24</xdr:row>
                    <xdr:rowOff>19050</xdr:rowOff>
                  </from>
                  <to>
                    <xdr:col>3</xdr:col>
                    <xdr:colOff>409575</xdr:colOff>
                    <xdr:row>24</xdr:row>
                    <xdr:rowOff>228600</xdr:rowOff>
                  </to>
                </anchor>
              </controlPr>
            </control>
          </mc:Choice>
        </mc:AlternateContent>
        <mc:AlternateContent xmlns:mc="http://schemas.openxmlformats.org/markup-compatibility/2006">
          <mc:Choice Requires="x14">
            <control shapeId="86067" r:id="rId54" name="Option Button 51">
              <controlPr defaultSize="0" autoFill="0" autoLine="0" autoPict="0">
                <anchor moveWithCells="1">
                  <from>
                    <xdr:col>4</xdr:col>
                    <xdr:colOff>219075</xdr:colOff>
                    <xdr:row>24</xdr:row>
                    <xdr:rowOff>19050</xdr:rowOff>
                  </from>
                  <to>
                    <xdr:col>4</xdr:col>
                    <xdr:colOff>409575</xdr:colOff>
                    <xdr:row>24</xdr:row>
                    <xdr:rowOff>228600</xdr:rowOff>
                  </to>
                </anchor>
              </controlPr>
            </control>
          </mc:Choice>
        </mc:AlternateContent>
        <mc:AlternateContent xmlns:mc="http://schemas.openxmlformats.org/markup-compatibility/2006">
          <mc:Choice Requires="x14">
            <control shapeId="86068" r:id="rId55" name="Option Button 52">
              <controlPr defaultSize="0" autoFill="0" autoLine="0" autoPict="0">
                <anchor moveWithCells="1">
                  <from>
                    <xdr:col>5</xdr:col>
                    <xdr:colOff>219075</xdr:colOff>
                    <xdr:row>24</xdr:row>
                    <xdr:rowOff>19050</xdr:rowOff>
                  </from>
                  <to>
                    <xdr:col>5</xdr:col>
                    <xdr:colOff>409575</xdr:colOff>
                    <xdr:row>24</xdr:row>
                    <xdr:rowOff>228600</xdr:rowOff>
                  </to>
                </anchor>
              </controlPr>
            </control>
          </mc:Choice>
        </mc:AlternateContent>
        <mc:AlternateContent xmlns:mc="http://schemas.openxmlformats.org/markup-compatibility/2006">
          <mc:Choice Requires="x14">
            <control shapeId="86069" r:id="rId56" name="Option Button 53">
              <controlPr defaultSize="0" autoFill="0" autoLine="0" autoPict="0">
                <anchor moveWithCells="1">
                  <from>
                    <xdr:col>6</xdr:col>
                    <xdr:colOff>219075</xdr:colOff>
                    <xdr:row>24</xdr:row>
                    <xdr:rowOff>19050</xdr:rowOff>
                  </from>
                  <to>
                    <xdr:col>6</xdr:col>
                    <xdr:colOff>409575</xdr:colOff>
                    <xdr:row>24</xdr:row>
                    <xdr:rowOff>228600</xdr:rowOff>
                  </to>
                </anchor>
              </controlPr>
            </control>
          </mc:Choice>
        </mc:AlternateContent>
        <mc:AlternateContent xmlns:mc="http://schemas.openxmlformats.org/markup-compatibility/2006">
          <mc:Choice Requires="x14">
            <control shapeId="86070" r:id="rId57" name="Option Button 54">
              <controlPr defaultSize="0" autoFill="0" autoLine="0" autoPict="0">
                <anchor moveWithCells="1">
                  <from>
                    <xdr:col>3</xdr:col>
                    <xdr:colOff>219075</xdr:colOff>
                    <xdr:row>25</xdr:row>
                    <xdr:rowOff>19050</xdr:rowOff>
                  </from>
                  <to>
                    <xdr:col>3</xdr:col>
                    <xdr:colOff>409575</xdr:colOff>
                    <xdr:row>25</xdr:row>
                    <xdr:rowOff>228600</xdr:rowOff>
                  </to>
                </anchor>
              </controlPr>
            </control>
          </mc:Choice>
        </mc:AlternateContent>
        <mc:AlternateContent xmlns:mc="http://schemas.openxmlformats.org/markup-compatibility/2006">
          <mc:Choice Requires="x14">
            <control shapeId="86071" r:id="rId58" name="Option Button 55">
              <controlPr defaultSize="0" autoFill="0" autoLine="0" autoPict="0">
                <anchor moveWithCells="1">
                  <from>
                    <xdr:col>4</xdr:col>
                    <xdr:colOff>219075</xdr:colOff>
                    <xdr:row>25</xdr:row>
                    <xdr:rowOff>19050</xdr:rowOff>
                  </from>
                  <to>
                    <xdr:col>4</xdr:col>
                    <xdr:colOff>409575</xdr:colOff>
                    <xdr:row>25</xdr:row>
                    <xdr:rowOff>228600</xdr:rowOff>
                  </to>
                </anchor>
              </controlPr>
            </control>
          </mc:Choice>
        </mc:AlternateContent>
        <mc:AlternateContent xmlns:mc="http://schemas.openxmlformats.org/markup-compatibility/2006">
          <mc:Choice Requires="x14">
            <control shapeId="86072" r:id="rId59" name="Option Button 56">
              <controlPr defaultSize="0" autoFill="0" autoLine="0" autoPict="0">
                <anchor moveWithCells="1">
                  <from>
                    <xdr:col>5</xdr:col>
                    <xdr:colOff>219075</xdr:colOff>
                    <xdr:row>25</xdr:row>
                    <xdr:rowOff>19050</xdr:rowOff>
                  </from>
                  <to>
                    <xdr:col>5</xdr:col>
                    <xdr:colOff>409575</xdr:colOff>
                    <xdr:row>25</xdr:row>
                    <xdr:rowOff>228600</xdr:rowOff>
                  </to>
                </anchor>
              </controlPr>
            </control>
          </mc:Choice>
        </mc:AlternateContent>
        <mc:AlternateContent xmlns:mc="http://schemas.openxmlformats.org/markup-compatibility/2006">
          <mc:Choice Requires="x14">
            <control shapeId="86073" r:id="rId60" name="Option Button 57">
              <controlPr defaultSize="0" autoFill="0" autoLine="0" autoPict="0">
                <anchor moveWithCells="1">
                  <from>
                    <xdr:col>6</xdr:col>
                    <xdr:colOff>219075</xdr:colOff>
                    <xdr:row>25</xdr:row>
                    <xdr:rowOff>19050</xdr:rowOff>
                  </from>
                  <to>
                    <xdr:col>6</xdr:col>
                    <xdr:colOff>409575</xdr:colOff>
                    <xdr:row>25</xdr:row>
                    <xdr:rowOff>228600</xdr:rowOff>
                  </to>
                </anchor>
              </controlPr>
            </control>
          </mc:Choice>
        </mc:AlternateContent>
        <mc:AlternateContent xmlns:mc="http://schemas.openxmlformats.org/markup-compatibility/2006">
          <mc:Choice Requires="x14">
            <control shapeId="86074" r:id="rId61" name="Option Button 58">
              <controlPr defaultSize="0" autoFill="0" autoLine="0" autoPict="0">
                <anchor moveWithCells="1">
                  <from>
                    <xdr:col>3</xdr:col>
                    <xdr:colOff>219075</xdr:colOff>
                    <xdr:row>26</xdr:row>
                    <xdr:rowOff>19050</xdr:rowOff>
                  </from>
                  <to>
                    <xdr:col>3</xdr:col>
                    <xdr:colOff>409575</xdr:colOff>
                    <xdr:row>26</xdr:row>
                    <xdr:rowOff>228600</xdr:rowOff>
                  </to>
                </anchor>
              </controlPr>
            </control>
          </mc:Choice>
        </mc:AlternateContent>
        <mc:AlternateContent xmlns:mc="http://schemas.openxmlformats.org/markup-compatibility/2006">
          <mc:Choice Requires="x14">
            <control shapeId="86075" r:id="rId62" name="Option Button 59">
              <controlPr defaultSize="0" autoFill="0" autoLine="0" autoPict="0">
                <anchor moveWithCells="1">
                  <from>
                    <xdr:col>4</xdr:col>
                    <xdr:colOff>219075</xdr:colOff>
                    <xdr:row>26</xdr:row>
                    <xdr:rowOff>19050</xdr:rowOff>
                  </from>
                  <to>
                    <xdr:col>4</xdr:col>
                    <xdr:colOff>409575</xdr:colOff>
                    <xdr:row>26</xdr:row>
                    <xdr:rowOff>228600</xdr:rowOff>
                  </to>
                </anchor>
              </controlPr>
            </control>
          </mc:Choice>
        </mc:AlternateContent>
        <mc:AlternateContent xmlns:mc="http://schemas.openxmlformats.org/markup-compatibility/2006">
          <mc:Choice Requires="x14">
            <control shapeId="86076" r:id="rId63" name="Option Button 60">
              <controlPr defaultSize="0" autoFill="0" autoLine="0" autoPict="0">
                <anchor moveWithCells="1">
                  <from>
                    <xdr:col>5</xdr:col>
                    <xdr:colOff>219075</xdr:colOff>
                    <xdr:row>26</xdr:row>
                    <xdr:rowOff>19050</xdr:rowOff>
                  </from>
                  <to>
                    <xdr:col>5</xdr:col>
                    <xdr:colOff>409575</xdr:colOff>
                    <xdr:row>26</xdr:row>
                    <xdr:rowOff>228600</xdr:rowOff>
                  </to>
                </anchor>
              </controlPr>
            </control>
          </mc:Choice>
        </mc:AlternateContent>
        <mc:AlternateContent xmlns:mc="http://schemas.openxmlformats.org/markup-compatibility/2006">
          <mc:Choice Requires="x14">
            <control shapeId="86077" r:id="rId64" name="Option Button 61">
              <controlPr defaultSize="0" autoFill="0" autoLine="0" autoPict="0">
                <anchor moveWithCells="1">
                  <from>
                    <xdr:col>6</xdr:col>
                    <xdr:colOff>219075</xdr:colOff>
                    <xdr:row>26</xdr:row>
                    <xdr:rowOff>19050</xdr:rowOff>
                  </from>
                  <to>
                    <xdr:col>6</xdr:col>
                    <xdr:colOff>409575</xdr:colOff>
                    <xdr:row>26</xdr:row>
                    <xdr:rowOff>228600</xdr:rowOff>
                  </to>
                </anchor>
              </controlPr>
            </control>
          </mc:Choice>
        </mc:AlternateContent>
        <mc:AlternateContent xmlns:mc="http://schemas.openxmlformats.org/markup-compatibility/2006">
          <mc:Choice Requires="x14">
            <control shapeId="86078" r:id="rId65" name="Option Button 62">
              <controlPr defaultSize="0" autoFill="0" autoLine="0" autoPict="0">
                <anchor moveWithCells="1">
                  <from>
                    <xdr:col>3</xdr:col>
                    <xdr:colOff>219075</xdr:colOff>
                    <xdr:row>27</xdr:row>
                    <xdr:rowOff>19050</xdr:rowOff>
                  </from>
                  <to>
                    <xdr:col>3</xdr:col>
                    <xdr:colOff>409575</xdr:colOff>
                    <xdr:row>27</xdr:row>
                    <xdr:rowOff>228600</xdr:rowOff>
                  </to>
                </anchor>
              </controlPr>
            </control>
          </mc:Choice>
        </mc:AlternateContent>
        <mc:AlternateContent xmlns:mc="http://schemas.openxmlformats.org/markup-compatibility/2006">
          <mc:Choice Requires="x14">
            <control shapeId="86079" r:id="rId66" name="Option Button 63">
              <controlPr defaultSize="0" autoFill="0" autoLine="0" autoPict="0">
                <anchor moveWithCells="1">
                  <from>
                    <xdr:col>4</xdr:col>
                    <xdr:colOff>219075</xdr:colOff>
                    <xdr:row>27</xdr:row>
                    <xdr:rowOff>19050</xdr:rowOff>
                  </from>
                  <to>
                    <xdr:col>4</xdr:col>
                    <xdr:colOff>409575</xdr:colOff>
                    <xdr:row>27</xdr:row>
                    <xdr:rowOff>228600</xdr:rowOff>
                  </to>
                </anchor>
              </controlPr>
            </control>
          </mc:Choice>
        </mc:AlternateContent>
        <mc:AlternateContent xmlns:mc="http://schemas.openxmlformats.org/markup-compatibility/2006">
          <mc:Choice Requires="x14">
            <control shapeId="86080" r:id="rId67" name="Option Button 64">
              <controlPr defaultSize="0" autoFill="0" autoLine="0" autoPict="0">
                <anchor moveWithCells="1">
                  <from>
                    <xdr:col>5</xdr:col>
                    <xdr:colOff>219075</xdr:colOff>
                    <xdr:row>27</xdr:row>
                    <xdr:rowOff>19050</xdr:rowOff>
                  </from>
                  <to>
                    <xdr:col>5</xdr:col>
                    <xdr:colOff>409575</xdr:colOff>
                    <xdr:row>27</xdr:row>
                    <xdr:rowOff>228600</xdr:rowOff>
                  </to>
                </anchor>
              </controlPr>
            </control>
          </mc:Choice>
        </mc:AlternateContent>
        <mc:AlternateContent xmlns:mc="http://schemas.openxmlformats.org/markup-compatibility/2006">
          <mc:Choice Requires="x14">
            <control shapeId="86081" r:id="rId68" name="Option Button 65">
              <controlPr defaultSize="0" autoFill="0" autoLine="0" autoPict="0">
                <anchor moveWithCells="1">
                  <from>
                    <xdr:col>6</xdr:col>
                    <xdr:colOff>219075</xdr:colOff>
                    <xdr:row>27</xdr:row>
                    <xdr:rowOff>19050</xdr:rowOff>
                  </from>
                  <to>
                    <xdr:col>6</xdr:col>
                    <xdr:colOff>409575</xdr:colOff>
                    <xdr:row>27</xdr:row>
                    <xdr:rowOff>228600</xdr:rowOff>
                  </to>
                </anchor>
              </controlPr>
            </control>
          </mc:Choice>
        </mc:AlternateContent>
        <mc:AlternateContent xmlns:mc="http://schemas.openxmlformats.org/markup-compatibility/2006">
          <mc:Choice Requires="x14">
            <control shapeId="86082" r:id="rId69" name="Option Button 66">
              <controlPr defaultSize="0" autoFill="0" autoLine="0" autoPict="0">
                <anchor moveWithCells="1">
                  <from>
                    <xdr:col>3</xdr:col>
                    <xdr:colOff>219075</xdr:colOff>
                    <xdr:row>28</xdr:row>
                    <xdr:rowOff>19050</xdr:rowOff>
                  </from>
                  <to>
                    <xdr:col>3</xdr:col>
                    <xdr:colOff>409575</xdr:colOff>
                    <xdr:row>28</xdr:row>
                    <xdr:rowOff>228600</xdr:rowOff>
                  </to>
                </anchor>
              </controlPr>
            </control>
          </mc:Choice>
        </mc:AlternateContent>
        <mc:AlternateContent xmlns:mc="http://schemas.openxmlformats.org/markup-compatibility/2006">
          <mc:Choice Requires="x14">
            <control shapeId="86083" r:id="rId70" name="Option Button 67">
              <controlPr defaultSize="0" autoFill="0" autoLine="0" autoPict="0">
                <anchor moveWithCells="1">
                  <from>
                    <xdr:col>4</xdr:col>
                    <xdr:colOff>219075</xdr:colOff>
                    <xdr:row>28</xdr:row>
                    <xdr:rowOff>19050</xdr:rowOff>
                  </from>
                  <to>
                    <xdr:col>4</xdr:col>
                    <xdr:colOff>409575</xdr:colOff>
                    <xdr:row>28</xdr:row>
                    <xdr:rowOff>228600</xdr:rowOff>
                  </to>
                </anchor>
              </controlPr>
            </control>
          </mc:Choice>
        </mc:AlternateContent>
        <mc:AlternateContent xmlns:mc="http://schemas.openxmlformats.org/markup-compatibility/2006">
          <mc:Choice Requires="x14">
            <control shapeId="86084" r:id="rId71" name="Option Button 68">
              <controlPr defaultSize="0" autoFill="0" autoLine="0" autoPict="0">
                <anchor moveWithCells="1">
                  <from>
                    <xdr:col>5</xdr:col>
                    <xdr:colOff>219075</xdr:colOff>
                    <xdr:row>28</xdr:row>
                    <xdr:rowOff>19050</xdr:rowOff>
                  </from>
                  <to>
                    <xdr:col>5</xdr:col>
                    <xdr:colOff>409575</xdr:colOff>
                    <xdr:row>28</xdr:row>
                    <xdr:rowOff>228600</xdr:rowOff>
                  </to>
                </anchor>
              </controlPr>
            </control>
          </mc:Choice>
        </mc:AlternateContent>
        <mc:AlternateContent xmlns:mc="http://schemas.openxmlformats.org/markup-compatibility/2006">
          <mc:Choice Requires="x14">
            <control shapeId="86085" r:id="rId72" name="Option Button 69">
              <controlPr defaultSize="0" autoFill="0" autoLine="0" autoPict="0">
                <anchor moveWithCells="1">
                  <from>
                    <xdr:col>6</xdr:col>
                    <xdr:colOff>219075</xdr:colOff>
                    <xdr:row>28</xdr:row>
                    <xdr:rowOff>19050</xdr:rowOff>
                  </from>
                  <to>
                    <xdr:col>6</xdr:col>
                    <xdr:colOff>409575</xdr:colOff>
                    <xdr:row>28</xdr:row>
                    <xdr:rowOff>228600</xdr:rowOff>
                  </to>
                </anchor>
              </controlPr>
            </control>
          </mc:Choice>
        </mc:AlternateContent>
        <mc:AlternateContent xmlns:mc="http://schemas.openxmlformats.org/markup-compatibility/2006">
          <mc:Choice Requires="x14">
            <control shapeId="86086" r:id="rId73" name="Option Button 70">
              <controlPr defaultSize="0" autoFill="0" autoLine="0" autoPict="0">
                <anchor moveWithCells="1">
                  <from>
                    <xdr:col>3</xdr:col>
                    <xdr:colOff>219075</xdr:colOff>
                    <xdr:row>29</xdr:row>
                    <xdr:rowOff>19050</xdr:rowOff>
                  </from>
                  <to>
                    <xdr:col>3</xdr:col>
                    <xdr:colOff>409575</xdr:colOff>
                    <xdr:row>29</xdr:row>
                    <xdr:rowOff>228600</xdr:rowOff>
                  </to>
                </anchor>
              </controlPr>
            </control>
          </mc:Choice>
        </mc:AlternateContent>
        <mc:AlternateContent xmlns:mc="http://schemas.openxmlformats.org/markup-compatibility/2006">
          <mc:Choice Requires="x14">
            <control shapeId="86087" r:id="rId74" name="Option Button 71">
              <controlPr defaultSize="0" autoFill="0" autoLine="0" autoPict="0">
                <anchor moveWithCells="1">
                  <from>
                    <xdr:col>4</xdr:col>
                    <xdr:colOff>219075</xdr:colOff>
                    <xdr:row>29</xdr:row>
                    <xdr:rowOff>19050</xdr:rowOff>
                  </from>
                  <to>
                    <xdr:col>4</xdr:col>
                    <xdr:colOff>409575</xdr:colOff>
                    <xdr:row>29</xdr:row>
                    <xdr:rowOff>228600</xdr:rowOff>
                  </to>
                </anchor>
              </controlPr>
            </control>
          </mc:Choice>
        </mc:AlternateContent>
        <mc:AlternateContent xmlns:mc="http://schemas.openxmlformats.org/markup-compatibility/2006">
          <mc:Choice Requires="x14">
            <control shapeId="86088" r:id="rId75" name="Option Button 72">
              <controlPr defaultSize="0" autoFill="0" autoLine="0" autoPict="0">
                <anchor moveWithCells="1">
                  <from>
                    <xdr:col>5</xdr:col>
                    <xdr:colOff>219075</xdr:colOff>
                    <xdr:row>29</xdr:row>
                    <xdr:rowOff>19050</xdr:rowOff>
                  </from>
                  <to>
                    <xdr:col>5</xdr:col>
                    <xdr:colOff>409575</xdr:colOff>
                    <xdr:row>29</xdr:row>
                    <xdr:rowOff>228600</xdr:rowOff>
                  </to>
                </anchor>
              </controlPr>
            </control>
          </mc:Choice>
        </mc:AlternateContent>
        <mc:AlternateContent xmlns:mc="http://schemas.openxmlformats.org/markup-compatibility/2006">
          <mc:Choice Requires="x14">
            <control shapeId="86089" r:id="rId76" name="Option Button 73">
              <controlPr defaultSize="0" autoFill="0" autoLine="0" autoPict="0">
                <anchor moveWithCells="1">
                  <from>
                    <xdr:col>6</xdr:col>
                    <xdr:colOff>219075</xdr:colOff>
                    <xdr:row>29</xdr:row>
                    <xdr:rowOff>19050</xdr:rowOff>
                  </from>
                  <to>
                    <xdr:col>6</xdr:col>
                    <xdr:colOff>409575</xdr:colOff>
                    <xdr:row>29</xdr:row>
                    <xdr:rowOff>228600</xdr:rowOff>
                  </to>
                </anchor>
              </controlPr>
            </control>
          </mc:Choice>
        </mc:AlternateContent>
        <mc:AlternateContent xmlns:mc="http://schemas.openxmlformats.org/markup-compatibility/2006">
          <mc:Choice Requires="x14">
            <control shapeId="86090" r:id="rId77" name="Option Button 74">
              <controlPr defaultSize="0" autoFill="0" autoLine="0" autoPict="0">
                <anchor moveWithCells="1">
                  <from>
                    <xdr:col>3</xdr:col>
                    <xdr:colOff>219075</xdr:colOff>
                    <xdr:row>30</xdr:row>
                    <xdr:rowOff>19050</xdr:rowOff>
                  </from>
                  <to>
                    <xdr:col>3</xdr:col>
                    <xdr:colOff>409575</xdr:colOff>
                    <xdr:row>30</xdr:row>
                    <xdr:rowOff>228600</xdr:rowOff>
                  </to>
                </anchor>
              </controlPr>
            </control>
          </mc:Choice>
        </mc:AlternateContent>
        <mc:AlternateContent xmlns:mc="http://schemas.openxmlformats.org/markup-compatibility/2006">
          <mc:Choice Requires="x14">
            <control shapeId="86091" r:id="rId78" name="Option Button 75">
              <controlPr defaultSize="0" autoFill="0" autoLine="0" autoPict="0">
                <anchor moveWithCells="1">
                  <from>
                    <xdr:col>4</xdr:col>
                    <xdr:colOff>219075</xdr:colOff>
                    <xdr:row>30</xdr:row>
                    <xdr:rowOff>19050</xdr:rowOff>
                  </from>
                  <to>
                    <xdr:col>4</xdr:col>
                    <xdr:colOff>409575</xdr:colOff>
                    <xdr:row>30</xdr:row>
                    <xdr:rowOff>228600</xdr:rowOff>
                  </to>
                </anchor>
              </controlPr>
            </control>
          </mc:Choice>
        </mc:AlternateContent>
        <mc:AlternateContent xmlns:mc="http://schemas.openxmlformats.org/markup-compatibility/2006">
          <mc:Choice Requires="x14">
            <control shapeId="86092" r:id="rId79" name="Option Button 76">
              <controlPr defaultSize="0" autoFill="0" autoLine="0" autoPict="0">
                <anchor moveWithCells="1">
                  <from>
                    <xdr:col>5</xdr:col>
                    <xdr:colOff>219075</xdr:colOff>
                    <xdr:row>30</xdr:row>
                    <xdr:rowOff>19050</xdr:rowOff>
                  </from>
                  <to>
                    <xdr:col>5</xdr:col>
                    <xdr:colOff>409575</xdr:colOff>
                    <xdr:row>30</xdr:row>
                    <xdr:rowOff>228600</xdr:rowOff>
                  </to>
                </anchor>
              </controlPr>
            </control>
          </mc:Choice>
        </mc:AlternateContent>
        <mc:AlternateContent xmlns:mc="http://schemas.openxmlformats.org/markup-compatibility/2006">
          <mc:Choice Requires="x14">
            <control shapeId="86093" r:id="rId80" name="Option Button 77">
              <controlPr defaultSize="0" autoFill="0" autoLine="0" autoPict="0">
                <anchor moveWithCells="1">
                  <from>
                    <xdr:col>6</xdr:col>
                    <xdr:colOff>219075</xdr:colOff>
                    <xdr:row>30</xdr:row>
                    <xdr:rowOff>19050</xdr:rowOff>
                  </from>
                  <to>
                    <xdr:col>6</xdr:col>
                    <xdr:colOff>409575</xdr:colOff>
                    <xdr:row>30</xdr:row>
                    <xdr:rowOff>228600</xdr:rowOff>
                  </to>
                </anchor>
              </controlPr>
            </control>
          </mc:Choice>
        </mc:AlternateContent>
        <mc:AlternateContent xmlns:mc="http://schemas.openxmlformats.org/markup-compatibility/2006">
          <mc:Choice Requires="x14">
            <control shapeId="86094" r:id="rId81" name="Option Button 78">
              <controlPr defaultSize="0" autoFill="0" autoLine="0" autoPict="0">
                <anchor moveWithCells="1">
                  <from>
                    <xdr:col>3</xdr:col>
                    <xdr:colOff>219075</xdr:colOff>
                    <xdr:row>31</xdr:row>
                    <xdr:rowOff>19050</xdr:rowOff>
                  </from>
                  <to>
                    <xdr:col>3</xdr:col>
                    <xdr:colOff>409575</xdr:colOff>
                    <xdr:row>31</xdr:row>
                    <xdr:rowOff>228600</xdr:rowOff>
                  </to>
                </anchor>
              </controlPr>
            </control>
          </mc:Choice>
        </mc:AlternateContent>
        <mc:AlternateContent xmlns:mc="http://schemas.openxmlformats.org/markup-compatibility/2006">
          <mc:Choice Requires="x14">
            <control shapeId="86095" r:id="rId82" name="Option Button 79">
              <controlPr defaultSize="0" autoFill="0" autoLine="0" autoPict="0">
                <anchor moveWithCells="1">
                  <from>
                    <xdr:col>4</xdr:col>
                    <xdr:colOff>219075</xdr:colOff>
                    <xdr:row>31</xdr:row>
                    <xdr:rowOff>19050</xdr:rowOff>
                  </from>
                  <to>
                    <xdr:col>4</xdr:col>
                    <xdr:colOff>409575</xdr:colOff>
                    <xdr:row>31</xdr:row>
                    <xdr:rowOff>228600</xdr:rowOff>
                  </to>
                </anchor>
              </controlPr>
            </control>
          </mc:Choice>
        </mc:AlternateContent>
        <mc:AlternateContent xmlns:mc="http://schemas.openxmlformats.org/markup-compatibility/2006">
          <mc:Choice Requires="x14">
            <control shapeId="86096" r:id="rId83" name="Option Button 80">
              <controlPr defaultSize="0" autoFill="0" autoLine="0" autoPict="0">
                <anchor moveWithCells="1">
                  <from>
                    <xdr:col>5</xdr:col>
                    <xdr:colOff>219075</xdr:colOff>
                    <xdr:row>31</xdr:row>
                    <xdr:rowOff>19050</xdr:rowOff>
                  </from>
                  <to>
                    <xdr:col>5</xdr:col>
                    <xdr:colOff>409575</xdr:colOff>
                    <xdr:row>31</xdr:row>
                    <xdr:rowOff>228600</xdr:rowOff>
                  </to>
                </anchor>
              </controlPr>
            </control>
          </mc:Choice>
        </mc:AlternateContent>
        <mc:AlternateContent xmlns:mc="http://schemas.openxmlformats.org/markup-compatibility/2006">
          <mc:Choice Requires="x14">
            <control shapeId="86097" r:id="rId84" name="Option Button 81">
              <controlPr defaultSize="0" autoFill="0" autoLine="0" autoPict="0">
                <anchor moveWithCells="1">
                  <from>
                    <xdr:col>6</xdr:col>
                    <xdr:colOff>219075</xdr:colOff>
                    <xdr:row>31</xdr:row>
                    <xdr:rowOff>19050</xdr:rowOff>
                  </from>
                  <to>
                    <xdr:col>6</xdr:col>
                    <xdr:colOff>409575</xdr:colOff>
                    <xdr:row>31</xdr:row>
                    <xdr:rowOff>228600</xdr:rowOff>
                  </to>
                </anchor>
              </controlPr>
            </control>
          </mc:Choice>
        </mc:AlternateContent>
        <mc:AlternateContent xmlns:mc="http://schemas.openxmlformats.org/markup-compatibility/2006">
          <mc:Choice Requires="x14">
            <control shapeId="86098" r:id="rId85" name="Option Button 82">
              <controlPr defaultSize="0" autoFill="0" autoLine="0" autoPict="0">
                <anchor moveWithCells="1">
                  <from>
                    <xdr:col>3</xdr:col>
                    <xdr:colOff>219075</xdr:colOff>
                    <xdr:row>32</xdr:row>
                    <xdr:rowOff>19050</xdr:rowOff>
                  </from>
                  <to>
                    <xdr:col>3</xdr:col>
                    <xdr:colOff>409575</xdr:colOff>
                    <xdr:row>32</xdr:row>
                    <xdr:rowOff>228600</xdr:rowOff>
                  </to>
                </anchor>
              </controlPr>
            </control>
          </mc:Choice>
        </mc:AlternateContent>
        <mc:AlternateContent xmlns:mc="http://schemas.openxmlformats.org/markup-compatibility/2006">
          <mc:Choice Requires="x14">
            <control shapeId="86099" r:id="rId86" name="Option Button 83">
              <controlPr defaultSize="0" autoFill="0" autoLine="0" autoPict="0">
                <anchor moveWithCells="1">
                  <from>
                    <xdr:col>4</xdr:col>
                    <xdr:colOff>219075</xdr:colOff>
                    <xdr:row>32</xdr:row>
                    <xdr:rowOff>19050</xdr:rowOff>
                  </from>
                  <to>
                    <xdr:col>4</xdr:col>
                    <xdr:colOff>409575</xdr:colOff>
                    <xdr:row>32</xdr:row>
                    <xdr:rowOff>228600</xdr:rowOff>
                  </to>
                </anchor>
              </controlPr>
            </control>
          </mc:Choice>
        </mc:AlternateContent>
        <mc:AlternateContent xmlns:mc="http://schemas.openxmlformats.org/markup-compatibility/2006">
          <mc:Choice Requires="x14">
            <control shapeId="86100" r:id="rId87" name="Option Button 84">
              <controlPr defaultSize="0" autoFill="0" autoLine="0" autoPict="0">
                <anchor moveWithCells="1">
                  <from>
                    <xdr:col>5</xdr:col>
                    <xdr:colOff>219075</xdr:colOff>
                    <xdr:row>32</xdr:row>
                    <xdr:rowOff>19050</xdr:rowOff>
                  </from>
                  <to>
                    <xdr:col>5</xdr:col>
                    <xdr:colOff>409575</xdr:colOff>
                    <xdr:row>32</xdr:row>
                    <xdr:rowOff>228600</xdr:rowOff>
                  </to>
                </anchor>
              </controlPr>
            </control>
          </mc:Choice>
        </mc:AlternateContent>
        <mc:AlternateContent xmlns:mc="http://schemas.openxmlformats.org/markup-compatibility/2006">
          <mc:Choice Requires="x14">
            <control shapeId="86101" r:id="rId88" name="Option Button 85">
              <controlPr defaultSize="0" autoFill="0" autoLine="0" autoPict="0">
                <anchor moveWithCells="1">
                  <from>
                    <xdr:col>6</xdr:col>
                    <xdr:colOff>219075</xdr:colOff>
                    <xdr:row>32</xdr:row>
                    <xdr:rowOff>19050</xdr:rowOff>
                  </from>
                  <to>
                    <xdr:col>6</xdr:col>
                    <xdr:colOff>409575</xdr:colOff>
                    <xdr:row>32</xdr:row>
                    <xdr:rowOff>228600</xdr:rowOff>
                  </to>
                </anchor>
              </controlPr>
            </control>
          </mc:Choice>
        </mc:AlternateContent>
        <mc:AlternateContent xmlns:mc="http://schemas.openxmlformats.org/markup-compatibility/2006">
          <mc:Choice Requires="x14">
            <control shapeId="86102" r:id="rId89" name="Option Button 86">
              <controlPr defaultSize="0" autoFill="0" autoLine="0" autoPict="0">
                <anchor moveWithCells="1">
                  <from>
                    <xdr:col>3</xdr:col>
                    <xdr:colOff>219075</xdr:colOff>
                    <xdr:row>33</xdr:row>
                    <xdr:rowOff>19050</xdr:rowOff>
                  </from>
                  <to>
                    <xdr:col>3</xdr:col>
                    <xdr:colOff>409575</xdr:colOff>
                    <xdr:row>33</xdr:row>
                    <xdr:rowOff>228600</xdr:rowOff>
                  </to>
                </anchor>
              </controlPr>
            </control>
          </mc:Choice>
        </mc:AlternateContent>
        <mc:AlternateContent xmlns:mc="http://schemas.openxmlformats.org/markup-compatibility/2006">
          <mc:Choice Requires="x14">
            <control shapeId="86103" r:id="rId90" name="Option Button 87">
              <controlPr defaultSize="0" autoFill="0" autoLine="0" autoPict="0">
                <anchor moveWithCells="1">
                  <from>
                    <xdr:col>4</xdr:col>
                    <xdr:colOff>219075</xdr:colOff>
                    <xdr:row>33</xdr:row>
                    <xdr:rowOff>19050</xdr:rowOff>
                  </from>
                  <to>
                    <xdr:col>4</xdr:col>
                    <xdr:colOff>409575</xdr:colOff>
                    <xdr:row>33</xdr:row>
                    <xdr:rowOff>228600</xdr:rowOff>
                  </to>
                </anchor>
              </controlPr>
            </control>
          </mc:Choice>
        </mc:AlternateContent>
        <mc:AlternateContent xmlns:mc="http://schemas.openxmlformats.org/markup-compatibility/2006">
          <mc:Choice Requires="x14">
            <control shapeId="86104" r:id="rId91" name="Option Button 88">
              <controlPr defaultSize="0" autoFill="0" autoLine="0" autoPict="0">
                <anchor moveWithCells="1">
                  <from>
                    <xdr:col>5</xdr:col>
                    <xdr:colOff>219075</xdr:colOff>
                    <xdr:row>33</xdr:row>
                    <xdr:rowOff>19050</xdr:rowOff>
                  </from>
                  <to>
                    <xdr:col>5</xdr:col>
                    <xdr:colOff>409575</xdr:colOff>
                    <xdr:row>33</xdr:row>
                    <xdr:rowOff>228600</xdr:rowOff>
                  </to>
                </anchor>
              </controlPr>
            </control>
          </mc:Choice>
        </mc:AlternateContent>
        <mc:AlternateContent xmlns:mc="http://schemas.openxmlformats.org/markup-compatibility/2006">
          <mc:Choice Requires="x14">
            <control shapeId="86105" r:id="rId92" name="Option Button 89">
              <controlPr defaultSize="0" autoFill="0" autoLine="0" autoPict="0">
                <anchor moveWithCells="1">
                  <from>
                    <xdr:col>6</xdr:col>
                    <xdr:colOff>219075</xdr:colOff>
                    <xdr:row>33</xdr:row>
                    <xdr:rowOff>19050</xdr:rowOff>
                  </from>
                  <to>
                    <xdr:col>6</xdr:col>
                    <xdr:colOff>409575</xdr:colOff>
                    <xdr:row>33</xdr:row>
                    <xdr:rowOff>228600</xdr:rowOff>
                  </to>
                </anchor>
              </controlPr>
            </control>
          </mc:Choice>
        </mc:AlternateContent>
        <mc:AlternateContent xmlns:mc="http://schemas.openxmlformats.org/markup-compatibility/2006">
          <mc:Choice Requires="x14">
            <control shapeId="86106" r:id="rId93" name="Option Button 90">
              <controlPr defaultSize="0" autoFill="0" autoLine="0" autoPict="0">
                <anchor moveWithCells="1">
                  <from>
                    <xdr:col>3</xdr:col>
                    <xdr:colOff>219075</xdr:colOff>
                    <xdr:row>34</xdr:row>
                    <xdr:rowOff>19050</xdr:rowOff>
                  </from>
                  <to>
                    <xdr:col>3</xdr:col>
                    <xdr:colOff>409575</xdr:colOff>
                    <xdr:row>34</xdr:row>
                    <xdr:rowOff>228600</xdr:rowOff>
                  </to>
                </anchor>
              </controlPr>
            </control>
          </mc:Choice>
        </mc:AlternateContent>
        <mc:AlternateContent xmlns:mc="http://schemas.openxmlformats.org/markup-compatibility/2006">
          <mc:Choice Requires="x14">
            <control shapeId="86107" r:id="rId94" name="Option Button 91">
              <controlPr defaultSize="0" autoFill="0" autoLine="0" autoPict="0">
                <anchor moveWithCells="1">
                  <from>
                    <xdr:col>4</xdr:col>
                    <xdr:colOff>219075</xdr:colOff>
                    <xdr:row>34</xdr:row>
                    <xdr:rowOff>19050</xdr:rowOff>
                  </from>
                  <to>
                    <xdr:col>4</xdr:col>
                    <xdr:colOff>409575</xdr:colOff>
                    <xdr:row>34</xdr:row>
                    <xdr:rowOff>228600</xdr:rowOff>
                  </to>
                </anchor>
              </controlPr>
            </control>
          </mc:Choice>
        </mc:AlternateContent>
        <mc:AlternateContent xmlns:mc="http://schemas.openxmlformats.org/markup-compatibility/2006">
          <mc:Choice Requires="x14">
            <control shapeId="86108" r:id="rId95" name="Option Button 92">
              <controlPr defaultSize="0" autoFill="0" autoLine="0" autoPict="0">
                <anchor moveWithCells="1">
                  <from>
                    <xdr:col>5</xdr:col>
                    <xdr:colOff>219075</xdr:colOff>
                    <xdr:row>34</xdr:row>
                    <xdr:rowOff>19050</xdr:rowOff>
                  </from>
                  <to>
                    <xdr:col>5</xdr:col>
                    <xdr:colOff>409575</xdr:colOff>
                    <xdr:row>34</xdr:row>
                    <xdr:rowOff>228600</xdr:rowOff>
                  </to>
                </anchor>
              </controlPr>
            </control>
          </mc:Choice>
        </mc:AlternateContent>
        <mc:AlternateContent xmlns:mc="http://schemas.openxmlformats.org/markup-compatibility/2006">
          <mc:Choice Requires="x14">
            <control shapeId="86109" r:id="rId96" name="Option Button 93">
              <controlPr defaultSize="0" autoFill="0" autoLine="0" autoPict="0">
                <anchor moveWithCells="1">
                  <from>
                    <xdr:col>6</xdr:col>
                    <xdr:colOff>219075</xdr:colOff>
                    <xdr:row>34</xdr:row>
                    <xdr:rowOff>19050</xdr:rowOff>
                  </from>
                  <to>
                    <xdr:col>6</xdr:col>
                    <xdr:colOff>409575</xdr:colOff>
                    <xdr:row>34</xdr:row>
                    <xdr:rowOff>228600</xdr:rowOff>
                  </to>
                </anchor>
              </controlPr>
            </control>
          </mc:Choice>
        </mc:AlternateContent>
        <mc:AlternateContent xmlns:mc="http://schemas.openxmlformats.org/markup-compatibility/2006">
          <mc:Choice Requires="x14">
            <control shapeId="86110" r:id="rId97" name="Option Button 94">
              <controlPr defaultSize="0" autoFill="0" autoLine="0" autoPict="0">
                <anchor moveWithCells="1">
                  <from>
                    <xdr:col>3</xdr:col>
                    <xdr:colOff>219075</xdr:colOff>
                    <xdr:row>35</xdr:row>
                    <xdr:rowOff>19050</xdr:rowOff>
                  </from>
                  <to>
                    <xdr:col>3</xdr:col>
                    <xdr:colOff>409575</xdr:colOff>
                    <xdr:row>35</xdr:row>
                    <xdr:rowOff>228600</xdr:rowOff>
                  </to>
                </anchor>
              </controlPr>
            </control>
          </mc:Choice>
        </mc:AlternateContent>
        <mc:AlternateContent xmlns:mc="http://schemas.openxmlformats.org/markup-compatibility/2006">
          <mc:Choice Requires="x14">
            <control shapeId="86111" r:id="rId98" name="Option Button 95">
              <controlPr defaultSize="0" autoFill="0" autoLine="0" autoPict="0">
                <anchor moveWithCells="1">
                  <from>
                    <xdr:col>4</xdr:col>
                    <xdr:colOff>219075</xdr:colOff>
                    <xdr:row>35</xdr:row>
                    <xdr:rowOff>19050</xdr:rowOff>
                  </from>
                  <to>
                    <xdr:col>4</xdr:col>
                    <xdr:colOff>409575</xdr:colOff>
                    <xdr:row>35</xdr:row>
                    <xdr:rowOff>228600</xdr:rowOff>
                  </to>
                </anchor>
              </controlPr>
            </control>
          </mc:Choice>
        </mc:AlternateContent>
        <mc:AlternateContent xmlns:mc="http://schemas.openxmlformats.org/markup-compatibility/2006">
          <mc:Choice Requires="x14">
            <control shapeId="86112" r:id="rId99" name="Option Button 96">
              <controlPr defaultSize="0" autoFill="0" autoLine="0" autoPict="0">
                <anchor moveWithCells="1">
                  <from>
                    <xdr:col>5</xdr:col>
                    <xdr:colOff>219075</xdr:colOff>
                    <xdr:row>35</xdr:row>
                    <xdr:rowOff>19050</xdr:rowOff>
                  </from>
                  <to>
                    <xdr:col>5</xdr:col>
                    <xdr:colOff>409575</xdr:colOff>
                    <xdr:row>35</xdr:row>
                    <xdr:rowOff>228600</xdr:rowOff>
                  </to>
                </anchor>
              </controlPr>
            </control>
          </mc:Choice>
        </mc:AlternateContent>
        <mc:AlternateContent xmlns:mc="http://schemas.openxmlformats.org/markup-compatibility/2006">
          <mc:Choice Requires="x14">
            <control shapeId="86113" r:id="rId100" name="Option Button 97">
              <controlPr defaultSize="0" autoFill="0" autoLine="0" autoPict="0">
                <anchor moveWithCells="1">
                  <from>
                    <xdr:col>6</xdr:col>
                    <xdr:colOff>219075</xdr:colOff>
                    <xdr:row>35</xdr:row>
                    <xdr:rowOff>19050</xdr:rowOff>
                  </from>
                  <to>
                    <xdr:col>6</xdr:col>
                    <xdr:colOff>409575</xdr:colOff>
                    <xdr:row>35</xdr:row>
                    <xdr:rowOff>228600</xdr:rowOff>
                  </to>
                </anchor>
              </controlPr>
            </control>
          </mc:Choice>
        </mc:AlternateContent>
        <mc:AlternateContent xmlns:mc="http://schemas.openxmlformats.org/markup-compatibility/2006">
          <mc:Choice Requires="x14">
            <control shapeId="86114" r:id="rId101" name="Option Button 98">
              <controlPr defaultSize="0" autoFill="0" autoLine="0" autoPict="0">
                <anchor moveWithCells="1">
                  <from>
                    <xdr:col>3</xdr:col>
                    <xdr:colOff>219075</xdr:colOff>
                    <xdr:row>36</xdr:row>
                    <xdr:rowOff>19050</xdr:rowOff>
                  </from>
                  <to>
                    <xdr:col>3</xdr:col>
                    <xdr:colOff>409575</xdr:colOff>
                    <xdr:row>36</xdr:row>
                    <xdr:rowOff>228600</xdr:rowOff>
                  </to>
                </anchor>
              </controlPr>
            </control>
          </mc:Choice>
        </mc:AlternateContent>
        <mc:AlternateContent xmlns:mc="http://schemas.openxmlformats.org/markup-compatibility/2006">
          <mc:Choice Requires="x14">
            <control shapeId="86115" r:id="rId102" name="Option Button 99">
              <controlPr defaultSize="0" autoFill="0" autoLine="0" autoPict="0">
                <anchor moveWithCells="1">
                  <from>
                    <xdr:col>4</xdr:col>
                    <xdr:colOff>219075</xdr:colOff>
                    <xdr:row>36</xdr:row>
                    <xdr:rowOff>19050</xdr:rowOff>
                  </from>
                  <to>
                    <xdr:col>4</xdr:col>
                    <xdr:colOff>409575</xdr:colOff>
                    <xdr:row>36</xdr:row>
                    <xdr:rowOff>228600</xdr:rowOff>
                  </to>
                </anchor>
              </controlPr>
            </control>
          </mc:Choice>
        </mc:AlternateContent>
        <mc:AlternateContent xmlns:mc="http://schemas.openxmlformats.org/markup-compatibility/2006">
          <mc:Choice Requires="x14">
            <control shapeId="86116" r:id="rId103" name="Option Button 100">
              <controlPr defaultSize="0" autoFill="0" autoLine="0" autoPict="0">
                <anchor moveWithCells="1">
                  <from>
                    <xdr:col>5</xdr:col>
                    <xdr:colOff>219075</xdr:colOff>
                    <xdr:row>36</xdr:row>
                    <xdr:rowOff>19050</xdr:rowOff>
                  </from>
                  <to>
                    <xdr:col>5</xdr:col>
                    <xdr:colOff>409575</xdr:colOff>
                    <xdr:row>36</xdr:row>
                    <xdr:rowOff>228600</xdr:rowOff>
                  </to>
                </anchor>
              </controlPr>
            </control>
          </mc:Choice>
        </mc:AlternateContent>
        <mc:AlternateContent xmlns:mc="http://schemas.openxmlformats.org/markup-compatibility/2006">
          <mc:Choice Requires="x14">
            <control shapeId="86117" r:id="rId104" name="Option Button 101">
              <controlPr defaultSize="0" autoFill="0" autoLine="0" autoPict="0">
                <anchor moveWithCells="1">
                  <from>
                    <xdr:col>6</xdr:col>
                    <xdr:colOff>219075</xdr:colOff>
                    <xdr:row>36</xdr:row>
                    <xdr:rowOff>19050</xdr:rowOff>
                  </from>
                  <to>
                    <xdr:col>6</xdr:col>
                    <xdr:colOff>409575</xdr:colOff>
                    <xdr:row>36</xdr:row>
                    <xdr:rowOff>228600</xdr:rowOff>
                  </to>
                </anchor>
              </controlPr>
            </control>
          </mc:Choice>
        </mc:AlternateContent>
        <mc:AlternateContent xmlns:mc="http://schemas.openxmlformats.org/markup-compatibility/2006">
          <mc:Choice Requires="x14">
            <control shapeId="86118" r:id="rId105" name="Option Button 102">
              <controlPr defaultSize="0" autoFill="0" autoLine="0" autoPict="0">
                <anchor moveWithCells="1">
                  <from>
                    <xdr:col>3</xdr:col>
                    <xdr:colOff>219075</xdr:colOff>
                    <xdr:row>37</xdr:row>
                    <xdr:rowOff>19050</xdr:rowOff>
                  </from>
                  <to>
                    <xdr:col>3</xdr:col>
                    <xdr:colOff>409575</xdr:colOff>
                    <xdr:row>37</xdr:row>
                    <xdr:rowOff>228600</xdr:rowOff>
                  </to>
                </anchor>
              </controlPr>
            </control>
          </mc:Choice>
        </mc:AlternateContent>
        <mc:AlternateContent xmlns:mc="http://schemas.openxmlformats.org/markup-compatibility/2006">
          <mc:Choice Requires="x14">
            <control shapeId="86119" r:id="rId106" name="Option Button 103">
              <controlPr defaultSize="0" autoFill="0" autoLine="0" autoPict="0">
                <anchor moveWithCells="1">
                  <from>
                    <xdr:col>4</xdr:col>
                    <xdr:colOff>219075</xdr:colOff>
                    <xdr:row>37</xdr:row>
                    <xdr:rowOff>19050</xdr:rowOff>
                  </from>
                  <to>
                    <xdr:col>4</xdr:col>
                    <xdr:colOff>409575</xdr:colOff>
                    <xdr:row>37</xdr:row>
                    <xdr:rowOff>228600</xdr:rowOff>
                  </to>
                </anchor>
              </controlPr>
            </control>
          </mc:Choice>
        </mc:AlternateContent>
        <mc:AlternateContent xmlns:mc="http://schemas.openxmlformats.org/markup-compatibility/2006">
          <mc:Choice Requires="x14">
            <control shapeId="86120" r:id="rId107" name="Option Button 104">
              <controlPr defaultSize="0" autoFill="0" autoLine="0" autoPict="0">
                <anchor moveWithCells="1">
                  <from>
                    <xdr:col>5</xdr:col>
                    <xdr:colOff>219075</xdr:colOff>
                    <xdr:row>37</xdr:row>
                    <xdr:rowOff>19050</xdr:rowOff>
                  </from>
                  <to>
                    <xdr:col>5</xdr:col>
                    <xdr:colOff>409575</xdr:colOff>
                    <xdr:row>37</xdr:row>
                    <xdr:rowOff>228600</xdr:rowOff>
                  </to>
                </anchor>
              </controlPr>
            </control>
          </mc:Choice>
        </mc:AlternateContent>
        <mc:AlternateContent xmlns:mc="http://schemas.openxmlformats.org/markup-compatibility/2006">
          <mc:Choice Requires="x14">
            <control shapeId="86121" r:id="rId108" name="Option Button 105">
              <controlPr defaultSize="0" autoFill="0" autoLine="0" autoPict="0">
                <anchor moveWithCells="1">
                  <from>
                    <xdr:col>6</xdr:col>
                    <xdr:colOff>219075</xdr:colOff>
                    <xdr:row>37</xdr:row>
                    <xdr:rowOff>19050</xdr:rowOff>
                  </from>
                  <to>
                    <xdr:col>6</xdr:col>
                    <xdr:colOff>409575</xdr:colOff>
                    <xdr:row>37</xdr:row>
                    <xdr:rowOff>228600</xdr:rowOff>
                  </to>
                </anchor>
              </controlPr>
            </control>
          </mc:Choice>
        </mc:AlternateContent>
        <mc:AlternateContent xmlns:mc="http://schemas.openxmlformats.org/markup-compatibility/2006">
          <mc:Choice Requires="x14">
            <control shapeId="86122" r:id="rId109" name="Option Button 106">
              <controlPr defaultSize="0" autoFill="0" autoLine="0" autoPict="0">
                <anchor moveWithCells="1">
                  <from>
                    <xdr:col>3</xdr:col>
                    <xdr:colOff>219075</xdr:colOff>
                    <xdr:row>38</xdr:row>
                    <xdr:rowOff>19050</xdr:rowOff>
                  </from>
                  <to>
                    <xdr:col>3</xdr:col>
                    <xdr:colOff>409575</xdr:colOff>
                    <xdr:row>38</xdr:row>
                    <xdr:rowOff>228600</xdr:rowOff>
                  </to>
                </anchor>
              </controlPr>
            </control>
          </mc:Choice>
        </mc:AlternateContent>
        <mc:AlternateContent xmlns:mc="http://schemas.openxmlformats.org/markup-compatibility/2006">
          <mc:Choice Requires="x14">
            <control shapeId="86123" r:id="rId110" name="Option Button 107">
              <controlPr defaultSize="0" autoFill="0" autoLine="0" autoPict="0">
                <anchor moveWithCells="1">
                  <from>
                    <xdr:col>4</xdr:col>
                    <xdr:colOff>219075</xdr:colOff>
                    <xdr:row>38</xdr:row>
                    <xdr:rowOff>19050</xdr:rowOff>
                  </from>
                  <to>
                    <xdr:col>4</xdr:col>
                    <xdr:colOff>409575</xdr:colOff>
                    <xdr:row>38</xdr:row>
                    <xdr:rowOff>228600</xdr:rowOff>
                  </to>
                </anchor>
              </controlPr>
            </control>
          </mc:Choice>
        </mc:AlternateContent>
        <mc:AlternateContent xmlns:mc="http://schemas.openxmlformats.org/markup-compatibility/2006">
          <mc:Choice Requires="x14">
            <control shapeId="86124" r:id="rId111" name="Option Button 108">
              <controlPr defaultSize="0" autoFill="0" autoLine="0" autoPict="0">
                <anchor moveWithCells="1">
                  <from>
                    <xdr:col>5</xdr:col>
                    <xdr:colOff>219075</xdr:colOff>
                    <xdr:row>38</xdr:row>
                    <xdr:rowOff>19050</xdr:rowOff>
                  </from>
                  <to>
                    <xdr:col>5</xdr:col>
                    <xdr:colOff>409575</xdr:colOff>
                    <xdr:row>38</xdr:row>
                    <xdr:rowOff>228600</xdr:rowOff>
                  </to>
                </anchor>
              </controlPr>
            </control>
          </mc:Choice>
        </mc:AlternateContent>
        <mc:AlternateContent xmlns:mc="http://schemas.openxmlformats.org/markup-compatibility/2006">
          <mc:Choice Requires="x14">
            <control shapeId="86125" r:id="rId112" name="Option Button 109">
              <controlPr defaultSize="0" autoFill="0" autoLine="0" autoPict="0">
                <anchor moveWithCells="1">
                  <from>
                    <xdr:col>6</xdr:col>
                    <xdr:colOff>219075</xdr:colOff>
                    <xdr:row>38</xdr:row>
                    <xdr:rowOff>19050</xdr:rowOff>
                  </from>
                  <to>
                    <xdr:col>6</xdr:col>
                    <xdr:colOff>409575</xdr:colOff>
                    <xdr:row>38</xdr:row>
                    <xdr:rowOff>228600</xdr:rowOff>
                  </to>
                </anchor>
              </controlPr>
            </control>
          </mc:Choice>
        </mc:AlternateContent>
        <mc:AlternateContent xmlns:mc="http://schemas.openxmlformats.org/markup-compatibility/2006">
          <mc:Choice Requires="x14">
            <control shapeId="86126" r:id="rId113" name="Option Button 110">
              <controlPr defaultSize="0" autoFill="0" autoLine="0" autoPict="0">
                <anchor moveWithCells="1">
                  <from>
                    <xdr:col>3</xdr:col>
                    <xdr:colOff>219075</xdr:colOff>
                    <xdr:row>39</xdr:row>
                    <xdr:rowOff>19050</xdr:rowOff>
                  </from>
                  <to>
                    <xdr:col>3</xdr:col>
                    <xdr:colOff>409575</xdr:colOff>
                    <xdr:row>39</xdr:row>
                    <xdr:rowOff>228600</xdr:rowOff>
                  </to>
                </anchor>
              </controlPr>
            </control>
          </mc:Choice>
        </mc:AlternateContent>
        <mc:AlternateContent xmlns:mc="http://schemas.openxmlformats.org/markup-compatibility/2006">
          <mc:Choice Requires="x14">
            <control shapeId="86127" r:id="rId114" name="Option Button 111">
              <controlPr defaultSize="0" autoFill="0" autoLine="0" autoPict="0">
                <anchor moveWithCells="1">
                  <from>
                    <xdr:col>4</xdr:col>
                    <xdr:colOff>219075</xdr:colOff>
                    <xdr:row>39</xdr:row>
                    <xdr:rowOff>19050</xdr:rowOff>
                  </from>
                  <to>
                    <xdr:col>4</xdr:col>
                    <xdr:colOff>409575</xdr:colOff>
                    <xdr:row>39</xdr:row>
                    <xdr:rowOff>228600</xdr:rowOff>
                  </to>
                </anchor>
              </controlPr>
            </control>
          </mc:Choice>
        </mc:AlternateContent>
        <mc:AlternateContent xmlns:mc="http://schemas.openxmlformats.org/markup-compatibility/2006">
          <mc:Choice Requires="x14">
            <control shapeId="86128" r:id="rId115" name="Option Button 112">
              <controlPr defaultSize="0" autoFill="0" autoLine="0" autoPict="0">
                <anchor moveWithCells="1">
                  <from>
                    <xdr:col>5</xdr:col>
                    <xdr:colOff>219075</xdr:colOff>
                    <xdr:row>39</xdr:row>
                    <xdr:rowOff>19050</xdr:rowOff>
                  </from>
                  <to>
                    <xdr:col>5</xdr:col>
                    <xdr:colOff>409575</xdr:colOff>
                    <xdr:row>39</xdr:row>
                    <xdr:rowOff>228600</xdr:rowOff>
                  </to>
                </anchor>
              </controlPr>
            </control>
          </mc:Choice>
        </mc:AlternateContent>
        <mc:AlternateContent xmlns:mc="http://schemas.openxmlformats.org/markup-compatibility/2006">
          <mc:Choice Requires="x14">
            <control shapeId="86129" r:id="rId116" name="Option Button 113">
              <controlPr defaultSize="0" autoFill="0" autoLine="0" autoPict="0">
                <anchor moveWithCells="1">
                  <from>
                    <xdr:col>6</xdr:col>
                    <xdr:colOff>219075</xdr:colOff>
                    <xdr:row>39</xdr:row>
                    <xdr:rowOff>19050</xdr:rowOff>
                  </from>
                  <to>
                    <xdr:col>6</xdr:col>
                    <xdr:colOff>409575</xdr:colOff>
                    <xdr:row>39</xdr:row>
                    <xdr:rowOff>228600</xdr:rowOff>
                  </to>
                </anchor>
              </controlPr>
            </control>
          </mc:Choice>
        </mc:AlternateContent>
        <mc:AlternateContent xmlns:mc="http://schemas.openxmlformats.org/markup-compatibility/2006">
          <mc:Choice Requires="x14">
            <control shapeId="86130" r:id="rId117" name="Option Button 114">
              <controlPr defaultSize="0" autoFill="0" autoLine="0" autoPict="0">
                <anchor moveWithCells="1">
                  <from>
                    <xdr:col>3</xdr:col>
                    <xdr:colOff>219075</xdr:colOff>
                    <xdr:row>40</xdr:row>
                    <xdr:rowOff>19050</xdr:rowOff>
                  </from>
                  <to>
                    <xdr:col>3</xdr:col>
                    <xdr:colOff>409575</xdr:colOff>
                    <xdr:row>40</xdr:row>
                    <xdr:rowOff>228600</xdr:rowOff>
                  </to>
                </anchor>
              </controlPr>
            </control>
          </mc:Choice>
        </mc:AlternateContent>
        <mc:AlternateContent xmlns:mc="http://schemas.openxmlformats.org/markup-compatibility/2006">
          <mc:Choice Requires="x14">
            <control shapeId="86131" r:id="rId118" name="Option Button 115">
              <controlPr defaultSize="0" autoFill="0" autoLine="0" autoPict="0">
                <anchor moveWithCells="1">
                  <from>
                    <xdr:col>4</xdr:col>
                    <xdr:colOff>219075</xdr:colOff>
                    <xdr:row>40</xdr:row>
                    <xdr:rowOff>19050</xdr:rowOff>
                  </from>
                  <to>
                    <xdr:col>4</xdr:col>
                    <xdr:colOff>409575</xdr:colOff>
                    <xdr:row>40</xdr:row>
                    <xdr:rowOff>228600</xdr:rowOff>
                  </to>
                </anchor>
              </controlPr>
            </control>
          </mc:Choice>
        </mc:AlternateContent>
        <mc:AlternateContent xmlns:mc="http://schemas.openxmlformats.org/markup-compatibility/2006">
          <mc:Choice Requires="x14">
            <control shapeId="86132" r:id="rId119" name="Option Button 116">
              <controlPr defaultSize="0" autoFill="0" autoLine="0" autoPict="0">
                <anchor moveWithCells="1">
                  <from>
                    <xdr:col>5</xdr:col>
                    <xdr:colOff>219075</xdr:colOff>
                    <xdr:row>40</xdr:row>
                    <xdr:rowOff>19050</xdr:rowOff>
                  </from>
                  <to>
                    <xdr:col>5</xdr:col>
                    <xdr:colOff>409575</xdr:colOff>
                    <xdr:row>40</xdr:row>
                    <xdr:rowOff>228600</xdr:rowOff>
                  </to>
                </anchor>
              </controlPr>
            </control>
          </mc:Choice>
        </mc:AlternateContent>
        <mc:AlternateContent xmlns:mc="http://schemas.openxmlformats.org/markup-compatibility/2006">
          <mc:Choice Requires="x14">
            <control shapeId="86133" r:id="rId120" name="Option Button 117">
              <controlPr defaultSize="0" autoFill="0" autoLine="0" autoPict="0">
                <anchor moveWithCells="1">
                  <from>
                    <xdr:col>6</xdr:col>
                    <xdr:colOff>219075</xdr:colOff>
                    <xdr:row>40</xdr:row>
                    <xdr:rowOff>19050</xdr:rowOff>
                  </from>
                  <to>
                    <xdr:col>6</xdr:col>
                    <xdr:colOff>409575</xdr:colOff>
                    <xdr:row>40</xdr:row>
                    <xdr:rowOff>228600</xdr:rowOff>
                  </to>
                </anchor>
              </controlPr>
            </control>
          </mc:Choice>
        </mc:AlternateContent>
        <mc:AlternateContent xmlns:mc="http://schemas.openxmlformats.org/markup-compatibility/2006">
          <mc:Choice Requires="x14">
            <control shapeId="86134" r:id="rId121" name="Option Button 118">
              <controlPr defaultSize="0" autoFill="0" autoLine="0" autoPict="0">
                <anchor moveWithCells="1">
                  <from>
                    <xdr:col>3</xdr:col>
                    <xdr:colOff>219075</xdr:colOff>
                    <xdr:row>41</xdr:row>
                    <xdr:rowOff>19050</xdr:rowOff>
                  </from>
                  <to>
                    <xdr:col>3</xdr:col>
                    <xdr:colOff>409575</xdr:colOff>
                    <xdr:row>41</xdr:row>
                    <xdr:rowOff>228600</xdr:rowOff>
                  </to>
                </anchor>
              </controlPr>
            </control>
          </mc:Choice>
        </mc:AlternateContent>
        <mc:AlternateContent xmlns:mc="http://schemas.openxmlformats.org/markup-compatibility/2006">
          <mc:Choice Requires="x14">
            <control shapeId="86135" r:id="rId122" name="Option Button 119">
              <controlPr defaultSize="0" autoFill="0" autoLine="0" autoPict="0">
                <anchor moveWithCells="1">
                  <from>
                    <xdr:col>4</xdr:col>
                    <xdr:colOff>219075</xdr:colOff>
                    <xdr:row>41</xdr:row>
                    <xdr:rowOff>19050</xdr:rowOff>
                  </from>
                  <to>
                    <xdr:col>4</xdr:col>
                    <xdr:colOff>409575</xdr:colOff>
                    <xdr:row>41</xdr:row>
                    <xdr:rowOff>228600</xdr:rowOff>
                  </to>
                </anchor>
              </controlPr>
            </control>
          </mc:Choice>
        </mc:AlternateContent>
        <mc:AlternateContent xmlns:mc="http://schemas.openxmlformats.org/markup-compatibility/2006">
          <mc:Choice Requires="x14">
            <control shapeId="86136" r:id="rId123" name="Option Button 120">
              <controlPr defaultSize="0" autoFill="0" autoLine="0" autoPict="0">
                <anchor moveWithCells="1">
                  <from>
                    <xdr:col>5</xdr:col>
                    <xdr:colOff>219075</xdr:colOff>
                    <xdr:row>41</xdr:row>
                    <xdr:rowOff>19050</xdr:rowOff>
                  </from>
                  <to>
                    <xdr:col>5</xdr:col>
                    <xdr:colOff>409575</xdr:colOff>
                    <xdr:row>41</xdr:row>
                    <xdr:rowOff>228600</xdr:rowOff>
                  </to>
                </anchor>
              </controlPr>
            </control>
          </mc:Choice>
        </mc:AlternateContent>
        <mc:AlternateContent xmlns:mc="http://schemas.openxmlformats.org/markup-compatibility/2006">
          <mc:Choice Requires="x14">
            <control shapeId="86137" r:id="rId124" name="Option Button 121">
              <controlPr defaultSize="0" autoFill="0" autoLine="0" autoPict="0">
                <anchor moveWithCells="1">
                  <from>
                    <xdr:col>6</xdr:col>
                    <xdr:colOff>219075</xdr:colOff>
                    <xdr:row>41</xdr:row>
                    <xdr:rowOff>19050</xdr:rowOff>
                  </from>
                  <to>
                    <xdr:col>6</xdr:col>
                    <xdr:colOff>409575</xdr:colOff>
                    <xdr:row>41</xdr:row>
                    <xdr:rowOff>228600</xdr:rowOff>
                  </to>
                </anchor>
              </controlPr>
            </control>
          </mc:Choice>
        </mc:AlternateContent>
        <mc:AlternateContent xmlns:mc="http://schemas.openxmlformats.org/markup-compatibility/2006">
          <mc:Choice Requires="x14">
            <control shapeId="86138" r:id="rId125" name="Option Button 122">
              <controlPr defaultSize="0" autoFill="0" autoLine="0" autoPict="0">
                <anchor moveWithCells="1">
                  <from>
                    <xdr:col>3</xdr:col>
                    <xdr:colOff>219075</xdr:colOff>
                    <xdr:row>42</xdr:row>
                    <xdr:rowOff>19050</xdr:rowOff>
                  </from>
                  <to>
                    <xdr:col>3</xdr:col>
                    <xdr:colOff>409575</xdr:colOff>
                    <xdr:row>42</xdr:row>
                    <xdr:rowOff>228600</xdr:rowOff>
                  </to>
                </anchor>
              </controlPr>
            </control>
          </mc:Choice>
        </mc:AlternateContent>
        <mc:AlternateContent xmlns:mc="http://schemas.openxmlformats.org/markup-compatibility/2006">
          <mc:Choice Requires="x14">
            <control shapeId="86139" r:id="rId126" name="Option Button 123">
              <controlPr defaultSize="0" autoFill="0" autoLine="0" autoPict="0">
                <anchor moveWithCells="1">
                  <from>
                    <xdr:col>4</xdr:col>
                    <xdr:colOff>219075</xdr:colOff>
                    <xdr:row>42</xdr:row>
                    <xdr:rowOff>19050</xdr:rowOff>
                  </from>
                  <to>
                    <xdr:col>4</xdr:col>
                    <xdr:colOff>409575</xdr:colOff>
                    <xdr:row>42</xdr:row>
                    <xdr:rowOff>228600</xdr:rowOff>
                  </to>
                </anchor>
              </controlPr>
            </control>
          </mc:Choice>
        </mc:AlternateContent>
        <mc:AlternateContent xmlns:mc="http://schemas.openxmlformats.org/markup-compatibility/2006">
          <mc:Choice Requires="x14">
            <control shapeId="86140" r:id="rId127" name="Option Button 124">
              <controlPr defaultSize="0" autoFill="0" autoLine="0" autoPict="0">
                <anchor moveWithCells="1">
                  <from>
                    <xdr:col>5</xdr:col>
                    <xdr:colOff>219075</xdr:colOff>
                    <xdr:row>42</xdr:row>
                    <xdr:rowOff>19050</xdr:rowOff>
                  </from>
                  <to>
                    <xdr:col>5</xdr:col>
                    <xdr:colOff>409575</xdr:colOff>
                    <xdr:row>42</xdr:row>
                    <xdr:rowOff>228600</xdr:rowOff>
                  </to>
                </anchor>
              </controlPr>
            </control>
          </mc:Choice>
        </mc:AlternateContent>
        <mc:AlternateContent xmlns:mc="http://schemas.openxmlformats.org/markup-compatibility/2006">
          <mc:Choice Requires="x14">
            <control shapeId="86141" r:id="rId128" name="Option Button 125">
              <controlPr defaultSize="0" autoFill="0" autoLine="0" autoPict="0">
                <anchor moveWithCells="1">
                  <from>
                    <xdr:col>6</xdr:col>
                    <xdr:colOff>219075</xdr:colOff>
                    <xdr:row>42</xdr:row>
                    <xdr:rowOff>19050</xdr:rowOff>
                  </from>
                  <to>
                    <xdr:col>6</xdr:col>
                    <xdr:colOff>409575</xdr:colOff>
                    <xdr:row>42</xdr:row>
                    <xdr:rowOff>228600</xdr:rowOff>
                  </to>
                </anchor>
              </controlPr>
            </control>
          </mc:Choice>
        </mc:AlternateContent>
        <mc:AlternateContent xmlns:mc="http://schemas.openxmlformats.org/markup-compatibility/2006">
          <mc:Choice Requires="x14">
            <control shapeId="86142" r:id="rId129" name="Option Button 126">
              <controlPr defaultSize="0" autoFill="0" autoLine="0" autoPict="0">
                <anchor moveWithCells="1">
                  <from>
                    <xdr:col>3</xdr:col>
                    <xdr:colOff>219075</xdr:colOff>
                    <xdr:row>43</xdr:row>
                    <xdr:rowOff>19050</xdr:rowOff>
                  </from>
                  <to>
                    <xdr:col>3</xdr:col>
                    <xdr:colOff>409575</xdr:colOff>
                    <xdr:row>43</xdr:row>
                    <xdr:rowOff>228600</xdr:rowOff>
                  </to>
                </anchor>
              </controlPr>
            </control>
          </mc:Choice>
        </mc:AlternateContent>
        <mc:AlternateContent xmlns:mc="http://schemas.openxmlformats.org/markup-compatibility/2006">
          <mc:Choice Requires="x14">
            <control shapeId="86143" r:id="rId130" name="Option Button 127">
              <controlPr defaultSize="0" autoFill="0" autoLine="0" autoPict="0">
                <anchor moveWithCells="1">
                  <from>
                    <xdr:col>4</xdr:col>
                    <xdr:colOff>219075</xdr:colOff>
                    <xdr:row>43</xdr:row>
                    <xdr:rowOff>19050</xdr:rowOff>
                  </from>
                  <to>
                    <xdr:col>4</xdr:col>
                    <xdr:colOff>409575</xdr:colOff>
                    <xdr:row>43</xdr:row>
                    <xdr:rowOff>228600</xdr:rowOff>
                  </to>
                </anchor>
              </controlPr>
            </control>
          </mc:Choice>
        </mc:AlternateContent>
        <mc:AlternateContent xmlns:mc="http://schemas.openxmlformats.org/markup-compatibility/2006">
          <mc:Choice Requires="x14">
            <control shapeId="86144" r:id="rId131" name="Option Button 128">
              <controlPr defaultSize="0" autoFill="0" autoLine="0" autoPict="0">
                <anchor moveWithCells="1">
                  <from>
                    <xdr:col>5</xdr:col>
                    <xdr:colOff>219075</xdr:colOff>
                    <xdr:row>43</xdr:row>
                    <xdr:rowOff>19050</xdr:rowOff>
                  </from>
                  <to>
                    <xdr:col>5</xdr:col>
                    <xdr:colOff>409575</xdr:colOff>
                    <xdr:row>43</xdr:row>
                    <xdr:rowOff>228600</xdr:rowOff>
                  </to>
                </anchor>
              </controlPr>
            </control>
          </mc:Choice>
        </mc:AlternateContent>
        <mc:AlternateContent xmlns:mc="http://schemas.openxmlformats.org/markup-compatibility/2006">
          <mc:Choice Requires="x14">
            <control shapeId="86145" r:id="rId132" name="Option Button 129">
              <controlPr defaultSize="0" autoFill="0" autoLine="0" autoPict="0">
                <anchor moveWithCells="1">
                  <from>
                    <xdr:col>6</xdr:col>
                    <xdr:colOff>219075</xdr:colOff>
                    <xdr:row>43</xdr:row>
                    <xdr:rowOff>19050</xdr:rowOff>
                  </from>
                  <to>
                    <xdr:col>6</xdr:col>
                    <xdr:colOff>409575</xdr:colOff>
                    <xdr:row>43</xdr:row>
                    <xdr:rowOff>228600</xdr:rowOff>
                  </to>
                </anchor>
              </controlPr>
            </control>
          </mc:Choice>
        </mc:AlternateContent>
        <mc:AlternateContent xmlns:mc="http://schemas.openxmlformats.org/markup-compatibility/2006">
          <mc:Choice Requires="x14">
            <control shapeId="86146" r:id="rId133" name="Option Button 130">
              <controlPr defaultSize="0" autoFill="0" autoLine="0" autoPict="0">
                <anchor moveWithCells="1">
                  <from>
                    <xdr:col>3</xdr:col>
                    <xdr:colOff>219075</xdr:colOff>
                    <xdr:row>44</xdr:row>
                    <xdr:rowOff>19050</xdr:rowOff>
                  </from>
                  <to>
                    <xdr:col>3</xdr:col>
                    <xdr:colOff>409575</xdr:colOff>
                    <xdr:row>44</xdr:row>
                    <xdr:rowOff>228600</xdr:rowOff>
                  </to>
                </anchor>
              </controlPr>
            </control>
          </mc:Choice>
        </mc:AlternateContent>
        <mc:AlternateContent xmlns:mc="http://schemas.openxmlformats.org/markup-compatibility/2006">
          <mc:Choice Requires="x14">
            <control shapeId="86147" r:id="rId134" name="Option Button 131">
              <controlPr defaultSize="0" autoFill="0" autoLine="0" autoPict="0">
                <anchor moveWithCells="1">
                  <from>
                    <xdr:col>4</xdr:col>
                    <xdr:colOff>219075</xdr:colOff>
                    <xdr:row>44</xdr:row>
                    <xdr:rowOff>19050</xdr:rowOff>
                  </from>
                  <to>
                    <xdr:col>4</xdr:col>
                    <xdr:colOff>409575</xdr:colOff>
                    <xdr:row>44</xdr:row>
                    <xdr:rowOff>228600</xdr:rowOff>
                  </to>
                </anchor>
              </controlPr>
            </control>
          </mc:Choice>
        </mc:AlternateContent>
        <mc:AlternateContent xmlns:mc="http://schemas.openxmlformats.org/markup-compatibility/2006">
          <mc:Choice Requires="x14">
            <control shapeId="86148" r:id="rId135" name="Option Button 132">
              <controlPr defaultSize="0" autoFill="0" autoLine="0" autoPict="0">
                <anchor moveWithCells="1">
                  <from>
                    <xdr:col>5</xdr:col>
                    <xdr:colOff>219075</xdr:colOff>
                    <xdr:row>44</xdr:row>
                    <xdr:rowOff>19050</xdr:rowOff>
                  </from>
                  <to>
                    <xdr:col>5</xdr:col>
                    <xdr:colOff>409575</xdr:colOff>
                    <xdr:row>44</xdr:row>
                    <xdr:rowOff>228600</xdr:rowOff>
                  </to>
                </anchor>
              </controlPr>
            </control>
          </mc:Choice>
        </mc:AlternateContent>
        <mc:AlternateContent xmlns:mc="http://schemas.openxmlformats.org/markup-compatibility/2006">
          <mc:Choice Requires="x14">
            <control shapeId="86149" r:id="rId136" name="Option Button 133">
              <controlPr defaultSize="0" autoFill="0" autoLine="0" autoPict="0">
                <anchor moveWithCells="1">
                  <from>
                    <xdr:col>6</xdr:col>
                    <xdr:colOff>219075</xdr:colOff>
                    <xdr:row>44</xdr:row>
                    <xdr:rowOff>19050</xdr:rowOff>
                  </from>
                  <to>
                    <xdr:col>6</xdr:col>
                    <xdr:colOff>409575</xdr:colOff>
                    <xdr:row>44</xdr:row>
                    <xdr:rowOff>228600</xdr:rowOff>
                  </to>
                </anchor>
              </controlPr>
            </control>
          </mc:Choice>
        </mc:AlternateContent>
        <mc:AlternateContent xmlns:mc="http://schemas.openxmlformats.org/markup-compatibility/2006">
          <mc:Choice Requires="x14">
            <control shapeId="86150" r:id="rId137" name="Option Button 134">
              <controlPr defaultSize="0" autoFill="0" autoLine="0" autoPict="0">
                <anchor moveWithCells="1">
                  <from>
                    <xdr:col>3</xdr:col>
                    <xdr:colOff>219075</xdr:colOff>
                    <xdr:row>45</xdr:row>
                    <xdr:rowOff>19050</xdr:rowOff>
                  </from>
                  <to>
                    <xdr:col>3</xdr:col>
                    <xdr:colOff>409575</xdr:colOff>
                    <xdr:row>45</xdr:row>
                    <xdr:rowOff>228600</xdr:rowOff>
                  </to>
                </anchor>
              </controlPr>
            </control>
          </mc:Choice>
        </mc:AlternateContent>
        <mc:AlternateContent xmlns:mc="http://schemas.openxmlformats.org/markup-compatibility/2006">
          <mc:Choice Requires="x14">
            <control shapeId="86151" r:id="rId138" name="Option Button 135">
              <controlPr defaultSize="0" autoFill="0" autoLine="0" autoPict="0">
                <anchor moveWithCells="1">
                  <from>
                    <xdr:col>4</xdr:col>
                    <xdr:colOff>219075</xdr:colOff>
                    <xdr:row>45</xdr:row>
                    <xdr:rowOff>19050</xdr:rowOff>
                  </from>
                  <to>
                    <xdr:col>4</xdr:col>
                    <xdr:colOff>409575</xdr:colOff>
                    <xdr:row>45</xdr:row>
                    <xdr:rowOff>228600</xdr:rowOff>
                  </to>
                </anchor>
              </controlPr>
            </control>
          </mc:Choice>
        </mc:AlternateContent>
        <mc:AlternateContent xmlns:mc="http://schemas.openxmlformats.org/markup-compatibility/2006">
          <mc:Choice Requires="x14">
            <control shapeId="86152" r:id="rId139" name="Option Button 136">
              <controlPr defaultSize="0" autoFill="0" autoLine="0" autoPict="0">
                <anchor moveWithCells="1">
                  <from>
                    <xdr:col>5</xdr:col>
                    <xdr:colOff>219075</xdr:colOff>
                    <xdr:row>45</xdr:row>
                    <xdr:rowOff>19050</xdr:rowOff>
                  </from>
                  <to>
                    <xdr:col>5</xdr:col>
                    <xdr:colOff>409575</xdr:colOff>
                    <xdr:row>45</xdr:row>
                    <xdr:rowOff>228600</xdr:rowOff>
                  </to>
                </anchor>
              </controlPr>
            </control>
          </mc:Choice>
        </mc:AlternateContent>
        <mc:AlternateContent xmlns:mc="http://schemas.openxmlformats.org/markup-compatibility/2006">
          <mc:Choice Requires="x14">
            <control shapeId="86153" r:id="rId140" name="Option Button 137">
              <controlPr defaultSize="0" autoFill="0" autoLine="0" autoPict="0">
                <anchor moveWithCells="1">
                  <from>
                    <xdr:col>6</xdr:col>
                    <xdr:colOff>219075</xdr:colOff>
                    <xdr:row>45</xdr:row>
                    <xdr:rowOff>19050</xdr:rowOff>
                  </from>
                  <to>
                    <xdr:col>6</xdr:col>
                    <xdr:colOff>409575</xdr:colOff>
                    <xdr:row>45</xdr:row>
                    <xdr:rowOff>228600</xdr:rowOff>
                  </to>
                </anchor>
              </controlPr>
            </control>
          </mc:Choice>
        </mc:AlternateContent>
        <mc:AlternateContent xmlns:mc="http://schemas.openxmlformats.org/markup-compatibility/2006">
          <mc:Choice Requires="x14">
            <control shapeId="86154" r:id="rId141" name="Option Button 138">
              <controlPr defaultSize="0" autoFill="0" autoLine="0" autoPict="0">
                <anchor moveWithCells="1">
                  <from>
                    <xdr:col>3</xdr:col>
                    <xdr:colOff>219075</xdr:colOff>
                    <xdr:row>46</xdr:row>
                    <xdr:rowOff>19050</xdr:rowOff>
                  </from>
                  <to>
                    <xdr:col>3</xdr:col>
                    <xdr:colOff>409575</xdr:colOff>
                    <xdr:row>46</xdr:row>
                    <xdr:rowOff>228600</xdr:rowOff>
                  </to>
                </anchor>
              </controlPr>
            </control>
          </mc:Choice>
        </mc:AlternateContent>
        <mc:AlternateContent xmlns:mc="http://schemas.openxmlformats.org/markup-compatibility/2006">
          <mc:Choice Requires="x14">
            <control shapeId="86155" r:id="rId142" name="Option Button 139">
              <controlPr defaultSize="0" autoFill="0" autoLine="0" autoPict="0">
                <anchor moveWithCells="1">
                  <from>
                    <xdr:col>4</xdr:col>
                    <xdr:colOff>219075</xdr:colOff>
                    <xdr:row>46</xdr:row>
                    <xdr:rowOff>19050</xdr:rowOff>
                  </from>
                  <to>
                    <xdr:col>4</xdr:col>
                    <xdr:colOff>409575</xdr:colOff>
                    <xdr:row>46</xdr:row>
                    <xdr:rowOff>228600</xdr:rowOff>
                  </to>
                </anchor>
              </controlPr>
            </control>
          </mc:Choice>
        </mc:AlternateContent>
        <mc:AlternateContent xmlns:mc="http://schemas.openxmlformats.org/markup-compatibility/2006">
          <mc:Choice Requires="x14">
            <control shapeId="86156" r:id="rId143" name="Option Button 140">
              <controlPr defaultSize="0" autoFill="0" autoLine="0" autoPict="0">
                <anchor moveWithCells="1">
                  <from>
                    <xdr:col>5</xdr:col>
                    <xdr:colOff>219075</xdr:colOff>
                    <xdr:row>46</xdr:row>
                    <xdr:rowOff>19050</xdr:rowOff>
                  </from>
                  <to>
                    <xdr:col>5</xdr:col>
                    <xdr:colOff>409575</xdr:colOff>
                    <xdr:row>46</xdr:row>
                    <xdr:rowOff>228600</xdr:rowOff>
                  </to>
                </anchor>
              </controlPr>
            </control>
          </mc:Choice>
        </mc:AlternateContent>
        <mc:AlternateContent xmlns:mc="http://schemas.openxmlformats.org/markup-compatibility/2006">
          <mc:Choice Requires="x14">
            <control shapeId="86157" r:id="rId144" name="Option Button 141">
              <controlPr defaultSize="0" autoFill="0" autoLine="0" autoPict="0">
                <anchor moveWithCells="1">
                  <from>
                    <xdr:col>6</xdr:col>
                    <xdr:colOff>219075</xdr:colOff>
                    <xdr:row>46</xdr:row>
                    <xdr:rowOff>19050</xdr:rowOff>
                  </from>
                  <to>
                    <xdr:col>6</xdr:col>
                    <xdr:colOff>409575</xdr:colOff>
                    <xdr:row>46</xdr:row>
                    <xdr:rowOff>228600</xdr:rowOff>
                  </to>
                </anchor>
              </controlPr>
            </control>
          </mc:Choice>
        </mc:AlternateContent>
        <mc:AlternateContent xmlns:mc="http://schemas.openxmlformats.org/markup-compatibility/2006">
          <mc:Choice Requires="x14">
            <control shapeId="86158" r:id="rId145" name="Option Button 142">
              <controlPr defaultSize="0" autoFill="0" autoLine="0" autoPict="0">
                <anchor moveWithCells="1">
                  <from>
                    <xdr:col>3</xdr:col>
                    <xdr:colOff>219075</xdr:colOff>
                    <xdr:row>47</xdr:row>
                    <xdr:rowOff>19050</xdr:rowOff>
                  </from>
                  <to>
                    <xdr:col>3</xdr:col>
                    <xdr:colOff>409575</xdr:colOff>
                    <xdr:row>47</xdr:row>
                    <xdr:rowOff>228600</xdr:rowOff>
                  </to>
                </anchor>
              </controlPr>
            </control>
          </mc:Choice>
        </mc:AlternateContent>
        <mc:AlternateContent xmlns:mc="http://schemas.openxmlformats.org/markup-compatibility/2006">
          <mc:Choice Requires="x14">
            <control shapeId="86159" r:id="rId146" name="Option Button 143">
              <controlPr defaultSize="0" autoFill="0" autoLine="0" autoPict="0">
                <anchor moveWithCells="1">
                  <from>
                    <xdr:col>4</xdr:col>
                    <xdr:colOff>219075</xdr:colOff>
                    <xdr:row>47</xdr:row>
                    <xdr:rowOff>19050</xdr:rowOff>
                  </from>
                  <to>
                    <xdr:col>4</xdr:col>
                    <xdr:colOff>409575</xdr:colOff>
                    <xdr:row>47</xdr:row>
                    <xdr:rowOff>228600</xdr:rowOff>
                  </to>
                </anchor>
              </controlPr>
            </control>
          </mc:Choice>
        </mc:AlternateContent>
        <mc:AlternateContent xmlns:mc="http://schemas.openxmlformats.org/markup-compatibility/2006">
          <mc:Choice Requires="x14">
            <control shapeId="86160" r:id="rId147" name="Option Button 144">
              <controlPr defaultSize="0" autoFill="0" autoLine="0" autoPict="0">
                <anchor moveWithCells="1">
                  <from>
                    <xdr:col>5</xdr:col>
                    <xdr:colOff>219075</xdr:colOff>
                    <xdr:row>47</xdr:row>
                    <xdr:rowOff>19050</xdr:rowOff>
                  </from>
                  <to>
                    <xdr:col>5</xdr:col>
                    <xdr:colOff>409575</xdr:colOff>
                    <xdr:row>47</xdr:row>
                    <xdr:rowOff>228600</xdr:rowOff>
                  </to>
                </anchor>
              </controlPr>
            </control>
          </mc:Choice>
        </mc:AlternateContent>
        <mc:AlternateContent xmlns:mc="http://schemas.openxmlformats.org/markup-compatibility/2006">
          <mc:Choice Requires="x14">
            <control shapeId="86161" r:id="rId148" name="Option Button 145">
              <controlPr defaultSize="0" autoFill="0" autoLine="0" autoPict="0">
                <anchor moveWithCells="1">
                  <from>
                    <xdr:col>6</xdr:col>
                    <xdr:colOff>219075</xdr:colOff>
                    <xdr:row>47</xdr:row>
                    <xdr:rowOff>19050</xdr:rowOff>
                  </from>
                  <to>
                    <xdr:col>6</xdr:col>
                    <xdr:colOff>409575</xdr:colOff>
                    <xdr:row>47</xdr:row>
                    <xdr:rowOff>228600</xdr:rowOff>
                  </to>
                </anchor>
              </controlPr>
            </control>
          </mc:Choice>
        </mc:AlternateContent>
        <mc:AlternateContent xmlns:mc="http://schemas.openxmlformats.org/markup-compatibility/2006">
          <mc:Choice Requires="x14">
            <control shapeId="86162" r:id="rId149" name="Option Button 146">
              <controlPr defaultSize="0" autoFill="0" autoLine="0" autoPict="0">
                <anchor moveWithCells="1">
                  <from>
                    <xdr:col>3</xdr:col>
                    <xdr:colOff>219075</xdr:colOff>
                    <xdr:row>48</xdr:row>
                    <xdr:rowOff>19050</xdr:rowOff>
                  </from>
                  <to>
                    <xdr:col>3</xdr:col>
                    <xdr:colOff>409575</xdr:colOff>
                    <xdr:row>48</xdr:row>
                    <xdr:rowOff>228600</xdr:rowOff>
                  </to>
                </anchor>
              </controlPr>
            </control>
          </mc:Choice>
        </mc:AlternateContent>
        <mc:AlternateContent xmlns:mc="http://schemas.openxmlformats.org/markup-compatibility/2006">
          <mc:Choice Requires="x14">
            <control shapeId="86163" r:id="rId150" name="Option Button 147">
              <controlPr defaultSize="0" autoFill="0" autoLine="0" autoPict="0">
                <anchor moveWithCells="1">
                  <from>
                    <xdr:col>4</xdr:col>
                    <xdr:colOff>219075</xdr:colOff>
                    <xdr:row>48</xdr:row>
                    <xdr:rowOff>19050</xdr:rowOff>
                  </from>
                  <to>
                    <xdr:col>4</xdr:col>
                    <xdr:colOff>409575</xdr:colOff>
                    <xdr:row>48</xdr:row>
                    <xdr:rowOff>228600</xdr:rowOff>
                  </to>
                </anchor>
              </controlPr>
            </control>
          </mc:Choice>
        </mc:AlternateContent>
        <mc:AlternateContent xmlns:mc="http://schemas.openxmlformats.org/markup-compatibility/2006">
          <mc:Choice Requires="x14">
            <control shapeId="86164" r:id="rId151" name="Option Button 148">
              <controlPr defaultSize="0" autoFill="0" autoLine="0" autoPict="0">
                <anchor moveWithCells="1">
                  <from>
                    <xdr:col>5</xdr:col>
                    <xdr:colOff>219075</xdr:colOff>
                    <xdr:row>48</xdr:row>
                    <xdr:rowOff>19050</xdr:rowOff>
                  </from>
                  <to>
                    <xdr:col>5</xdr:col>
                    <xdr:colOff>409575</xdr:colOff>
                    <xdr:row>48</xdr:row>
                    <xdr:rowOff>228600</xdr:rowOff>
                  </to>
                </anchor>
              </controlPr>
            </control>
          </mc:Choice>
        </mc:AlternateContent>
        <mc:AlternateContent xmlns:mc="http://schemas.openxmlformats.org/markup-compatibility/2006">
          <mc:Choice Requires="x14">
            <control shapeId="86165" r:id="rId152" name="Option Button 149">
              <controlPr defaultSize="0" autoFill="0" autoLine="0" autoPict="0">
                <anchor moveWithCells="1">
                  <from>
                    <xdr:col>6</xdr:col>
                    <xdr:colOff>219075</xdr:colOff>
                    <xdr:row>48</xdr:row>
                    <xdr:rowOff>19050</xdr:rowOff>
                  </from>
                  <to>
                    <xdr:col>6</xdr:col>
                    <xdr:colOff>409575</xdr:colOff>
                    <xdr:row>48</xdr:row>
                    <xdr:rowOff>228600</xdr:rowOff>
                  </to>
                </anchor>
              </controlPr>
            </control>
          </mc:Choice>
        </mc:AlternateContent>
        <mc:AlternateContent xmlns:mc="http://schemas.openxmlformats.org/markup-compatibility/2006">
          <mc:Choice Requires="x14">
            <control shapeId="86166" r:id="rId153" name="Group Box 150">
              <controlPr defaultSize="0" print="0" autoFill="0" autoPict="0">
                <anchor moveWithCells="1">
                  <from>
                    <xdr:col>3</xdr:col>
                    <xdr:colOff>0</xdr:colOff>
                    <xdr:row>13</xdr:row>
                    <xdr:rowOff>0</xdr:rowOff>
                  </from>
                  <to>
                    <xdr:col>6</xdr:col>
                    <xdr:colOff>600075</xdr:colOff>
                    <xdr:row>14</xdr:row>
                    <xdr:rowOff>0</xdr:rowOff>
                  </to>
                </anchor>
              </controlPr>
            </control>
          </mc:Choice>
        </mc:AlternateContent>
        <mc:AlternateContent xmlns:mc="http://schemas.openxmlformats.org/markup-compatibility/2006">
          <mc:Choice Requires="x14">
            <control shapeId="86167" r:id="rId154" name="Group Box 151">
              <controlPr defaultSize="0" print="0" autoFill="0" autoPict="0">
                <anchor moveWithCells="1">
                  <from>
                    <xdr:col>3</xdr:col>
                    <xdr:colOff>0</xdr:colOff>
                    <xdr:row>14</xdr:row>
                    <xdr:rowOff>0</xdr:rowOff>
                  </from>
                  <to>
                    <xdr:col>6</xdr:col>
                    <xdr:colOff>600075</xdr:colOff>
                    <xdr:row>15</xdr:row>
                    <xdr:rowOff>0</xdr:rowOff>
                  </to>
                </anchor>
              </controlPr>
            </control>
          </mc:Choice>
        </mc:AlternateContent>
        <mc:AlternateContent xmlns:mc="http://schemas.openxmlformats.org/markup-compatibility/2006">
          <mc:Choice Requires="x14">
            <control shapeId="86168" r:id="rId155" name="Group Box 152">
              <controlPr defaultSize="0" print="0" autoFill="0" autoPict="0">
                <anchor moveWithCells="1">
                  <from>
                    <xdr:col>3</xdr:col>
                    <xdr:colOff>0</xdr:colOff>
                    <xdr:row>15</xdr:row>
                    <xdr:rowOff>0</xdr:rowOff>
                  </from>
                  <to>
                    <xdr:col>6</xdr:col>
                    <xdr:colOff>600075</xdr:colOff>
                    <xdr:row>16</xdr:row>
                    <xdr:rowOff>0</xdr:rowOff>
                  </to>
                </anchor>
              </controlPr>
            </control>
          </mc:Choice>
        </mc:AlternateContent>
        <mc:AlternateContent xmlns:mc="http://schemas.openxmlformats.org/markup-compatibility/2006">
          <mc:Choice Requires="x14">
            <control shapeId="86169" r:id="rId156" name="Group Box 153">
              <controlPr defaultSize="0" print="0" autoFill="0" autoPict="0">
                <anchor moveWithCells="1">
                  <from>
                    <xdr:col>3</xdr:col>
                    <xdr:colOff>0</xdr:colOff>
                    <xdr:row>16</xdr:row>
                    <xdr:rowOff>0</xdr:rowOff>
                  </from>
                  <to>
                    <xdr:col>6</xdr:col>
                    <xdr:colOff>600075</xdr:colOff>
                    <xdr:row>17</xdr:row>
                    <xdr:rowOff>0</xdr:rowOff>
                  </to>
                </anchor>
              </controlPr>
            </control>
          </mc:Choice>
        </mc:AlternateContent>
        <mc:AlternateContent xmlns:mc="http://schemas.openxmlformats.org/markup-compatibility/2006">
          <mc:Choice Requires="x14">
            <control shapeId="86170" r:id="rId157" name="Group Box 154">
              <controlPr defaultSize="0" print="0" autoFill="0" autoPict="0">
                <anchor moveWithCells="1">
                  <from>
                    <xdr:col>3</xdr:col>
                    <xdr:colOff>0</xdr:colOff>
                    <xdr:row>17</xdr:row>
                    <xdr:rowOff>0</xdr:rowOff>
                  </from>
                  <to>
                    <xdr:col>6</xdr:col>
                    <xdr:colOff>600075</xdr:colOff>
                    <xdr:row>18</xdr:row>
                    <xdr:rowOff>0</xdr:rowOff>
                  </to>
                </anchor>
              </controlPr>
            </control>
          </mc:Choice>
        </mc:AlternateContent>
        <mc:AlternateContent xmlns:mc="http://schemas.openxmlformats.org/markup-compatibility/2006">
          <mc:Choice Requires="x14">
            <control shapeId="86171" r:id="rId158" name="Group Box 155">
              <controlPr defaultSize="0" print="0" autoFill="0" autoPict="0">
                <anchor moveWithCells="1">
                  <from>
                    <xdr:col>3</xdr:col>
                    <xdr:colOff>0</xdr:colOff>
                    <xdr:row>18</xdr:row>
                    <xdr:rowOff>0</xdr:rowOff>
                  </from>
                  <to>
                    <xdr:col>6</xdr:col>
                    <xdr:colOff>600075</xdr:colOff>
                    <xdr:row>19</xdr:row>
                    <xdr:rowOff>0</xdr:rowOff>
                  </to>
                </anchor>
              </controlPr>
            </control>
          </mc:Choice>
        </mc:AlternateContent>
        <mc:AlternateContent xmlns:mc="http://schemas.openxmlformats.org/markup-compatibility/2006">
          <mc:Choice Requires="x14">
            <control shapeId="86172" r:id="rId159" name="Group Box 156">
              <controlPr defaultSize="0" print="0" autoFill="0" autoPict="0">
                <anchor moveWithCells="1">
                  <from>
                    <xdr:col>3</xdr:col>
                    <xdr:colOff>0</xdr:colOff>
                    <xdr:row>19</xdr:row>
                    <xdr:rowOff>0</xdr:rowOff>
                  </from>
                  <to>
                    <xdr:col>6</xdr:col>
                    <xdr:colOff>600075</xdr:colOff>
                    <xdr:row>20</xdr:row>
                    <xdr:rowOff>0</xdr:rowOff>
                  </to>
                </anchor>
              </controlPr>
            </control>
          </mc:Choice>
        </mc:AlternateContent>
        <mc:AlternateContent xmlns:mc="http://schemas.openxmlformats.org/markup-compatibility/2006">
          <mc:Choice Requires="x14">
            <control shapeId="86173" r:id="rId160" name="Group Box 157">
              <controlPr defaultSize="0" print="0" autoFill="0" autoPict="0">
                <anchor moveWithCells="1">
                  <from>
                    <xdr:col>3</xdr:col>
                    <xdr:colOff>0</xdr:colOff>
                    <xdr:row>20</xdr:row>
                    <xdr:rowOff>0</xdr:rowOff>
                  </from>
                  <to>
                    <xdr:col>6</xdr:col>
                    <xdr:colOff>600075</xdr:colOff>
                    <xdr:row>21</xdr:row>
                    <xdr:rowOff>0</xdr:rowOff>
                  </to>
                </anchor>
              </controlPr>
            </control>
          </mc:Choice>
        </mc:AlternateContent>
        <mc:AlternateContent xmlns:mc="http://schemas.openxmlformats.org/markup-compatibility/2006">
          <mc:Choice Requires="x14">
            <control shapeId="86174" r:id="rId161" name="Group Box 158">
              <controlPr defaultSize="0" print="0" autoFill="0" autoPict="0">
                <anchor moveWithCells="1">
                  <from>
                    <xdr:col>3</xdr:col>
                    <xdr:colOff>0</xdr:colOff>
                    <xdr:row>21</xdr:row>
                    <xdr:rowOff>0</xdr:rowOff>
                  </from>
                  <to>
                    <xdr:col>6</xdr:col>
                    <xdr:colOff>600075</xdr:colOff>
                    <xdr:row>22</xdr:row>
                    <xdr:rowOff>0</xdr:rowOff>
                  </to>
                </anchor>
              </controlPr>
            </control>
          </mc:Choice>
        </mc:AlternateContent>
        <mc:AlternateContent xmlns:mc="http://schemas.openxmlformats.org/markup-compatibility/2006">
          <mc:Choice Requires="x14">
            <control shapeId="86175" r:id="rId162" name="Group Box 159">
              <controlPr defaultSize="0" print="0" autoFill="0" autoPict="0">
                <anchor moveWithCells="1">
                  <from>
                    <xdr:col>3</xdr:col>
                    <xdr:colOff>0</xdr:colOff>
                    <xdr:row>22</xdr:row>
                    <xdr:rowOff>0</xdr:rowOff>
                  </from>
                  <to>
                    <xdr:col>6</xdr:col>
                    <xdr:colOff>600075</xdr:colOff>
                    <xdr:row>23</xdr:row>
                    <xdr:rowOff>0</xdr:rowOff>
                  </to>
                </anchor>
              </controlPr>
            </control>
          </mc:Choice>
        </mc:AlternateContent>
        <mc:AlternateContent xmlns:mc="http://schemas.openxmlformats.org/markup-compatibility/2006">
          <mc:Choice Requires="x14">
            <control shapeId="86176" r:id="rId163" name="Group Box 160">
              <controlPr defaultSize="0" print="0" autoFill="0" autoPict="0">
                <anchor moveWithCells="1">
                  <from>
                    <xdr:col>3</xdr:col>
                    <xdr:colOff>0</xdr:colOff>
                    <xdr:row>23</xdr:row>
                    <xdr:rowOff>0</xdr:rowOff>
                  </from>
                  <to>
                    <xdr:col>6</xdr:col>
                    <xdr:colOff>600075</xdr:colOff>
                    <xdr:row>24</xdr:row>
                    <xdr:rowOff>0</xdr:rowOff>
                  </to>
                </anchor>
              </controlPr>
            </control>
          </mc:Choice>
        </mc:AlternateContent>
        <mc:AlternateContent xmlns:mc="http://schemas.openxmlformats.org/markup-compatibility/2006">
          <mc:Choice Requires="x14">
            <control shapeId="86177" r:id="rId164" name="Group Box 161">
              <controlPr defaultSize="0" print="0" autoFill="0" autoPict="0">
                <anchor moveWithCells="1">
                  <from>
                    <xdr:col>3</xdr:col>
                    <xdr:colOff>0</xdr:colOff>
                    <xdr:row>24</xdr:row>
                    <xdr:rowOff>0</xdr:rowOff>
                  </from>
                  <to>
                    <xdr:col>6</xdr:col>
                    <xdr:colOff>600075</xdr:colOff>
                    <xdr:row>25</xdr:row>
                    <xdr:rowOff>0</xdr:rowOff>
                  </to>
                </anchor>
              </controlPr>
            </control>
          </mc:Choice>
        </mc:AlternateContent>
        <mc:AlternateContent xmlns:mc="http://schemas.openxmlformats.org/markup-compatibility/2006">
          <mc:Choice Requires="x14">
            <control shapeId="86178" r:id="rId165" name="Group Box 162">
              <controlPr defaultSize="0" print="0" autoFill="0" autoPict="0">
                <anchor moveWithCells="1">
                  <from>
                    <xdr:col>3</xdr:col>
                    <xdr:colOff>0</xdr:colOff>
                    <xdr:row>25</xdr:row>
                    <xdr:rowOff>0</xdr:rowOff>
                  </from>
                  <to>
                    <xdr:col>6</xdr:col>
                    <xdr:colOff>600075</xdr:colOff>
                    <xdr:row>26</xdr:row>
                    <xdr:rowOff>0</xdr:rowOff>
                  </to>
                </anchor>
              </controlPr>
            </control>
          </mc:Choice>
        </mc:AlternateContent>
        <mc:AlternateContent xmlns:mc="http://schemas.openxmlformats.org/markup-compatibility/2006">
          <mc:Choice Requires="x14">
            <control shapeId="86179" r:id="rId166" name="Group Box 163">
              <controlPr defaultSize="0" print="0" autoFill="0" autoPict="0">
                <anchor moveWithCells="1">
                  <from>
                    <xdr:col>3</xdr:col>
                    <xdr:colOff>0</xdr:colOff>
                    <xdr:row>26</xdr:row>
                    <xdr:rowOff>0</xdr:rowOff>
                  </from>
                  <to>
                    <xdr:col>6</xdr:col>
                    <xdr:colOff>600075</xdr:colOff>
                    <xdr:row>27</xdr:row>
                    <xdr:rowOff>0</xdr:rowOff>
                  </to>
                </anchor>
              </controlPr>
            </control>
          </mc:Choice>
        </mc:AlternateContent>
        <mc:AlternateContent xmlns:mc="http://schemas.openxmlformats.org/markup-compatibility/2006">
          <mc:Choice Requires="x14">
            <control shapeId="86180" r:id="rId167" name="Group Box 164">
              <controlPr defaultSize="0" print="0" autoFill="0" autoPict="0">
                <anchor moveWithCells="1">
                  <from>
                    <xdr:col>3</xdr:col>
                    <xdr:colOff>0</xdr:colOff>
                    <xdr:row>27</xdr:row>
                    <xdr:rowOff>0</xdr:rowOff>
                  </from>
                  <to>
                    <xdr:col>6</xdr:col>
                    <xdr:colOff>600075</xdr:colOff>
                    <xdr:row>28</xdr:row>
                    <xdr:rowOff>0</xdr:rowOff>
                  </to>
                </anchor>
              </controlPr>
            </control>
          </mc:Choice>
        </mc:AlternateContent>
        <mc:AlternateContent xmlns:mc="http://schemas.openxmlformats.org/markup-compatibility/2006">
          <mc:Choice Requires="x14">
            <control shapeId="86181" r:id="rId168" name="Group Box 165">
              <controlPr defaultSize="0" print="0" autoFill="0" autoPict="0">
                <anchor moveWithCells="1">
                  <from>
                    <xdr:col>3</xdr:col>
                    <xdr:colOff>0</xdr:colOff>
                    <xdr:row>28</xdr:row>
                    <xdr:rowOff>0</xdr:rowOff>
                  </from>
                  <to>
                    <xdr:col>6</xdr:col>
                    <xdr:colOff>600075</xdr:colOff>
                    <xdr:row>29</xdr:row>
                    <xdr:rowOff>0</xdr:rowOff>
                  </to>
                </anchor>
              </controlPr>
            </control>
          </mc:Choice>
        </mc:AlternateContent>
        <mc:AlternateContent xmlns:mc="http://schemas.openxmlformats.org/markup-compatibility/2006">
          <mc:Choice Requires="x14">
            <control shapeId="86182" r:id="rId169" name="Group Box 166">
              <controlPr defaultSize="0" print="0" autoFill="0" autoPict="0">
                <anchor moveWithCells="1">
                  <from>
                    <xdr:col>3</xdr:col>
                    <xdr:colOff>0</xdr:colOff>
                    <xdr:row>29</xdr:row>
                    <xdr:rowOff>0</xdr:rowOff>
                  </from>
                  <to>
                    <xdr:col>6</xdr:col>
                    <xdr:colOff>600075</xdr:colOff>
                    <xdr:row>30</xdr:row>
                    <xdr:rowOff>0</xdr:rowOff>
                  </to>
                </anchor>
              </controlPr>
            </control>
          </mc:Choice>
        </mc:AlternateContent>
        <mc:AlternateContent xmlns:mc="http://schemas.openxmlformats.org/markup-compatibility/2006">
          <mc:Choice Requires="x14">
            <control shapeId="86183" r:id="rId170" name="Group Box 167">
              <controlPr defaultSize="0" print="0" autoFill="0" autoPict="0">
                <anchor moveWithCells="1">
                  <from>
                    <xdr:col>3</xdr:col>
                    <xdr:colOff>0</xdr:colOff>
                    <xdr:row>30</xdr:row>
                    <xdr:rowOff>0</xdr:rowOff>
                  </from>
                  <to>
                    <xdr:col>6</xdr:col>
                    <xdr:colOff>600075</xdr:colOff>
                    <xdr:row>31</xdr:row>
                    <xdr:rowOff>0</xdr:rowOff>
                  </to>
                </anchor>
              </controlPr>
            </control>
          </mc:Choice>
        </mc:AlternateContent>
        <mc:AlternateContent xmlns:mc="http://schemas.openxmlformats.org/markup-compatibility/2006">
          <mc:Choice Requires="x14">
            <control shapeId="86184" r:id="rId171" name="Group Box 168">
              <controlPr defaultSize="0" print="0" autoFill="0" autoPict="0">
                <anchor moveWithCells="1">
                  <from>
                    <xdr:col>3</xdr:col>
                    <xdr:colOff>0</xdr:colOff>
                    <xdr:row>31</xdr:row>
                    <xdr:rowOff>0</xdr:rowOff>
                  </from>
                  <to>
                    <xdr:col>6</xdr:col>
                    <xdr:colOff>600075</xdr:colOff>
                    <xdr:row>32</xdr:row>
                    <xdr:rowOff>0</xdr:rowOff>
                  </to>
                </anchor>
              </controlPr>
            </control>
          </mc:Choice>
        </mc:AlternateContent>
        <mc:AlternateContent xmlns:mc="http://schemas.openxmlformats.org/markup-compatibility/2006">
          <mc:Choice Requires="x14">
            <control shapeId="86185" r:id="rId172" name="Group Box 169">
              <controlPr defaultSize="0" print="0" autoFill="0" autoPict="0">
                <anchor moveWithCells="1">
                  <from>
                    <xdr:col>3</xdr:col>
                    <xdr:colOff>0</xdr:colOff>
                    <xdr:row>32</xdr:row>
                    <xdr:rowOff>0</xdr:rowOff>
                  </from>
                  <to>
                    <xdr:col>6</xdr:col>
                    <xdr:colOff>600075</xdr:colOff>
                    <xdr:row>33</xdr:row>
                    <xdr:rowOff>0</xdr:rowOff>
                  </to>
                </anchor>
              </controlPr>
            </control>
          </mc:Choice>
        </mc:AlternateContent>
        <mc:AlternateContent xmlns:mc="http://schemas.openxmlformats.org/markup-compatibility/2006">
          <mc:Choice Requires="x14">
            <control shapeId="86186" r:id="rId173" name="Group Box 170">
              <controlPr defaultSize="0" print="0" autoFill="0" autoPict="0">
                <anchor moveWithCells="1">
                  <from>
                    <xdr:col>3</xdr:col>
                    <xdr:colOff>0</xdr:colOff>
                    <xdr:row>33</xdr:row>
                    <xdr:rowOff>0</xdr:rowOff>
                  </from>
                  <to>
                    <xdr:col>6</xdr:col>
                    <xdr:colOff>600075</xdr:colOff>
                    <xdr:row>34</xdr:row>
                    <xdr:rowOff>0</xdr:rowOff>
                  </to>
                </anchor>
              </controlPr>
            </control>
          </mc:Choice>
        </mc:AlternateContent>
        <mc:AlternateContent xmlns:mc="http://schemas.openxmlformats.org/markup-compatibility/2006">
          <mc:Choice Requires="x14">
            <control shapeId="86187" r:id="rId174" name="Group Box 171">
              <controlPr defaultSize="0" print="0" autoFill="0" autoPict="0">
                <anchor moveWithCells="1">
                  <from>
                    <xdr:col>3</xdr:col>
                    <xdr:colOff>0</xdr:colOff>
                    <xdr:row>34</xdr:row>
                    <xdr:rowOff>0</xdr:rowOff>
                  </from>
                  <to>
                    <xdr:col>6</xdr:col>
                    <xdr:colOff>600075</xdr:colOff>
                    <xdr:row>35</xdr:row>
                    <xdr:rowOff>0</xdr:rowOff>
                  </to>
                </anchor>
              </controlPr>
            </control>
          </mc:Choice>
        </mc:AlternateContent>
        <mc:AlternateContent xmlns:mc="http://schemas.openxmlformats.org/markup-compatibility/2006">
          <mc:Choice Requires="x14">
            <control shapeId="86188" r:id="rId175" name="Group Box 172">
              <controlPr defaultSize="0" print="0" autoFill="0" autoPict="0">
                <anchor moveWithCells="1">
                  <from>
                    <xdr:col>3</xdr:col>
                    <xdr:colOff>0</xdr:colOff>
                    <xdr:row>35</xdr:row>
                    <xdr:rowOff>0</xdr:rowOff>
                  </from>
                  <to>
                    <xdr:col>6</xdr:col>
                    <xdr:colOff>600075</xdr:colOff>
                    <xdr:row>36</xdr:row>
                    <xdr:rowOff>0</xdr:rowOff>
                  </to>
                </anchor>
              </controlPr>
            </control>
          </mc:Choice>
        </mc:AlternateContent>
        <mc:AlternateContent xmlns:mc="http://schemas.openxmlformats.org/markup-compatibility/2006">
          <mc:Choice Requires="x14">
            <control shapeId="86189" r:id="rId176" name="Group Box 173">
              <controlPr defaultSize="0" print="0" autoFill="0" autoPict="0">
                <anchor moveWithCells="1">
                  <from>
                    <xdr:col>3</xdr:col>
                    <xdr:colOff>0</xdr:colOff>
                    <xdr:row>36</xdr:row>
                    <xdr:rowOff>0</xdr:rowOff>
                  </from>
                  <to>
                    <xdr:col>6</xdr:col>
                    <xdr:colOff>600075</xdr:colOff>
                    <xdr:row>37</xdr:row>
                    <xdr:rowOff>0</xdr:rowOff>
                  </to>
                </anchor>
              </controlPr>
            </control>
          </mc:Choice>
        </mc:AlternateContent>
        <mc:AlternateContent xmlns:mc="http://schemas.openxmlformats.org/markup-compatibility/2006">
          <mc:Choice Requires="x14">
            <control shapeId="86190" r:id="rId177" name="Group Box 174">
              <controlPr defaultSize="0" print="0" autoFill="0" autoPict="0">
                <anchor moveWithCells="1">
                  <from>
                    <xdr:col>3</xdr:col>
                    <xdr:colOff>0</xdr:colOff>
                    <xdr:row>37</xdr:row>
                    <xdr:rowOff>0</xdr:rowOff>
                  </from>
                  <to>
                    <xdr:col>6</xdr:col>
                    <xdr:colOff>600075</xdr:colOff>
                    <xdr:row>38</xdr:row>
                    <xdr:rowOff>0</xdr:rowOff>
                  </to>
                </anchor>
              </controlPr>
            </control>
          </mc:Choice>
        </mc:AlternateContent>
        <mc:AlternateContent xmlns:mc="http://schemas.openxmlformats.org/markup-compatibility/2006">
          <mc:Choice Requires="x14">
            <control shapeId="86191" r:id="rId178" name="Group Box 175">
              <controlPr defaultSize="0" print="0" autoFill="0" autoPict="0">
                <anchor moveWithCells="1">
                  <from>
                    <xdr:col>3</xdr:col>
                    <xdr:colOff>0</xdr:colOff>
                    <xdr:row>38</xdr:row>
                    <xdr:rowOff>0</xdr:rowOff>
                  </from>
                  <to>
                    <xdr:col>6</xdr:col>
                    <xdr:colOff>600075</xdr:colOff>
                    <xdr:row>39</xdr:row>
                    <xdr:rowOff>0</xdr:rowOff>
                  </to>
                </anchor>
              </controlPr>
            </control>
          </mc:Choice>
        </mc:AlternateContent>
        <mc:AlternateContent xmlns:mc="http://schemas.openxmlformats.org/markup-compatibility/2006">
          <mc:Choice Requires="x14">
            <control shapeId="86192" r:id="rId179" name="Group Box 176">
              <controlPr defaultSize="0" print="0" autoFill="0" autoPict="0">
                <anchor moveWithCells="1">
                  <from>
                    <xdr:col>3</xdr:col>
                    <xdr:colOff>0</xdr:colOff>
                    <xdr:row>39</xdr:row>
                    <xdr:rowOff>0</xdr:rowOff>
                  </from>
                  <to>
                    <xdr:col>6</xdr:col>
                    <xdr:colOff>600075</xdr:colOff>
                    <xdr:row>40</xdr:row>
                    <xdr:rowOff>0</xdr:rowOff>
                  </to>
                </anchor>
              </controlPr>
            </control>
          </mc:Choice>
        </mc:AlternateContent>
        <mc:AlternateContent xmlns:mc="http://schemas.openxmlformats.org/markup-compatibility/2006">
          <mc:Choice Requires="x14">
            <control shapeId="86193" r:id="rId180" name="Group Box 177">
              <controlPr defaultSize="0" print="0" autoFill="0" autoPict="0">
                <anchor moveWithCells="1">
                  <from>
                    <xdr:col>3</xdr:col>
                    <xdr:colOff>0</xdr:colOff>
                    <xdr:row>40</xdr:row>
                    <xdr:rowOff>0</xdr:rowOff>
                  </from>
                  <to>
                    <xdr:col>6</xdr:col>
                    <xdr:colOff>600075</xdr:colOff>
                    <xdr:row>41</xdr:row>
                    <xdr:rowOff>0</xdr:rowOff>
                  </to>
                </anchor>
              </controlPr>
            </control>
          </mc:Choice>
        </mc:AlternateContent>
        <mc:AlternateContent xmlns:mc="http://schemas.openxmlformats.org/markup-compatibility/2006">
          <mc:Choice Requires="x14">
            <control shapeId="86194" r:id="rId181" name="Group Box 178">
              <controlPr defaultSize="0" print="0" autoFill="0" autoPict="0">
                <anchor moveWithCells="1">
                  <from>
                    <xdr:col>3</xdr:col>
                    <xdr:colOff>0</xdr:colOff>
                    <xdr:row>41</xdr:row>
                    <xdr:rowOff>0</xdr:rowOff>
                  </from>
                  <to>
                    <xdr:col>6</xdr:col>
                    <xdr:colOff>600075</xdr:colOff>
                    <xdr:row>42</xdr:row>
                    <xdr:rowOff>0</xdr:rowOff>
                  </to>
                </anchor>
              </controlPr>
            </control>
          </mc:Choice>
        </mc:AlternateContent>
        <mc:AlternateContent xmlns:mc="http://schemas.openxmlformats.org/markup-compatibility/2006">
          <mc:Choice Requires="x14">
            <control shapeId="86195" r:id="rId182" name="Group Box 179">
              <controlPr defaultSize="0" print="0" autoFill="0" autoPict="0">
                <anchor moveWithCells="1">
                  <from>
                    <xdr:col>3</xdr:col>
                    <xdr:colOff>0</xdr:colOff>
                    <xdr:row>42</xdr:row>
                    <xdr:rowOff>0</xdr:rowOff>
                  </from>
                  <to>
                    <xdr:col>6</xdr:col>
                    <xdr:colOff>600075</xdr:colOff>
                    <xdr:row>43</xdr:row>
                    <xdr:rowOff>0</xdr:rowOff>
                  </to>
                </anchor>
              </controlPr>
            </control>
          </mc:Choice>
        </mc:AlternateContent>
        <mc:AlternateContent xmlns:mc="http://schemas.openxmlformats.org/markup-compatibility/2006">
          <mc:Choice Requires="x14">
            <control shapeId="86196" r:id="rId183" name="Group Box 180">
              <controlPr defaultSize="0" print="0" autoFill="0" autoPict="0">
                <anchor moveWithCells="1">
                  <from>
                    <xdr:col>3</xdr:col>
                    <xdr:colOff>0</xdr:colOff>
                    <xdr:row>43</xdr:row>
                    <xdr:rowOff>0</xdr:rowOff>
                  </from>
                  <to>
                    <xdr:col>6</xdr:col>
                    <xdr:colOff>600075</xdr:colOff>
                    <xdr:row>44</xdr:row>
                    <xdr:rowOff>0</xdr:rowOff>
                  </to>
                </anchor>
              </controlPr>
            </control>
          </mc:Choice>
        </mc:AlternateContent>
        <mc:AlternateContent xmlns:mc="http://schemas.openxmlformats.org/markup-compatibility/2006">
          <mc:Choice Requires="x14">
            <control shapeId="86197" r:id="rId184" name="Group Box 181">
              <controlPr defaultSize="0" print="0" autoFill="0" autoPict="0">
                <anchor moveWithCells="1">
                  <from>
                    <xdr:col>3</xdr:col>
                    <xdr:colOff>0</xdr:colOff>
                    <xdr:row>44</xdr:row>
                    <xdr:rowOff>0</xdr:rowOff>
                  </from>
                  <to>
                    <xdr:col>6</xdr:col>
                    <xdr:colOff>600075</xdr:colOff>
                    <xdr:row>45</xdr:row>
                    <xdr:rowOff>0</xdr:rowOff>
                  </to>
                </anchor>
              </controlPr>
            </control>
          </mc:Choice>
        </mc:AlternateContent>
        <mc:AlternateContent xmlns:mc="http://schemas.openxmlformats.org/markup-compatibility/2006">
          <mc:Choice Requires="x14">
            <control shapeId="86198" r:id="rId185" name="Group Box 182">
              <controlPr defaultSize="0" print="0" autoFill="0" autoPict="0">
                <anchor moveWithCells="1">
                  <from>
                    <xdr:col>3</xdr:col>
                    <xdr:colOff>0</xdr:colOff>
                    <xdr:row>45</xdr:row>
                    <xdr:rowOff>0</xdr:rowOff>
                  </from>
                  <to>
                    <xdr:col>6</xdr:col>
                    <xdr:colOff>600075</xdr:colOff>
                    <xdr:row>46</xdr:row>
                    <xdr:rowOff>0</xdr:rowOff>
                  </to>
                </anchor>
              </controlPr>
            </control>
          </mc:Choice>
        </mc:AlternateContent>
        <mc:AlternateContent xmlns:mc="http://schemas.openxmlformats.org/markup-compatibility/2006">
          <mc:Choice Requires="x14">
            <control shapeId="86199" r:id="rId186" name="Group Box 183">
              <controlPr defaultSize="0" print="0" autoFill="0" autoPict="0">
                <anchor moveWithCells="1">
                  <from>
                    <xdr:col>3</xdr:col>
                    <xdr:colOff>0</xdr:colOff>
                    <xdr:row>46</xdr:row>
                    <xdr:rowOff>0</xdr:rowOff>
                  </from>
                  <to>
                    <xdr:col>6</xdr:col>
                    <xdr:colOff>600075</xdr:colOff>
                    <xdr:row>47</xdr:row>
                    <xdr:rowOff>0</xdr:rowOff>
                  </to>
                </anchor>
              </controlPr>
            </control>
          </mc:Choice>
        </mc:AlternateContent>
        <mc:AlternateContent xmlns:mc="http://schemas.openxmlformats.org/markup-compatibility/2006">
          <mc:Choice Requires="x14">
            <control shapeId="86200" r:id="rId187" name="Group Box 184">
              <controlPr defaultSize="0" print="0" autoFill="0" autoPict="0">
                <anchor moveWithCells="1">
                  <from>
                    <xdr:col>3</xdr:col>
                    <xdr:colOff>0</xdr:colOff>
                    <xdr:row>47</xdr:row>
                    <xdr:rowOff>0</xdr:rowOff>
                  </from>
                  <to>
                    <xdr:col>6</xdr:col>
                    <xdr:colOff>600075</xdr:colOff>
                    <xdr:row>48</xdr:row>
                    <xdr:rowOff>0</xdr:rowOff>
                  </to>
                </anchor>
              </controlPr>
            </control>
          </mc:Choice>
        </mc:AlternateContent>
        <mc:AlternateContent xmlns:mc="http://schemas.openxmlformats.org/markup-compatibility/2006">
          <mc:Choice Requires="x14">
            <control shapeId="86201" r:id="rId188" name="Group Box 185">
              <controlPr defaultSize="0" print="0" autoFill="0" autoPict="0">
                <anchor moveWithCells="1">
                  <from>
                    <xdr:col>3</xdr:col>
                    <xdr:colOff>0</xdr:colOff>
                    <xdr:row>48</xdr:row>
                    <xdr:rowOff>0</xdr:rowOff>
                  </from>
                  <to>
                    <xdr:col>6</xdr:col>
                    <xdr:colOff>600075</xdr:colOff>
                    <xdr:row>49</xdr:row>
                    <xdr:rowOff>0</xdr:rowOff>
                  </to>
                </anchor>
              </controlPr>
            </control>
          </mc:Choice>
        </mc:AlternateContent>
        <mc:AlternateContent xmlns:mc="http://schemas.openxmlformats.org/markup-compatibility/2006">
          <mc:Choice Requires="x14">
            <control shapeId="86202" r:id="rId189" name="Group Box 186">
              <controlPr defaultSize="0" print="0" autoFill="0" autoPict="0">
                <anchor moveWithCells="1">
                  <from>
                    <xdr:col>3</xdr:col>
                    <xdr:colOff>0</xdr:colOff>
                    <xdr:row>49</xdr:row>
                    <xdr:rowOff>0</xdr:rowOff>
                  </from>
                  <to>
                    <xdr:col>6</xdr:col>
                    <xdr:colOff>600075</xdr:colOff>
                    <xdr:row>50</xdr:row>
                    <xdr:rowOff>0</xdr:rowOff>
                  </to>
                </anchor>
              </controlPr>
            </control>
          </mc:Choice>
        </mc:AlternateContent>
        <mc:AlternateContent xmlns:mc="http://schemas.openxmlformats.org/markup-compatibility/2006">
          <mc:Choice Requires="x14">
            <control shapeId="86203" r:id="rId190" name="Group Box 187">
              <controlPr defaultSize="0" print="0" autoFill="0" autoPict="0">
                <anchor moveWithCells="1">
                  <from>
                    <xdr:col>3</xdr:col>
                    <xdr:colOff>0</xdr:colOff>
                    <xdr:row>50</xdr:row>
                    <xdr:rowOff>0</xdr:rowOff>
                  </from>
                  <to>
                    <xdr:col>6</xdr:col>
                    <xdr:colOff>600075</xdr:colOff>
                    <xdr:row>51</xdr:row>
                    <xdr:rowOff>0</xdr:rowOff>
                  </to>
                </anchor>
              </controlPr>
            </control>
          </mc:Choice>
        </mc:AlternateContent>
        <mc:AlternateContent xmlns:mc="http://schemas.openxmlformats.org/markup-compatibility/2006">
          <mc:Choice Requires="x14">
            <control shapeId="86204" r:id="rId191" name="Group Box 188">
              <controlPr defaultSize="0" print="0" autoFill="0" autoPict="0">
                <anchor moveWithCells="1">
                  <from>
                    <xdr:col>3</xdr:col>
                    <xdr:colOff>0</xdr:colOff>
                    <xdr:row>51</xdr:row>
                    <xdr:rowOff>0</xdr:rowOff>
                  </from>
                  <to>
                    <xdr:col>6</xdr:col>
                    <xdr:colOff>600075</xdr:colOff>
                    <xdr:row>52</xdr:row>
                    <xdr:rowOff>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pageSetUpPr fitToPage="1"/>
  </sheetPr>
  <dimension ref="B2:AU46"/>
  <sheetViews>
    <sheetView showGridLines="0" showRowColHeaders="0" tabSelected="1" zoomScale="75" zoomScaleNormal="75" workbookViewId="0"/>
  </sheetViews>
  <sheetFormatPr defaultColWidth="9.140625" defaultRowHeight="12.75" x14ac:dyDescent="0.2"/>
  <cols>
    <col min="1" max="3" width="4.85546875" style="175" customWidth="1"/>
    <col min="4" max="4" width="4.85546875" style="503" customWidth="1"/>
    <col min="5" max="5" width="57" style="175" bestFit="1" customWidth="1"/>
    <col min="6" max="41" width="4.85546875" style="175" customWidth="1"/>
    <col min="42" max="16384" width="9.140625" style="175"/>
  </cols>
  <sheetData>
    <row r="2" spans="2:47" ht="15" customHeight="1" x14ac:dyDescent="0.2">
      <c r="B2" s="1304" t="s">
        <v>394</v>
      </c>
      <c r="C2" s="1304"/>
      <c r="D2" s="1304"/>
      <c r="E2" s="1304"/>
      <c r="F2" s="539">
        <v>1</v>
      </c>
      <c r="G2" s="539">
        <v>2</v>
      </c>
      <c r="H2" s="539">
        <v>3</v>
      </c>
      <c r="I2" s="539">
        <v>4</v>
      </c>
      <c r="J2" s="539">
        <v>5</v>
      </c>
      <c r="K2" s="539">
        <v>6</v>
      </c>
      <c r="L2" s="539">
        <v>7</v>
      </c>
      <c r="M2" s="539">
        <v>8</v>
      </c>
      <c r="N2" s="539">
        <v>9</v>
      </c>
      <c r="O2" s="539">
        <v>10</v>
      </c>
      <c r="P2" s="539">
        <v>11</v>
      </c>
      <c r="Q2" s="539">
        <v>12</v>
      </c>
      <c r="R2" s="539">
        <v>13</v>
      </c>
      <c r="S2" s="539">
        <v>14</v>
      </c>
      <c r="T2" s="539">
        <v>15</v>
      </c>
      <c r="U2" s="539">
        <v>16</v>
      </c>
      <c r="V2" s="539">
        <v>17</v>
      </c>
      <c r="W2" s="539">
        <v>18</v>
      </c>
      <c r="X2" s="539">
        <v>19</v>
      </c>
      <c r="Y2" s="539">
        <v>20</v>
      </c>
      <c r="Z2" s="539">
        <v>21</v>
      </c>
      <c r="AA2" s="539">
        <v>22</v>
      </c>
      <c r="AB2" s="539">
        <v>23</v>
      </c>
      <c r="AC2" s="539">
        <v>24</v>
      </c>
      <c r="AD2" s="539">
        <v>25</v>
      </c>
      <c r="AE2" s="539">
        <v>26</v>
      </c>
      <c r="AF2" s="539">
        <v>27</v>
      </c>
      <c r="AG2" s="539">
        <v>28</v>
      </c>
      <c r="AH2" s="539">
        <v>29</v>
      </c>
      <c r="AI2" s="539">
        <v>30</v>
      </c>
      <c r="AJ2" s="539">
        <v>31</v>
      </c>
      <c r="AK2" s="539">
        <v>32</v>
      </c>
      <c r="AL2" s="539">
        <v>33</v>
      </c>
      <c r="AM2" s="539">
        <v>34</v>
      </c>
      <c r="AN2" s="539">
        <v>35</v>
      </c>
      <c r="AO2" s="539">
        <v>36</v>
      </c>
      <c r="AP2" s="504"/>
      <c r="AQ2" s="504"/>
      <c r="AR2" s="504"/>
      <c r="AS2" s="504"/>
      <c r="AT2" s="504"/>
      <c r="AU2" s="504"/>
    </row>
    <row r="3" spans="2:47" ht="132" customHeight="1" x14ac:dyDescent="0.2">
      <c r="B3" s="1345"/>
      <c r="C3" s="657"/>
      <c r="D3" s="1346"/>
      <c r="E3" s="1347"/>
      <c r="F3" s="544" t="str">
        <f>BEGINBLAD!$C$4</f>
        <v>leelring 1</v>
      </c>
      <c r="G3" s="543" t="str">
        <f>BEGINBLAD!$C$5</f>
        <v>leerling 2</v>
      </c>
      <c r="H3" s="543" t="str">
        <f>BEGINBLAD!$C$6</f>
        <v>leerling 3</v>
      </c>
      <c r="I3" s="543" t="str">
        <f>BEGINBLAD!$C$7</f>
        <v>leerling 4</v>
      </c>
      <c r="J3" s="543" t="str">
        <f>BEGINBLAD!$C$8</f>
        <v>leerling 5</v>
      </c>
      <c r="K3" s="543" t="str">
        <f>BEGINBLAD!$C$9</f>
        <v>leerling 6</v>
      </c>
      <c r="L3" s="543" t="str">
        <f>BEGINBLAD!$C$10</f>
        <v>leerling 7</v>
      </c>
      <c r="M3" s="543" t="str">
        <f>BEGINBLAD!$C$11</f>
        <v>leerling 8</v>
      </c>
      <c r="N3" s="543" t="str">
        <f>BEGINBLAD!$C$12</f>
        <v>leerling 9</v>
      </c>
      <c r="O3" s="543" t="str">
        <f>BEGINBLAD!$C$13</f>
        <v>leerling 10</v>
      </c>
      <c r="P3" s="543" t="str">
        <f>BEGINBLAD!$C$14</f>
        <v>leerling 11</v>
      </c>
      <c r="Q3" s="543" t="str">
        <f>BEGINBLAD!$C$15</f>
        <v>leerling 12</v>
      </c>
      <c r="R3" s="543" t="str">
        <f>BEGINBLAD!$C$16</f>
        <v>leerling 13</v>
      </c>
      <c r="S3" s="543" t="str">
        <f>BEGINBLAD!$C$17</f>
        <v>leerling 14</v>
      </c>
      <c r="T3" s="543" t="str">
        <f>BEGINBLAD!$C$18</f>
        <v>leerling 15</v>
      </c>
      <c r="U3" s="543" t="str">
        <f>BEGINBLAD!$C$19</f>
        <v>leerling 16</v>
      </c>
      <c r="V3" s="543" t="str">
        <f>BEGINBLAD!$C$20</f>
        <v>leerling 17</v>
      </c>
      <c r="W3" s="543" t="str">
        <f>BEGINBLAD!$C$21</f>
        <v>leerling 18</v>
      </c>
      <c r="X3" s="543" t="str">
        <f>BEGINBLAD!$C$22</f>
        <v>leerling 19</v>
      </c>
      <c r="Y3" s="543" t="str">
        <f>BEGINBLAD!$C$23</f>
        <v>leerling 20</v>
      </c>
      <c r="Z3" s="543" t="str">
        <f>BEGINBLAD!$C$24</f>
        <v>leerling 21</v>
      </c>
      <c r="AA3" s="543" t="str">
        <f>BEGINBLAD!$C$25</f>
        <v>leerling 22</v>
      </c>
      <c r="AB3" s="543" t="str">
        <f>BEGINBLAD!$C$26</f>
        <v>leerling 23</v>
      </c>
      <c r="AC3" s="543" t="str">
        <f>BEGINBLAD!$C$27</f>
        <v>leerling 24</v>
      </c>
      <c r="AD3" s="543" t="str">
        <f>BEGINBLAD!$C$28</f>
        <v>leerling 25</v>
      </c>
      <c r="AE3" s="543" t="str">
        <f>BEGINBLAD!$C$29</f>
        <v>leerling 26</v>
      </c>
      <c r="AF3" s="543">
        <f>BEGINBLAD!$C$30</f>
        <v>0</v>
      </c>
      <c r="AG3" s="543">
        <f>BEGINBLAD!$C$31</f>
        <v>0</v>
      </c>
      <c r="AH3" s="543">
        <f>BEGINBLAD!$C$32</f>
        <v>0</v>
      </c>
      <c r="AI3" s="543">
        <f>BEGINBLAD!$C$33</f>
        <v>0</v>
      </c>
      <c r="AJ3" s="543">
        <f>BEGINBLAD!$C$34</f>
        <v>0</v>
      </c>
      <c r="AK3" s="543">
        <f>BEGINBLAD!$C$35</f>
        <v>0</v>
      </c>
      <c r="AL3" s="543">
        <f>BEGINBLAD!$C$36</f>
        <v>0</v>
      </c>
      <c r="AM3" s="543">
        <f>BEGINBLAD!$C$37</f>
        <v>0</v>
      </c>
      <c r="AN3" s="543">
        <f>BEGINBLAD!$C$38</f>
        <v>0</v>
      </c>
      <c r="AO3" s="543">
        <f>BEGINBLAD!$C$39</f>
        <v>0</v>
      </c>
    </row>
    <row r="4" spans="2:47" ht="24.95" customHeight="1" x14ac:dyDescent="0.2">
      <c r="B4" s="1305" t="s">
        <v>395</v>
      </c>
      <c r="C4" s="1306"/>
      <c r="D4" s="1306"/>
      <c r="E4" s="1306"/>
      <c r="F4" s="506">
        <v>5</v>
      </c>
      <c r="G4" s="506">
        <v>4</v>
      </c>
      <c r="H4" s="506">
        <v>3</v>
      </c>
      <c r="I4" s="506">
        <v>2</v>
      </c>
      <c r="J4" s="506">
        <v>3</v>
      </c>
      <c r="K4" s="506">
        <v>2</v>
      </c>
      <c r="L4" s="506">
        <v>2</v>
      </c>
      <c r="M4" s="506">
        <v>5</v>
      </c>
      <c r="N4" s="506">
        <v>3</v>
      </c>
      <c r="O4" s="506">
        <v>2</v>
      </c>
      <c r="P4" s="506">
        <v>4</v>
      </c>
      <c r="Q4" s="506">
        <v>2</v>
      </c>
      <c r="R4" s="506">
        <v>4</v>
      </c>
      <c r="S4" s="506">
        <v>3</v>
      </c>
      <c r="T4" s="506">
        <v>3</v>
      </c>
      <c r="U4" s="506">
        <v>3</v>
      </c>
      <c r="V4" s="506">
        <v>3</v>
      </c>
      <c r="W4" s="506">
        <v>3</v>
      </c>
      <c r="X4" s="506">
        <v>1</v>
      </c>
      <c r="Y4" s="506">
        <v>4</v>
      </c>
      <c r="Z4" s="506">
        <v>3</v>
      </c>
      <c r="AA4" s="506">
        <v>3</v>
      </c>
      <c r="AB4" s="506">
        <v>4</v>
      </c>
      <c r="AC4" s="506">
        <v>4</v>
      </c>
      <c r="AD4" s="506">
        <v>2</v>
      </c>
      <c r="AE4" s="506">
        <v>3</v>
      </c>
      <c r="AF4" s="506"/>
      <c r="AG4" s="506"/>
      <c r="AH4" s="506"/>
      <c r="AI4" s="506"/>
      <c r="AJ4" s="506"/>
      <c r="AK4" s="506"/>
      <c r="AL4" s="506"/>
      <c r="AM4" s="506"/>
      <c r="AN4" s="506"/>
      <c r="AO4" s="506"/>
    </row>
    <row r="5" spans="2:47" s="507" customFormat="1" ht="60" customHeight="1" x14ac:dyDescent="0.2">
      <c r="B5" s="1307"/>
      <c r="C5" s="1307"/>
      <c r="D5" s="1307"/>
      <c r="E5" s="1307"/>
      <c r="F5" s="538" t="str">
        <f>IF(F4=0,"",IF(F4=1,"zwak",IF(F4=2,"beneden gemiddeld",IF(F4=3,"gemiddeld",IF(F4=4,"boven gemiddeld",IF(F4=5,"goed"))))))</f>
        <v>goed</v>
      </c>
      <c r="G5" s="538" t="str">
        <f t="shared" ref="G5:AO5" si="0">IF(G4=0,"",IF(G4=1,"zwak",IF(G4=2,"beneden gemiddeld",IF(G4=3,"gemiddeld",IF(G4=4,"boven gemiddeld",IF(G4=5,"goed"))))))</f>
        <v>boven gemiddeld</v>
      </c>
      <c r="H5" s="538" t="str">
        <f t="shared" si="0"/>
        <v>gemiddeld</v>
      </c>
      <c r="I5" s="538" t="str">
        <f t="shared" si="0"/>
        <v>beneden gemiddeld</v>
      </c>
      <c r="J5" s="538" t="str">
        <f t="shared" si="0"/>
        <v>gemiddeld</v>
      </c>
      <c r="K5" s="538" t="str">
        <f t="shared" si="0"/>
        <v>beneden gemiddeld</v>
      </c>
      <c r="L5" s="538" t="str">
        <f t="shared" si="0"/>
        <v>beneden gemiddeld</v>
      </c>
      <c r="M5" s="538" t="str">
        <f t="shared" si="0"/>
        <v>goed</v>
      </c>
      <c r="N5" s="538" t="str">
        <f t="shared" si="0"/>
        <v>gemiddeld</v>
      </c>
      <c r="O5" s="538" t="str">
        <f t="shared" si="0"/>
        <v>beneden gemiddeld</v>
      </c>
      <c r="P5" s="538" t="str">
        <f t="shared" si="0"/>
        <v>boven gemiddeld</v>
      </c>
      <c r="Q5" s="538" t="str">
        <f t="shared" si="0"/>
        <v>beneden gemiddeld</v>
      </c>
      <c r="R5" s="538" t="str">
        <f t="shared" si="0"/>
        <v>boven gemiddeld</v>
      </c>
      <c r="S5" s="538" t="str">
        <f t="shared" si="0"/>
        <v>gemiddeld</v>
      </c>
      <c r="T5" s="538" t="str">
        <f t="shared" si="0"/>
        <v>gemiddeld</v>
      </c>
      <c r="U5" s="538" t="str">
        <f t="shared" si="0"/>
        <v>gemiddeld</v>
      </c>
      <c r="V5" s="538" t="str">
        <f t="shared" si="0"/>
        <v>gemiddeld</v>
      </c>
      <c r="W5" s="538" t="str">
        <f t="shared" si="0"/>
        <v>gemiddeld</v>
      </c>
      <c r="X5" s="538" t="str">
        <f t="shared" si="0"/>
        <v>zwak</v>
      </c>
      <c r="Y5" s="538" t="str">
        <f t="shared" si="0"/>
        <v>boven gemiddeld</v>
      </c>
      <c r="Z5" s="538" t="str">
        <f t="shared" si="0"/>
        <v>gemiddeld</v>
      </c>
      <c r="AA5" s="538" t="str">
        <f t="shared" si="0"/>
        <v>gemiddeld</v>
      </c>
      <c r="AB5" s="538" t="str">
        <f t="shared" si="0"/>
        <v>boven gemiddeld</v>
      </c>
      <c r="AC5" s="538" t="str">
        <f t="shared" si="0"/>
        <v>boven gemiddeld</v>
      </c>
      <c r="AD5" s="538" t="str">
        <f t="shared" si="0"/>
        <v>beneden gemiddeld</v>
      </c>
      <c r="AE5" s="538" t="str">
        <f t="shared" si="0"/>
        <v>gemiddeld</v>
      </c>
      <c r="AF5" s="538" t="str">
        <f t="shared" si="0"/>
        <v/>
      </c>
      <c r="AG5" s="538" t="str">
        <f t="shared" si="0"/>
        <v/>
      </c>
      <c r="AH5" s="538" t="str">
        <f t="shared" si="0"/>
        <v/>
      </c>
      <c r="AI5" s="538" t="str">
        <f t="shared" si="0"/>
        <v/>
      </c>
      <c r="AJ5" s="538" t="str">
        <f t="shared" si="0"/>
        <v/>
      </c>
      <c r="AK5" s="538" t="str">
        <f t="shared" si="0"/>
        <v/>
      </c>
      <c r="AL5" s="538" t="str">
        <f t="shared" si="0"/>
        <v/>
      </c>
      <c r="AM5" s="538" t="str">
        <f t="shared" si="0"/>
        <v/>
      </c>
      <c r="AN5" s="538" t="str">
        <f t="shared" si="0"/>
        <v/>
      </c>
      <c r="AO5" s="538" t="str">
        <f t="shared" si="0"/>
        <v/>
      </c>
    </row>
    <row r="6" spans="2:47" s="507" customFormat="1" ht="114.95" customHeight="1" x14ac:dyDescent="0.2">
      <c r="B6" s="547"/>
      <c r="C6" s="508"/>
      <c r="D6" s="508"/>
      <c r="E6" s="548"/>
      <c r="F6" s="546" t="str">
        <f>IF(F4="","",IF(F4&gt;3,"vraag 1-12",IF(F4&gt;0,"signalering stopt")))</f>
        <v>vraag 1-12</v>
      </c>
      <c r="G6" s="538" t="str">
        <f t="shared" ref="G6:AO6" si="1">IF(G4="","",IF(G4&gt;3,"vraag 1-12",IF(G4&gt;0,"signalering stopt")))</f>
        <v>vraag 1-12</v>
      </c>
      <c r="H6" s="538" t="str">
        <f t="shared" si="1"/>
        <v>signalering stopt</v>
      </c>
      <c r="I6" s="538" t="str">
        <f t="shared" si="1"/>
        <v>signalering stopt</v>
      </c>
      <c r="J6" s="538" t="str">
        <f t="shared" si="1"/>
        <v>signalering stopt</v>
      </c>
      <c r="K6" s="538" t="str">
        <f t="shared" si="1"/>
        <v>signalering stopt</v>
      </c>
      <c r="L6" s="538" t="str">
        <f t="shared" si="1"/>
        <v>signalering stopt</v>
      </c>
      <c r="M6" s="538" t="str">
        <f t="shared" si="1"/>
        <v>vraag 1-12</v>
      </c>
      <c r="N6" s="538" t="str">
        <f t="shared" si="1"/>
        <v>signalering stopt</v>
      </c>
      <c r="O6" s="538" t="str">
        <f t="shared" si="1"/>
        <v>signalering stopt</v>
      </c>
      <c r="P6" s="538" t="str">
        <f t="shared" si="1"/>
        <v>vraag 1-12</v>
      </c>
      <c r="Q6" s="538" t="str">
        <f t="shared" si="1"/>
        <v>signalering stopt</v>
      </c>
      <c r="R6" s="538" t="str">
        <f t="shared" si="1"/>
        <v>vraag 1-12</v>
      </c>
      <c r="S6" s="538" t="str">
        <f t="shared" si="1"/>
        <v>signalering stopt</v>
      </c>
      <c r="T6" s="538" t="str">
        <f t="shared" si="1"/>
        <v>signalering stopt</v>
      </c>
      <c r="U6" s="538" t="str">
        <f t="shared" si="1"/>
        <v>signalering stopt</v>
      </c>
      <c r="V6" s="538" t="str">
        <f t="shared" si="1"/>
        <v>signalering stopt</v>
      </c>
      <c r="W6" s="538" t="str">
        <f t="shared" si="1"/>
        <v>signalering stopt</v>
      </c>
      <c r="X6" s="538" t="str">
        <f t="shared" si="1"/>
        <v>signalering stopt</v>
      </c>
      <c r="Y6" s="538" t="str">
        <f t="shared" si="1"/>
        <v>vraag 1-12</v>
      </c>
      <c r="Z6" s="538" t="str">
        <f t="shared" si="1"/>
        <v>signalering stopt</v>
      </c>
      <c r="AA6" s="538" t="str">
        <f t="shared" si="1"/>
        <v>signalering stopt</v>
      </c>
      <c r="AB6" s="538" t="str">
        <f t="shared" si="1"/>
        <v>vraag 1-12</v>
      </c>
      <c r="AC6" s="538" t="str">
        <f t="shared" si="1"/>
        <v>vraag 1-12</v>
      </c>
      <c r="AD6" s="538" t="str">
        <f t="shared" si="1"/>
        <v>signalering stopt</v>
      </c>
      <c r="AE6" s="538" t="str">
        <f t="shared" si="1"/>
        <v>signalering stopt</v>
      </c>
      <c r="AF6" s="538" t="str">
        <f t="shared" si="1"/>
        <v/>
      </c>
      <c r="AG6" s="538" t="str">
        <f t="shared" si="1"/>
        <v/>
      </c>
      <c r="AH6" s="538" t="str">
        <f t="shared" si="1"/>
        <v/>
      </c>
      <c r="AI6" s="538" t="str">
        <f t="shared" si="1"/>
        <v/>
      </c>
      <c r="AJ6" s="538" t="str">
        <f t="shared" si="1"/>
        <v/>
      </c>
      <c r="AK6" s="538" t="str">
        <f t="shared" si="1"/>
        <v/>
      </c>
      <c r="AL6" s="538" t="str">
        <f t="shared" si="1"/>
        <v/>
      </c>
      <c r="AM6" s="538" t="str">
        <f t="shared" si="1"/>
        <v/>
      </c>
      <c r="AN6" s="538" t="str">
        <f t="shared" si="1"/>
        <v/>
      </c>
      <c r="AO6" s="538" t="str">
        <f t="shared" si="1"/>
        <v/>
      </c>
    </row>
    <row r="7" spans="2:47" ht="24.95" customHeight="1" x14ac:dyDescent="0.2">
      <c r="B7" s="1302" t="s">
        <v>396</v>
      </c>
      <c r="C7" s="1302"/>
      <c r="D7" s="1302"/>
      <c r="E7" s="1302"/>
      <c r="F7" s="1303"/>
      <c r="G7" s="1303"/>
      <c r="H7" s="1303"/>
      <c r="I7" s="1303"/>
      <c r="J7" s="1303"/>
      <c r="K7" s="1303"/>
      <c r="L7" s="1303"/>
      <c r="M7" s="1303"/>
      <c r="N7" s="1303"/>
      <c r="O7" s="1303"/>
      <c r="P7" s="1303"/>
      <c r="Q7" s="1303"/>
      <c r="R7" s="1303"/>
      <c r="S7" s="1303"/>
      <c r="T7" s="1303"/>
      <c r="U7" s="1303"/>
      <c r="V7" s="1303"/>
      <c r="W7" s="1303"/>
      <c r="X7" s="1303"/>
      <c r="Y7" s="1303"/>
      <c r="Z7" s="1303"/>
      <c r="AA7" s="1303"/>
      <c r="AB7" s="1303"/>
      <c r="AC7" s="1303"/>
      <c r="AD7" s="1303"/>
      <c r="AE7" s="1303"/>
      <c r="AF7" s="1303"/>
      <c r="AG7" s="1303"/>
      <c r="AH7" s="1303"/>
      <c r="AI7" s="1303"/>
      <c r="AJ7" s="1303"/>
      <c r="AK7" s="1303"/>
      <c r="AL7" s="1303"/>
      <c r="AM7" s="1303"/>
      <c r="AN7" s="1303"/>
      <c r="AO7" s="1303"/>
    </row>
    <row r="8" spans="2:47" ht="24.95" customHeight="1" x14ac:dyDescent="0.2">
      <c r="B8" s="1308" t="s">
        <v>397</v>
      </c>
      <c r="C8" s="1308"/>
      <c r="D8" s="539">
        <v>1</v>
      </c>
      <c r="E8" s="540" t="s">
        <v>398</v>
      </c>
      <c r="F8" s="511" t="s">
        <v>201</v>
      </c>
      <c r="G8" s="511"/>
      <c r="H8" s="511"/>
      <c r="I8" s="511"/>
      <c r="J8" s="511"/>
      <c r="K8" s="511"/>
      <c r="L8" s="511"/>
      <c r="M8" s="511"/>
      <c r="N8" s="511"/>
      <c r="O8" s="511"/>
      <c r="P8" s="511"/>
      <c r="Q8" s="511"/>
      <c r="R8" s="511"/>
      <c r="S8" s="511"/>
      <c r="T8" s="511"/>
      <c r="U8" s="511"/>
      <c r="V8" s="511"/>
      <c r="W8" s="511"/>
      <c r="X8" s="511"/>
      <c r="Y8" s="511" t="s">
        <v>201</v>
      </c>
      <c r="Z8" s="511"/>
      <c r="AA8" s="511"/>
      <c r="AB8" s="511" t="s">
        <v>201</v>
      </c>
      <c r="AC8" s="511" t="s">
        <v>201</v>
      </c>
      <c r="AD8" s="511"/>
      <c r="AE8" s="511"/>
      <c r="AF8" s="511"/>
      <c r="AG8" s="511"/>
      <c r="AH8" s="511"/>
      <c r="AI8" s="511"/>
      <c r="AJ8" s="511"/>
      <c r="AK8" s="511"/>
      <c r="AL8" s="511"/>
      <c r="AM8" s="511"/>
      <c r="AN8" s="511"/>
      <c r="AO8" s="511"/>
    </row>
    <row r="9" spans="2:47" ht="24.95" customHeight="1" x14ac:dyDescent="0.2">
      <c r="B9" s="1308"/>
      <c r="C9" s="1308"/>
      <c r="D9" s="539">
        <v>2</v>
      </c>
      <c r="E9" s="540" t="s">
        <v>399</v>
      </c>
      <c r="F9" s="511" t="s">
        <v>201</v>
      </c>
      <c r="G9" s="511"/>
      <c r="H9" s="511"/>
      <c r="I9" s="511"/>
      <c r="J9" s="511"/>
      <c r="K9" s="511"/>
      <c r="L9" s="511"/>
      <c r="M9" s="511"/>
      <c r="N9" s="511"/>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row>
    <row r="10" spans="2:47" ht="24.95" customHeight="1" x14ac:dyDescent="0.2">
      <c r="B10" s="1308"/>
      <c r="C10" s="1308"/>
      <c r="D10" s="539">
        <v>3</v>
      </c>
      <c r="E10" s="541" t="s">
        <v>400</v>
      </c>
      <c r="F10" s="511" t="s">
        <v>201</v>
      </c>
      <c r="G10" s="511"/>
      <c r="H10" s="511"/>
      <c r="I10" s="511"/>
      <c r="J10" s="511"/>
      <c r="K10" s="511"/>
      <c r="L10" s="511"/>
      <c r="M10" s="511" t="s">
        <v>201</v>
      </c>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row>
    <row r="11" spans="2:47" ht="24.95" customHeight="1" x14ac:dyDescent="0.2">
      <c r="B11" s="1308"/>
      <c r="C11" s="1308"/>
      <c r="D11" s="539">
        <v>4</v>
      </c>
      <c r="E11" s="540" t="s">
        <v>401</v>
      </c>
      <c r="F11" s="511" t="s">
        <v>201</v>
      </c>
      <c r="G11" s="511" t="s">
        <v>201</v>
      </c>
      <c r="H11" s="511"/>
      <c r="I11" s="511"/>
      <c r="J11" s="511"/>
      <c r="K11" s="511"/>
      <c r="L11" s="511"/>
      <c r="M11" s="511"/>
      <c r="N11" s="511"/>
      <c r="O11" s="511"/>
      <c r="P11" s="511" t="s">
        <v>201</v>
      </c>
      <c r="Q11" s="511"/>
      <c r="R11" s="511"/>
      <c r="S11" s="511"/>
      <c r="T11" s="511"/>
      <c r="U11" s="511"/>
      <c r="V11" s="511"/>
      <c r="W11" s="511"/>
      <c r="X11" s="511"/>
      <c r="Y11" s="511" t="s">
        <v>201</v>
      </c>
      <c r="Z11" s="511"/>
      <c r="AA11" s="511"/>
      <c r="AB11" s="511"/>
      <c r="AC11" s="511" t="s">
        <v>201</v>
      </c>
      <c r="AD11" s="511"/>
      <c r="AE11" s="511"/>
      <c r="AF11" s="511"/>
      <c r="AG11" s="511"/>
      <c r="AH11" s="511"/>
      <c r="AI11" s="511"/>
      <c r="AJ11" s="511"/>
      <c r="AK11" s="511"/>
      <c r="AL11" s="511"/>
      <c r="AM11" s="511"/>
      <c r="AN11" s="511"/>
      <c r="AO11" s="511"/>
    </row>
    <row r="12" spans="2:47" ht="24.95" customHeight="1" x14ac:dyDescent="0.2">
      <c r="B12" s="1308"/>
      <c r="C12" s="1308"/>
      <c r="D12" s="539">
        <v>5</v>
      </c>
      <c r="E12" s="540" t="s">
        <v>402</v>
      </c>
      <c r="F12" s="511" t="s">
        <v>201</v>
      </c>
      <c r="G12" s="511"/>
      <c r="H12" s="511"/>
      <c r="I12" s="511"/>
      <c r="J12" s="511"/>
      <c r="K12" s="511"/>
      <c r="L12" s="511"/>
      <c r="M12" s="511" t="s">
        <v>201</v>
      </c>
      <c r="N12" s="511"/>
      <c r="O12" s="511"/>
      <c r="P12" s="511"/>
      <c r="Q12" s="511"/>
      <c r="R12" s="511" t="s">
        <v>201</v>
      </c>
      <c r="S12" s="511"/>
      <c r="T12" s="511"/>
      <c r="U12" s="511"/>
      <c r="V12" s="511"/>
      <c r="W12" s="511"/>
      <c r="X12" s="511"/>
      <c r="Y12" s="511"/>
      <c r="Z12" s="511"/>
      <c r="AA12" s="511"/>
      <c r="AB12" s="511" t="s">
        <v>201</v>
      </c>
      <c r="AC12" s="511"/>
      <c r="AD12" s="511"/>
      <c r="AE12" s="511"/>
      <c r="AF12" s="511"/>
      <c r="AG12" s="511"/>
      <c r="AH12" s="511"/>
      <c r="AI12" s="511"/>
      <c r="AJ12" s="511"/>
      <c r="AK12" s="511"/>
      <c r="AL12" s="511"/>
      <c r="AM12" s="511"/>
      <c r="AN12" s="511"/>
      <c r="AO12" s="511"/>
    </row>
    <row r="13" spans="2:47" ht="24.95" customHeight="1" x14ac:dyDescent="0.2">
      <c r="B13" s="1308"/>
      <c r="C13" s="1308"/>
      <c r="D13" s="539">
        <v>6</v>
      </c>
      <c r="E13" s="540" t="s">
        <v>403</v>
      </c>
      <c r="F13" s="511" t="s">
        <v>201</v>
      </c>
      <c r="G13" s="511" t="s">
        <v>201</v>
      </c>
      <c r="H13" s="511"/>
      <c r="I13" s="511"/>
      <c r="J13" s="511"/>
      <c r="K13" s="511"/>
      <c r="L13" s="511"/>
      <c r="M13" s="511" t="s">
        <v>201</v>
      </c>
      <c r="N13" s="511"/>
      <c r="O13" s="511"/>
      <c r="P13" s="511" t="s">
        <v>201</v>
      </c>
      <c r="Q13" s="511"/>
      <c r="R13" s="511"/>
      <c r="S13" s="511"/>
      <c r="T13" s="511"/>
      <c r="U13" s="511"/>
      <c r="V13" s="511"/>
      <c r="W13" s="511"/>
      <c r="X13" s="511"/>
      <c r="Y13" s="511"/>
      <c r="Z13" s="511"/>
      <c r="AA13" s="511"/>
      <c r="AB13" s="511" t="s">
        <v>201</v>
      </c>
      <c r="AC13" s="511" t="s">
        <v>201</v>
      </c>
      <c r="AD13" s="511"/>
      <c r="AE13" s="511"/>
      <c r="AF13" s="511"/>
      <c r="AG13" s="511"/>
      <c r="AH13" s="511"/>
      <c r="AI13" s="511"/>
      <c r="AJ13" s="511"/>
      <c r="AK13" s="511"/>
      <c r="AL13" s="511"/>
      <c r="AM13" s="511"/>
      <c r="AN13" s="511"/>
      <c r="AO13" s="511"/>
    </row>
    <row r="14" spans="2:47" ht="24.95" customHeight="1" x14ac:dyDescent="0.2">
      <c r="B14" s="1308"/>
      <c r="C14" s="1308"/>
      <c r="D14" s="539">
        <v>7</v>
      </c>
      <c r="E14" s="540" t="s">
        <v>404</v>
      </c>
      <c r="F14" s="511" t="s">
        <v>201</v>
      </c>
      <c r="G14" s="511" t="s">
        <v>201</v>
      </c>
      <c r="H14" s="511"/>
      <c r="I14" s="511"/>
      <c r="J14" s="511"/>
      <c r="K14" s="511"/>
      <c r="L14" s="511"/>
      <c r="M14" s="511" t="s">
        <v>201</v>
      </c>
      <c r="N14" s="511"/>
      <c r="O14" s="511"/>
      <c r="P14" s="511"/>
      <c r="Q14" s="511"/>
      <c r="R14" s="511" t="s">
        <v>201</v>
      </c>
      <c r="S14" s="511"/>
      <c r="T14" s="511"/>
      <c r="U14" s="511"/>
      <c r="V14" s="511"/>
      <c r="W14" s="511"/>
      <c r="X14" s="511"/>
      <c r="Y14" s="511" t="s">
        <v>201</v>
      </c>
      <c r="Z14" s="511"/>
      <c r="AA14" s="511"/>
      <c r="AB14" s="511" t="s">
        <v>201</v>
      </c>
      <c r="AC14" s="511" t="s">
        <v>201</v>
      </c>
      <c r="AD14" s="511"/>
      <c r="AE14" s="511"/>
      <c r="AF14" s="511"/>
      <c r="AG14" s="511"/>
      <c r="AH14" s="511"/>
      <c r="AI14" s="511"/>
      <c r="AJ14" s="511"/>
      <c r="AK14" s="511"/>
      <c r="AL14" s="511"/>
      <c r="AM14" s="511"/>
      <c r="AN14" s="511"/>
      <c r="AO14" s="511"/>
    </row>
    <row r="15" spans="2:47" ht="24.95" customHeight="1" x14ac:dyDescent="0.2">
      <c r="B15" s="1308"/>
      <c r="C15" s="1308"/>
      <c r="D15" s="539">
        <v>8</v>
      </c>
      <c r="E15" s="541" t="s">
        <v>405</v>
      </c>
      <c r="F15" s="511" t="s">
        <v>201</v>
      </c>
      <c r="G15" s="511"/>
      <c r="H15" s="511"/>
      <c r="I15" s="511"/>
      <c r="J15" s="511"/>
      <c r="K15" s="511"/>
      <c r="L15" s="511"/>
      <c r="M15" s="511"/>
      <c r="N15" s="511"/>
      <c r="O15" s="511"/>
      <c r="P15" s="511"/>
      <c r="Q15" s="511"/>
      <c r="R15" s="511"/>
      <c r="S15" s="511"/>
      <c r="T15" s="511"/>
      <c r="U15" s="511"/>
      <c r="V15" s="511"/>
      <c r="W15" s="511"/>
      <c r="X15" s="511"/>
      <c r="Y15" s="511"/>
      <c r="Z15" s="511"/>
      <c r="AA15" s="511"/>
      <c r="AB15" s="511"/>
      <c r="AC15" s="511"/>
      <c r="AD15" s="511"/>
      <c r="AE15" s="511"/>
      <c r="AF15" s="511"/>
      <c r="AG15" s="511"/>
      <c r="AH15" s="511"/>
      <c r="AI15" s="511"/>
      <c r="AJ15" s="511"/>
      <c r="AK15" s="511"/>
      <c r="AL15" s="511"/>
      <c r="AM15" s="511"/>
      <c r="AN15" s="511"/>
      <c r="AO15" s="511"/>
    </row>
    <row r="16" spans="2:47" ht="24.95" customHeight="1" x14ac:dyDescent="0.2">
      <c r="B16" s="1308"/>
      <c r="C16" s="1308"/>
      <c r="D16" s="539">
        <v>9</v>
      </c>
      <c r="E16" s="540" t="s">
        <v>406</v>
      </c>
      <c r="F16" s="511" t="s">
        <v>201</v>
      </c>
      <c r="G16" s="511"/>
      <c r="H16" s="511"/>
      <c r="I16" s="511"/>
      <c r="J16" s="511"/>
      <c r="K16" s="511"/>
      <c r="L16" s="511"/>
      <c r="M16" s="511"/>
      <c r="N16" s="511"/>
      <c r="O16" s="511"/>
      <c r="P16" s="511" t="s">
        <v>201</v>
      </c>
      <c r="Q16" s="511"/>
      <c r="R16" s="511"/>
      <c r="S16" s="511"/>
      <c r="T16" s="511"/>
      <c r="U16" s="511"/>
      <c r="V16" s="511"/>
      <c r="W16" s="511"/>
      <c r="X16" s="511"/>
      <c r="Y16" s="511"/>
      <c r="Z16" s="511"/>
      <c r="AA16" s="511"/>
      <c r="AB16" s="511"/>
      <c r="AC16" s="511"/>
      <c r="AD16" s="511"/>
      <c r="AE16" s="511"/>
      <c r="AF16" s="511"/>
      <c r="AG16" s="511"/>
      <c r="AH16" s="511"/>
      <c r="AI16" s="511"/>
      <c r="AJ16" s="511"/>
      <c r="AK16" s="511"/>
      <c r="AL16" s="511"/>
      <c r="AM16" s="511"/>
      <c r="AN16" s="511"/>
      <c r="AO16" s="511"/>
    </row>
    <row r="17" spans="2:41" ht="24.95" customHeight="1" x14ac:dyDescent="0.2">
      <c r="B17" s="1308"/>
      <c r="C17" s="1308"/>
      <c r="D17" s="539">
        <v>10</v>
      </c>
      <c r="E17" s="540" t="s">
        <v>407</v>
      </c>
      <c r="F17" s="511" t="s">
        <v>201</v>
      </c>
      <c r="G17" s="511"/>
      <c r="H17" s="511"/>
      <c r="I17" s="511"/>
      <c r="J17" s="511"/>
      <c r="K17" s="511"/>
      <c r="L17" s="511"/>
      <c r="M17" s="511"/>
      <c r="N17" s="511"/>
      <c r="O17" s="511"/>
      <c r="P17" s="511"/>
      <c r="Q17" s="511"/>
      <c r="R17" s="511" t="s">
        <v>201</v>
      </c>
      <c r="S17" s="511"/>
      <c r="T17" s="511"/>
      <c r="U17" s="511"/>
      <c r="V17" s="511"/>
      <c r="W17" s="511"/>
      <c r="X17" s="511"/>
      <c r="Y17" s="511"/>
      <c r="Z17" s="511"/>
      <c r="AA17" s="511"/>
      <c r="AB17" s="511"/>
      <c r="AC17" s="511"/>
      <c r="AD17" s="511"/>
      <c r="AE17" s="511"/>
      <c r="AF17" s="511"/>
      <c r="AG17" s="511"/>
      <c r="AH17" s="511"/>
      <c r="AI17" s="511"/>
      <c r="AJ17" s="511"/>
      <c r="AK17" s="511"/>
      <c r="AL17" s="511"/>
      <c r="AM17" s="511"/>
      <c r="AN17" s="511"/>
      <c r="AO17" s="511"/>
    </row>
    <row r="18" spans="2:41" ht="24.95" customHeight="1" x14ac:dyDescent="0.2">
      <c r="B18" s="1308"/>
      <c r="C18" s="1308"/>
      <c r="D18" s="539">
        <v>11</v>
      </c>
      <c r="E18" s="540" t="s">
        <v>408</v>
      </c>
      <c r="F18" s="511" t="s">
        <v>201</v>
      </c>
      <c r="G18" s="511"/>
      <c r="H18" s="511"/>
      <c r="I18" s="511"/>
      <c r="J18" s="511"/>
      <c r="K18" s="511"/>
      <c r="L18" s="511"/>
      <c r="M18" s="511"/>
      <c r="N18" s="511"/>
      <c r="O18" s="511"/>
      <c r="P18" s="511" t="s">
        <v>201</v>
      </c>
      <c r="Q18" s="511"/>
      <c r="R18" s="511"/>
      <c r="S18" s="511"/>
      <c r="T18" s="511"/>
      <c r="U18" s="511"/>
      <c r="V18" s="511"/>
      <c r="W18" s="511"/>
      <c r="X18" s="511"/>
      <c r="Y18" s="511"/>
      <c r="Z18" s="511"/>
      <c r="AA18" s="511"/>
      <c r="AB18" s="511" t="s">
        <v>201</v>
      </c>
      <c r="AC18" s="511"/>
      <c r="AD18" s="511"/>
      <c r="AE18" s="511"/>
      <c r="AF18" s="511"/>
      <c r="AG18" s="511"/>
      <c r="AH18" s="511"/>
      <c r="AI18" s="511"/>
      <c r="AJ18" s="511"/>
      <c r="AK18" s="511"/>
      <c r="AL18" s="511"/>
      <c r="AM18" s="511"/>
      <c r="AN18" s="511"/>
      <c r="AO18" s="511"/>
    </row>
    <row r="19" spans="2:41" ht="24.95" customHeight="1" x14ac:dyDescent="0.2">
      <c r="B19" s="1308"/>
      <c r="C19" s="1308"/>
      <c r="D19" s="539">
        <v>12</v>
      </c>
      <c r="E19" s="540" t="s">
        <v>409</v>
      </c>
      <c r="F19" s="511" t="s">
        <v>201</v>
      </c>
      <c r="G19" s="511" t="s">
        <v>201</v>
      </c>
      <c r="H19" s="511"/>
      <c r="I19" s="511"/>
      <c r="J19" s="511"/>
      <c r="K19" s="511"/>
      <c r="L19" s="511"/>
      <c r="M19" s="511"/>
      <c r="N19" s="511"/>
      <c r="O19" s="511"/>
      <c r="P19" s="511"/>
      <c r="Q19" s="511"/>
      <c r="R19" s="511"/>
      <c r="S19" s="511"/>
      <c r="T19" s="511"/>
      <c r="U19" s="511"/>
      <c r="V19" s="511"/>
      <c r="W19" s="511"/>
      <c r="X19" s="511"/>
      <c r="Y19" s="511" t="s">
        <v>201</v>
      </c>
      <c r="Z19" s="511"/>
      <c r="AA19" s="511"/>
      <c r="AB19" s="511"/>
      <c r="AC19" s="511" t="s">
        <v>201</v>
      </c>
      <c r="AD19" s="511"/>
      <c r="AE19" s="511"/>
      <c r="AF19" s="511"/>
      <c r="AG19" s="511"/>
      <c r="AH19" s="511"/>
      <c r="AI19" s="511"/>
      <c r="AJ19" s="511"/>
      <c r="AK19" s="511"/>
      <c r="AL19" s="511"/>
      <c r="AM19" s="511"/>
      <c r="AN19" s="511"/>
      <c r="AO19" s="511"/>
    </row>
    <row r="20" spans="2:41" ht="24.95" customHeight="1" x14ac:dyDescent="0.2">
      <c r="B20" s="1308"/>
      <c r="C20" s="1308"/>
      <c r="D20" s="539"/>
      <c r="E20" s="542" t="s">
        <v>410</v>
      </c>
      <c r="F20" s="516">
        <f>COUNTA(F8:F19)</f>
        <v>12</v>
      </c>
      <c r="G20" s="516">
        <f t="shared" ref="G20:AO20" si="2">COUNTA(G8:G19)</f>
        <v>4</v>
      </c>
      <c r="H20" s="516">
        <f t="shared" si="2"/>
        <v>0</v>
      </c>
      <c r="I20" s="516">
        <f t="shared" si="2"/>
        <v>0</v>
      </c>
      <c r="J20" s="516">
        <f t="shared" si="2"/>
        <v>0</v>
      </c>
      <c r="K20" s="516">
        <f t="shared" si="2"/>
        <v>0</v>
      </c>
      <c r="L20" s="516">
        <f t="shared" si="2"/>
        <v>0</v>
      </c>
      <c r="M20" s="516">
        <f t="shared" si="2"/>
        <v>4</v>
      </c>
      <c r="N20" s="516">
        <f t="shared" si="2"/>
        <v>0</v>
      </c>
      <c r="O20" s="516">
        <f t="shared" si="2"/>
        <v>0</v>
      </c>
      <c r="P20" s="516">
        <f t="shared" si="2"/>
        <v>4</v>
      </c>
      <c r="Q20" s="516">
        <f t="shared" si="2"/>
        <v>0</v>
      </c>
      <c r="R20" s="516">
        <f t="shared" si="2"/>
        <v>3</v>
      </c>
      <c r="S20" s="516">
        <f t="shared" si="2"/>
        <v>0</v>
      </c>
      <c r="T20" s="516">
        <f t="shared" si="2"/>
        <v>0</v>
      </c>
      <c r="U20" s="516">
        <f t="shared" si="2"/>
        <v>0</v>
      </c>
      <c r="V20" s="516">
        <f t="shared" si="2"/>
        <v>0</v>
      </c>
      <c r="W20" s="516">
        <f t="shared" si="2"/>
        <v>0</v>
      </c>
      <c r="X20" s="516">
        <f t="shared" si="2"/>
        <v>0</v>
      </c>
      <c r="Y20" s="516">
        <f t="shared" si="2"/>
        <v>4</v>
      </c>
      <c r="Z20" s="516">
        <f t="shared" si="2"/>
        <v>0</v>
      </c>
      <c r="AA20" s="516">
        <f t="shared" si="2"/>
        <v>0</v>
      </c>
      <c r="AB20" s="516">
        <f t="shared" si="2"/>
        <v>5</v>
      </c>
      <c r="AC20" s="516">
        <f t="shared" si="2"/>
        <v>5</v>
      </c>
      <c r="AD20" s="516">
        <f t="shared" si="2"/>
        <v>0</v>
      </c>
      <c r="AE20" s="516">
        <f t="shared" si="2"/>
        <v>0</v>
      </c>
      <c r="AF20" s="516">
        <f t="shared" si="2"/>
        <v>0</v>
      </c>
      <c r="AG20" s="516">
        <f t="shared" si="2"/>
        <v>0</v>
      </c>
      <c r="AH20" s="516">
        <f t="shared" si="2"/>
        <v>0</v>
      </c>
      <c r="AI20" s="516">
        <f t="shared" si="2"/>
        <v>0</v>
      </c>
      <c r="AJ20" s="516">
        <f t="shared" si="2"/>
        <v>0</v>
      </c>
      <c r="AK20" s="516">
        <f t="shared" si="2"/>
        <v>0</v>
      </c>
      <c r="AL20" s="516">
        <f t="shared" si="2"/>
        <v>0</v>
      </c>
      <c r="AM20" s="516">
        <f t="shared" si="2"/>
        <v>0</v>
      </c>
      <c r="AN20" s="516">
        <f t="shared" si="2"/>
        <v>0</v>
      </c>
      <c r="AO20" s="516">
        <f t="shared" si="2"/>
        <v>0</v>
      </c>
    </row>
    <row r="21" spans="2:41" ht="39.950000000000003" hidden="1" customHeight="1" x14ac:dyDescent="0.2">
      <c r="B21" s="550"/>
      <c r="C21" s="550"/>
      <c r="D21" s="694"/>
      <c r="E21" s="551"/>
      <c r="F21" s="516">
        <f>COUNTIF(F8:F19,"x")</f>
        <v>12</v>
      </c>
      <c r="G21" s="516">
        <f t="shared" ref="G21:AO21" si="3">COUNTIF(G8:G19,"x")</f>
        <v>4</v>
      </c>
      <c r="H21" s="516">
        <f t="shared" si="3"/>
        <v>0</v>
      </c>
      <c r="I21" s="516">
        <f t="shared" si="3"/>
        <v>0</v>
      </c>
      <c r="J21" s="516">
        <f t="shared" si="3"/>
        <v>0</v>
      </c>
      <c r="K21" s="516">
        <f t="shared" si="3"/>
        <v>0</v>
      </c>
      <c r="L21" s="516">
        <f t="shared" si="3"/>
        <v>0</v>
      </c>
      <c r="M21" s="516">
        <f t="shared" si="3"/>
        <v>4</v>
      </c>
      <c r="N21" s="516">
        <f t="shared" si="3"/>
        <v>0</v>
      </c>
      <c r="O21" s="516">
        <f t="shared" si="3"/>
        <v>0</v>
      </c>
      <c r="P21" s="516">
        <f t="shared" si="3"/>
        <v>4</v>
      </c>
      <c r="Q21" s="516">
        <f t="shared" si="3"/>
        <v>0</v>
      </c>
      <c r="R21" s="516">
        <f t="shared" si="3"/>
        <v>3</v>
      </c>
      <c r="S21" s="516">
        <f t="shared" si="3"/>
        <v>0</v>
      </c>
      <c r="T21" s="516">
        <f t="shared" si="3"/>
        <v>0</v>
      </c>
      <c r="U21" s="516">
        <f t="shared" si="3"/>
        <v>0</v>
      </c>
      <c r="V21" s="516">
        <f t="shared" si="3"/>
        <v>0</v>
      </c>
      <c r="W21" s="516">
        <f t="shared" si="3"/>
        <v>0</v>
      </c>
      <c r="X21" s="516">
        <f t="shared" si="3"/>
        <v>0</v>
      </c>
      <c r="Y21" s="516">
        <f t="shared" si="3"/>
        <v>4</v>
      </c>
      <c r="Z21" s="516">
        <f t="shared" si="3"/>
        <v>0</v>
      </c>
      <c r="AA21" s="516">
        <f t="shared" si="3"/>
        <v>0</v>
      </c>
      <c r="AB21" s="516">
        <f t="shared" si="3"/>
        <v>5</v>
      </c>
      <c r="AC21" s="516">
        <f t="shared" si="3"/>
        <v>5</v>
      </c>
      <c r="AD21" s="516">
        <f t="shared" si="3"/>
        <v>0</v>
      </c>
      <c r="AE21" s="516">
        <f t="shared" si="3"/>
        <v>0</v>
      </c>
      <c r="AF21" s="516">
        <f t="shared" si="3"/>
        <v>0</v>
      </c>
      <c r="AG21" s="516">
        <f t="shared" si="3"/>
        <v>0</v>
      </c>
      <c r="AH21" s="516">
        <f t="shared" si="3"/>
        <v>0</v>
      </c>
      <c r="AI21" s="516">
        <f t="shared" si="3"/>
        <v>0</v>
      </c>
      <c r="AJ21" s="516">
        <f t="shared" si="3"/>
        <v>0</v>
      </c>
      <c r="AK21" s="516">
        <f t="shared" si="3"/>
        <v>0</v>
      </c>
      <c r="AL21" s="516">
        <f t="shared" si="3"/>
        <v>0</v>
      </c>
      <c r="AM21" s="516">
        <f t="shared" si="3"/>
        <v>0</v>
      </c>
      <c r="AN21" s="516">
        <f t="shared" si="3"/>
        <v>0</v>
      </c>
      <c r="AO21" s="516">
        <f t="shared" si="3"/>
        <v>0</v>
      </c>
    </row>
    <row r="22" spans="2:41" s="514" customFormat="1" ht="133.5" customHeight="1" x14ac:dyDescent="0.2">
      <c r="B22" s="552"/>
      <c r="C22" s="513"/>
      <c r="D22" s="553"/>
      <c r="E22" s="512"/>
      <c r="F22" s="549" t="str">
        <f>IF(F3=0,"",IF(F20&lt;5,"signalering stopt",IF(F20&gt;4,"vervolg de vragenlijst")))</f>
        <v>vervolg de vragenlijst</v>
      </c>
      <c r="G22" s="549" t="str">
        <f t="shared" ref="G22:AO22" si="4">IF(G3=0,"",IF(G20&lt;5,"signalering stopt",IF(G20&gt;4,"vervolg de vragenlijst")))</f>
        <v>signalering stopt</v>
      </c>
      <c r="H22" s="549" t="str">
        <f t="shared" si="4"/>
        <v>signalering stopt</v>
      </c>
      <c r="I22" s="549" t="str">
        <f t="shared" si="4"/>
        <v>signalering stopt</v>
      </c>
      <c r="J22" s="549" t="str">
        <f t="shared" si="4"/>
        <v>signalering stopt</v>
      </c>
      <c r="K22" s="549" t="str">
        <f t="shared" si="4"/>
        <v>signalering stopt</v>
      </c>
      <c r="L22" s="549" t="str">
        <f t="shared" si="4"/>
        <v>signalering stopt</v>
      </c>
      <c r="M22" s="549" t="str">
        <f t="shared" si="4"/>
        <v>signalering stopt</v>
      </c>
      <c r="N22" s="549" t="str">
        <f t="shared" si="4"/>
        <v>signalering stopt</v>
      </c>
      <c r="O22" s="549" t="str">
        <f t="shared" si="4"/>
        <v>signalering stopt</v>
      </c>
      <c r="P22" s="549" t="str">
        <f t="shared" si="4"/>
        <v>signalering stopt</v>
      </c>
      <c r="Q22" s="549" t="str">
        <f t="shared" si="4"/>
        <v>signalering stopt</v>
      </c>
      <c r="R22" s="549" t="str">
        <f t="shared" si="4"/>
        <v>signalering stopt</v>
      </c>
      <c r="S22" s="549" t="str">
        <f t="shared" si="4"/>
        <v>signalering stopt</v>
      </c>
      <c r="T22" s="549" t="str">
        <f t="shared" si="4"/>
        <v>signalering stopt</v>
      </c>
      <c r="U22" s="549" t="str">
        <f t="shared" si="4"/>
        <v>signalering stopt</v>
      </c>
      <c r="V22" s="549" t="str">
        <f t="shared" si="4"/>
        <v>signalering stopt</v>
      </c>
      <c r="W22" s="549" t="str">
        <f t="shared" si="4"/>
        <v>signalering stopt</v>
      </c>
      <c r="X22" s="549" t="str">
        <f t="shared" si="4"/>
        <v>signalering stopt</v>
      </c>
      <c r="Y22" s="549" t="str">
        <f t="shared" si="4"/>
        <v>signalering stopt</v>
      </c>
      <c r="Z22" s="549" t="str">
        <f t="shared" si="4"/>
        <v>signalering stopt</v>
      </c>
      <c r="AA22" s="549" t="str">
        <f t="shared" si="4"/>
        <v>signalering stopt</v>
      </c>
      <c r="AB22" s="549" t="str">
        <f t="shared" si="4"/>
        <v>vervolg de vragenlijst</v>
      </c>
      <c r="AC22" s="549" t="str">
        <f t="shared" si="4"/>
        <v>vervolg de vragenlijst</v>
      </c>
      <c r="AD22" s="549" t="str">
        <f t="shared" si="4"/>
        <v>signalering stopt</v>
      </c>
      <c r="AE22" s="549" t="str">
        <f t="shared" si="4"/>
        <v>signalering stopt</v>
      </c>
      <c r="AF22" s="549" t="str">
        <f t="shared" si="4"/>
        <v/>
      </c>
      <c r="AG22" s="549" t="str">
        <f t="shared" si="4"/>
        <v/>
      </c>
      <c r="AH22" s="549" t="str">
        <f t="shared" si="4"/>
        <v/>
      </c>
      <c r="AI22" s="549" t="str">
        <f t="shared" si="4"/>
        <v/>
      </c>
      <c r="AJ22" s="549" t="str">
        <f t="shared" si="4"/>
        <v/>
      </c>
      <c r="AK22" s="549" t="str">
        <f t="shared" si="4"/>
        <v/>
      </c>
      <c r="AL22" s="549" t="str">
        <f t="shared" si="4"/>
        <v/>
      </c>
      <c r="AM22" s="549" t="str">
        <f t="shared" si="4"/>
        <v/>
      </c>
      <c r="AN22" s="549" t="str">
        <f t="shared" si="4"/>
        <v/>
      </c>
      <c r="AO22" s="549" t="str">
        <f t="shared" si="4"/>
        <v/>
      </c>
    </row>
    <row r="23" spans="2:41" ht="24.95" customHeight="1" x14ac:dyDescent="0.2">
      <c r="B23" s="1302" t="s">
        <v>411</v>
      </c>
      <c r="C23" s="1302"/>
      <c r="D23" s="1302"/>
      <c r="E23" s="1302"/>
      <c r="F23" s="1303"/>
      <c r="G23" s="1303"/>
      <c r="H23" s="1303"/>
      <c r="I23" s="1303"/>
      <c r="J23" s="1303"/>
      <c r="K23" s="1303"/>
      <c r="L23" s="1303"/>
      <c r="M23" s="1303"/>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row>
    <row r="24" spans="2:41" ht="24.95" customHeight="1" x14ac:dyDescent="0.2">
      <c r="B24" s="1308" t="s">
        <v>412</v>
      </c>
      <c r="C24" s="1310" t="s">
        <v>413</v>
      </c>
      <c r="D24" s="539">
        <v>1</v>
      </c>
      <c r="E24" s="541" t="s">
        <v>414</v>
      </c>
      <c r="F24" s="511" t="s">
        <v>201</v>
      </c>
      <c r="G24" s="511"/>
      <c r="H24" s="511"/>
      <c r="I24" s="511"/>
      <c r="J24" s="511"/>
      <c r="K24" s="511"/>
      <c r="L24" s="511"/>
      <c r="M24" s="511"/>
      <c r="N24" s="511"/>
      <c r="O24" s="511"/>
      <c r="P24" s="511"/>
      <c r="Q24" s="511"/>
      <c r="R24" s="511"/>
      <c r="S24" s="511"/>
      <c r="T24" s="511"/>
      <c r="U24" s="511"/>
      <c r="V24" s="511"/>
      <c r="W24" s="511"/>
      <c r="X24" s="511"/>
      <c r="Y24" s="511"/>
      <c r="Z24" s="511"/>
      <c r="AA24" s="511"/>
      <c r="AB24" s="511"/>
      <c r="AC24" s="511" t="s">
        <v>201</v>
      </c>
      <c r="AD24" s="511"/>
      <c r="AE24" s="511"/>
      <c r="AF24" s="511"/>
      <c r="AG24" s="511"/>
      <c r="AH24" s="511"/>
      <c r="AI24" s="511"/>
      <c r="AJ24" s="511"/>
      <c r="AK24" s="511"/>
      <c r="AL24" s="511"/>
      <c r="AM24" s="511"/>
      <c r="AN24" s="511" t="s">
        <v>201</v>
      </c>
      <c r="AO24" s="511" t="s">
        <v>201</v>
      </c>
    </row>
    <row r="25" spans="2:41" s="515" customFormat="1" ht="24.95" customHeight="1" x14ac:dyDescent="0.2">
      <c r="B25" s="1309"/>
      <c r="C25" s="1308"/>
      <c r="D25" s="539">
        <v>2</v>
      </c>
      <c r="E25" s="541" t="s">
        <v>415</v>
      </c>
      <c r="F25" s="511"/>
      <c r="G25" s="511"/>
      <c r="H25" s="511"/>
      <c r="I25" s="511"/>
      <c r="J25" s="511"/>
      <c r="K25" s="511"/>
      <c r="L25" s="511"/>
      <c r="M25" s="511"/>
      <c r="N25" s="511"/>
      <c r="O25" s="511"/>
      <c r="P25" s="511"/>
      <c r="Q25" s="511"/>
      <c r="R25" s="511"/>
      <c r="S25" s="511"/>
      <c r="T25" s="511"/>
      <c r="U25" s="511"/>
      <c r="V25" s="511"/>
      <c r="W25" s="511"/>
      <c r="X25" s="511"/>
      <c r="Y25" s="511"/>
      <c r="Z25" s="511"/>
      <c r="AA25" s="511"/>
      <c r="AB25" s="511" t="s">
        <v>201</v>
      </c>
      <c r="AC25" s="511"/>
      <c r="AD25" s="511"/>
      <c r="AE25" s="511"/>
      <c r="AF25" s="511"/>
      <c r="AG25" s="511"/>
      <c r="AH25" s="511"/>
      <c r="AI25" s="511"/>
      <c r="AJ25" s="511"/>
      <c r="AK25" s="511"/>
      <c r="AL25" s="511"/>
      <c r="AM25" s="511"/>
      <c r="AN25" s="511" t="s">
        <v>201</v>
      </c>
      <c r="AO25" s="511" t="s">
        <v>201</v>
      </c>
    </row>
    <row r="26" spans="2:41" s="515" customFormat="1" ht="24.95" customHeight="1" x14ac:dyDescent="0.2">
      <c r="B26" s="1309"/>
      <c r="C26" s="1308"/>
      <c r="D26" s="539">
        <v>3</v>
      </c>
      <c r="E26" s="541" t="s">
        <v>416</v>
      </c>
      <c r="F26" s="511"/>
      <c r="G26" s="511"/>
      <c r="H26" s="511"/>
      <c r="I26" s="511"/>
      <c r="J26" s="511"/>
      <c r="K26" s="511"/>
      <c r="L26" s="511"/>
      <c r="M26" s="511"/>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1" t="s">
        <v>201</v>
      </c>
      <c r="AO26" s="511" t="s">
        <v>201</v>
      </c>
    </row>
    <row r="27" spans="2:41" s="515" customFormat="1" ht="24.95" customHeight="1" x14ac:dyDescent="0.2">
      <c r="B27" s="1309"/>
      <c r="C27" s="1310" t="s">
        <v>417</v>
      </c>
      <c r="D27" s="539">
        <v>4</v>
      </c>
      <c r="E27" s="540" t="s">
        <v>418</v>
      </c>
      <c r="F27" s="511"/>
      <c r="G27" s="511"/>
      <c r="H27" s="511"/>
      <c r="I27" s="511"/>
      <c r="J27" s="511"/>
      <c r="K27" s="511"/>
      <c r="L27" s="511"/>
      <c r="M27" s="511"/>
      <c r="N27" s="511"/>
      <c r="O27" s="511"/>
      <c r="P27" s="511"/>
      <c r="Q27" s="511"/>
      <c r="R27" s="511"/>
      <c r="S27" s="511"/>
      <c r="T27" s="511"/>
      <c r="U27" s="511"/>
      <c r="V27" s="511"/>
      <c r="W27" s="511"/>
      <c r="X27" s="511"/>
      <c r="Y27" s="511"/>
      <c r="Z27" s="511"/>
      <c r="AA27" s="511"/>
      <c r="AB27" s="511" t="s">
        <v>201</v>
      </c>
      <c r="AC27" s="511"/>
      <c r="AD27" s="511"/>
      <c r="AE27" s="511"/>
      <c r="AF27" s="511"/>
      <c r="AG27" s="511"/>
      <c r="AH27" s="511"/>
      <c r="AI27" s="511"/>
      <c r="AJ27" s="511"/>
      <c r="AK27" s="511"/>
      <c r="AL27" s="511"/>
      <c r="AM27" s="511"/>
      <c r="AN27" s="511" t="s">
        <v>201</v>
      </c>
      <c r="AO27" s="511" t="s">
        <v>201</v>
      </c>
    </row>
    <row r="28" spans="2:41" s="515" customFormat="1" ht="24.95" customHeight="1" x14ac:dyDescent="0.2">
      <c r="B28" s="1309"/>
      <c r="C28" s="1308"/>
      <c r="D28" s="539">
        <v>5</v>
      </c>
      <c r="E28" s="540" t="s">
        <v>419</v>
      </c>
      <c r="F28" s="511"/>
      <c r="G28" s="511"/>
      <c r="H28" s="511"/>
      <c r="I28" s="511"/>
      <c r="J28" s="511"/>
      <c r="K28" s="511"/>
      <c r="L28" s="511"/>
      <c r="M28" s="511"/>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1" t="s">
        <v>201</v>
      </c>
      <c r="AO28" s="511" t="s">
        <v>201</v>
      </c>
    </row>
    <row r="29" spans="2:41" s="515" customFormat="1" ht="24.95" customHeight="1" x14ac:dyDescent="0.2">
      <c r="B29" s="1309"/>
      <c r="C29" s="1308"/>
      <c r="D29" s="539">
        <v>6</v>
      </c>
      <c r="E29" s="541" t="s">
        <v>420</v>
      </c>
      <c r="F29" s="511"/>
      <c r="G29" s="511"/>
      <c r="H29" s="511"/>
      <c r="I29" s="511"/>
      <c r="J29" s="511"/>
      <c r="K29" s="511"/>
      <c r="L29" s="511"/>
      <c r="M29" s="511"/>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c r="AL29" s="511"/>
      <c r="AM29" s="511"/>
      <c r="AN29" s="511" t="s">
        <v>201</v>
      </c>
      <c r="AO29" s="511" t="s">
        <v>201</v>
      </c>
    </row>
    <row r="30" spans="2:41" s="515" customFormat="1" ht="24.95" customHeight="1" x14ac:dyDescent="0.2">
      <c r="B30" s="1309"/>
      <c r="C30" s="1310" t="s">
        <v>421</v>
      </c>
      <c r="D30" s="539">
        <v>7</v>
      </c>
      <c r="E30" s="541" t="s">
        <v>422</v>
      </c>
      <c r="F30" s="511"/>
      <c r="G30" s="511"/>
      <c r="H30" s="511"/>
      <c r="I30" s="511"/>
      <c r="J30" s="511"/>
      <c r="K30" s="511"/>
      <c r="L30" s="511"/>
      <c r="M30" s="511"/>
      <c r="N30" s="511"/>
      <c r="O30" s="511"/>
      <c r="P30" s="511"/>
      <c r="Q30" s="511"/>
      <c r="R30" s="511"/>
      <c r="S30" s="511"/>
      <c r="T30" s="511"/>
      <c r="U30" s="511"/>
      <c r="V30" s="511"/>
      <c r="W30" s="511"/>
      <c r="X30" s="511"/>
      <c r="Y30" s="511"/>
      <c r="Z30" s="511"/>
      <c r="AA30" s="511"/>
      <c r="AB30" s="511"/>
      <c r="AC30" s="511"/>
      <c r="AD30" s="511"/>
      <c r="AE30" s="511"/>
      <c r="AF30" s="511"/>
      <c r="AG30" s="511"/>
      <c r="AH30" s="511"/>
      <c r="AI30" s="511"/>
      <c r="AJ30" s="511"/>
      <c r="AK30" s="511"/>
      <c r="AL30" s="511"/>
      <c r="AM30" s="511"/>
      <c r="AN30" s="511" t="s">
        <v>201</v>
      </c>
      <c r="AO30" s="511" t="s">
        <v>201</v>
      </c>
    </row>
    <row r="31" spans="2:41" s="515" customFormat="1" ht="24.95" customHeight="1" x14ac:dyDescent="0.2">
      <c r="B31" s="1309"/>
      <c r="C31" s="1308"/>
      <c r="D31" s="539">
        <v>8</v>
      </c>
      <c r="E31" s="541" t="s">
        <v>423</v>
      </c>
      <c r="F31" s="511" t="s">
        <v>201</v>
      </c>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t="s">
        <v>201</v>
      </c>
      <c r="AO31" s="511" t="s">
        <v>201</v>
      </c>
    </row>
    <row r="32" spans="2:41" s="515" customFormat="1" ht="24.95" customHeight="1" x14ac:dyDescent="0.2">
      <c r="B32" s="1309"/>
      <c r="C32" s="1308"/>
      <c r="D32" s="539">
        <v>9</v>
      </c>
      <c r="E32" s="540" t="s">
        <v>424</v>
      </c>
      <c r="F32" s="511"/>
      <c r="G32" s="511"/>
      <c r="H32" s="511"/>
      <c r="I32" s="511"/>
      <c r="J32" s="511"/>
      <c r="K32" s="511"/>
      <c r="L32" s="511"/>
      <c r="M32" s="511"/>
      <c r="N32" s="511"/>
      <c r="O32" s="511"/>
      <c r="P32" s="511"/>
      <c r="Q32" s="511"/>
      <c r="R32" s="511"/>
      <c r="S32" s="511"/>
      <c r="T32" s="511"/>
      <c r="U32" s="511"/>
      <c r="V32" s="511"/>
      <c r="W32" s="511"/>
      <c r="X32" s="511"/>
      <c r="Y32" s="511"/>
      <c r="Z32" s="511"/>
      <c r="AA32" s="511"/>
      <c r="AB32" s="511"/>
      <c r="AC32" s="511"/>
      <c r="AD32" s="511"/>
      <c r="AE32" s="511"/>
      <c r="AF32" s="511"/>
      <c r="AG32" s="511"/>
      <c r="AH32" s="511"/>
      <c r="AI32" s="511"/>
      <c r="AJ32" s="511"/>
      <c r="AK32" s="511"/>
      <c r="AL32" s="511"/>
      <c r="AM32" s="511"/>
      <c r="AN32" s="511" t="s">
        <v>201</v>
      </c>
      <c r="AO32" s="511" t="s">
        <v>201</v>
      </c>
    </row>
    <row r="33" spans="2:41" s="515" customFormat="1" ht="24.95" customHeight="1" x14ac:dyDescent="0.2">
      <c r="B33" s="382"/>
      <c r="C33" s="382"/>
      <c r="D33" s="539"/>
      <c r="E33" s="542" t="s">
        <v>425</v>
      </c>
      <c r="F33" s="516">
        <f t="shared" ref="F33:AO33" si="5">COUNTA(F24:F32)</f>
        <v>2</v>
      </c>
      <c r="G33" s="516">
        <f t="shared" si="5"/>
        <v>0</v>
      </c>
      <c r="H33" s="516">
        <f t="shared" si="5"/>
        <v>0</v>
      </c>
      <c r="I33" s="516">
        <f t="shared" si="5"/>
        <v>0</v>
      </c>
      <c r="J33" s="516">
        <f t="shared" si="5"/>
        <v>0</v>
      </c>
      <c r="K33" s="516">
        <f t="shared" si="5"/>
        <v>0</v>
      </c>
      <c r="L33" s="516">
        <f t="shared" si="5"/>
        <v>0</v>
      </c>
      <c r="M33" s="516">
        <f t="shared" si="5"/>
        <v>0</v>
      </c>
      <c r="N33" s="516">
        <f t="shared" si="5"/>
        <v>0</v>
      </c>
      <c r="O33" s="516">
        <f t="shared" si="5"/>
        <v>0</v>
      </c>
      <c r="P33" s="516">
        <f t="shared" si="5"/>
        <v>0</v>
      </c>
      <c r="Q33" s="516">
        <f t="shared" si="5"/>
        <v>0</v>
      </c>
      <c r="R33" s="516">
        <f t="shared" si="5"/>
        <v>0</v>
      </c>
      <c r="S33" s="516">
        <f t="shared" si="5"/>
        <v>0</v>
      </c>
      <c r="T33" s="516">
        <f t="shared" si="5"/>
        <v>0</v>
      </c>
      <c r="U33" s="516">
        <f t="shared" si="5"/>
        <v>0</v>
      </c>
      <c r="V33" s="516">
        <f t="shared" si="5"/>
        <v>0</v>
      </c>
      <c r="W33" s="516">
        <f t="shared" si="5"/>
        <v>0</v>
      </c>
      <c r="X33" s="516">
        <f t="shared" si="5"/>
        <v>0</v>
      </c>
      <c r="Y33" s="516">
        <f t="shared" si="5"/>
        <v>0</v>
      </c>
      <c r="Z33" s="516">
        <f t="shared" si="5"/>
        <v>0</v>
      </c>
      <c r="AA33" s="516">
        <f t="shared" si="5"/>
        <v>0</v>
      </c>
      <c r="AB33" s="516">
        <f t="shared" si="5"/>
        <v>2</v>
      </c>
      <c r="AC33" s="516">
        <f t="shared" si="5"/>
        <v>1</v>
      </c>
      <c r="AD33" s="516">
        <f t="shared" si="5"/>
        <v>0</v>
      </c>
      <c r="AE33" s="516">
        <f t="shared" si="5"/>
        <v>0</v>
      </c>
      <c r="AF33" s="516">
        <f t="shared" si="5"/>
        <v>0</v>
      </c>
      <c r="AG33" s="516">
        <f t="shared" si="5"/>
        <v>0</v>
      </c>
      <c r="AH33" s="516">
        <f t="shared" si="5"/>
        <v>0</v>
      </c>
      <c r="AI33" s="516">
        <f t="shared" si="5"/>
        <v>0</v>
      </c>
      <c r="AJ33" s="516">
        <f t="shared" si="5"/>
        <v>0</v>
      </c>
      <c r="AK33" s="516">
        <f t="shared" si="5"/>
        <v>0</v>
      </c>
      <c r="AL33" s="516">
        <f t="shared" si="5"/>
        <v>0</v>
      </c>
      <c r="AM33" s="516">
        <f t="shared" si="5"/>
        <v>0</v>
      </c>
      <c r="AN33" s="516">
        <f t="shared" si="5"/>
        <v>9</v>
      </c>
      <c r="AO33" s="516">
        <f t="shared" si="5"/>
        <v>9</v>
      </c>
    </row>
    <row r="34" spans="2:41" s="515" customFormat="1" ht="39.950000000000003" hidden="1" customHeight="1" x14ac:dyDescent="0.2">
      <c r="B34" s="696"/>
      <c r="C34" s="695"/>
      <c r="D34" s="539"/>
      <c r="E34" s="540" t="s">
        <v>426</v>
      </c>
      <c r="F34" s="517">
        <f>IF(F21=0,"",IF(F21&gt;6,1,IF(F21&lt;=6,0)))</f>
        <v>1</v>
      </c>
      <c r="G34" s="517">
        <f t="shared" ref="G34:AO34" si="6">IF(G21=0,"",IF(G21&gt;6,1,IF(G21&lt;=6,0)))</f>
        <v>0</v>
      </c>
      <c r="H34" s="517" t="str">
        <f t="shared" si="6"/>
        <v/>
      </c>
      <c r="I34" s="517" t="str">
        <f t="shared" si="6"/>
        <v/>
      </c>
      <c r="J34" s="517" t="str">
        <f t="shared" si="6"/>
        <v/>
      </c>
      <c r="K34" s="517" t="str">
        <f t="shared" si="6"/>
        <v/>
      </c>
      <c r="L34" s="517" t="str">
        <f t="shared" si="6"/>
        <v/>
      </c>
      <c r="M34" s="517">
        <f t="shared" si="6"/>
        <v>0</v>
      </c>
      <c r="N34" s="517" t="str">
        <f t="shared" si="6"/>
        <v/>
      </c>
      <c r="O34" s="517" t="str">
        <f t="shared" si="6"/>
        <v/>
      </c>
      <c r="P34" s="517">
        <f t="shared" si="6"/>
        <v>0</v>
      </c>
      <c r="Q34" s="517" t="str">
        <f t="shared" si="6"/>
        <v/>
      </c>
      <c r="R34" s="517">
        <f t="shared" si="6"/>
        <v>0</v>
      </c>
      <c r="S34" s="517" t="str">
        <f t="shared" si="6"/>
        <v/>
      </c>
      <c r="T34" s="517" t="str">
        <f t="shared" si="6"/>
        <v/>
      </c>
      <c r="U34" s="517" t="str">
        <f t="shared" si="6"/>
        <v/>
      </c>
      <c r="V34" s="517" t="str">
        <f t="shared" si="6"/>
        <v/>
      </c>
      <c r="W34" s="517" t="str">
        <f t="shared" si="6"/>
        <v/>
      </c>
      <c r="X34" s="517" t="str">
        <f t="shared" si="6"/>
        <v/>
      </c>
      <c r="Y34" s="517">
        <f t="shared" si="6"/>
        <v>0</v>
      </c>
      <c r="Z34" s="517" t="str">
        <f t="shared" si="6"/>
        <v/>
      </c>
      <c r="AA34" s="517" t="str">
        <f t="shared" si="6"/>
        <v/>
      </c>
      <c r="AB34" s="517">
        <f t="shared" si="6"/>
        <v>0</v>
      </c>
      <c r="AC34" s="517">
        <f t="shared" si="6"/>
        <v>0</v>
      </c>
      <c r="AD34" s="517" t="str">
        <f t="shared" si="6"/>
        <v/>
      </c>
      <c r="AE34" s="517" t="str">
        <f t="shared" si="6"/>
        <v/>
      </c>
      <c r="AF34" s="517" t="str">
        <f t="shared" si="6"/>
        <v/>
      </c>
      <c r="AG34" s="517" t="str">
        <f t="shared" si="6"/>
        <v/>
      </c>
      <c r="AH34" s="517" t="str">
        <f t="shared" si="6"/>
        <v/>
      </c>
      <c r="AI34" s="517" t="str">
        <f t="shared" si="6"/>
        <v/>
      </c>
      <c r="AJ34" s="517" t="str">
        <f t="shared" si="6"/>
        <v/>
      </c>
      <c r="AK34" s="517" t="str">
        <f t="shared" si="6"/>
        <v/>
      </c>
      <c r="AL34" s="517" t="str">
        <f t="shared" si="6"/>
        <v/>
      </c>
      <c r="AM34" s="517" t="str">
        <f t="shared" si="6"/>
        <v/>
      </c>
      <c r="AN34" s="517" t="str">
        <f t="shared" si="6"/>
        <v/>
      </c>
      <c r="AO34" s="517" t="str">
        <f t="shared" si="6"/>
        <v/>
      </c>
    </row>
    <row r="35" spans="2:41" s="515" customFormat="1" ht="39.950000000000003" hidden="1" customHeight="1" x14ac:dyDescent="0.2">
      <c r="B35" s="696"/>
      <c r="C35" s="695"/>
      <c r="D35" s="539"/>
      <c r="E35" s="540" t="s">
        <v>427</v>
      </c>
      <c r="F35" s="517">
        <f>IF(F21=0,"",IF(F33=0,1,IF(F33&gt;0,0)))</f>
        <v>0</v>
      </c>
      <c r="G35" s="517">
        <f t="shared" ref="G35:AO35" si="7">IF(G21=0,"",IF(G33=0,1,IF(G33&gt;0,0)))</f>
        <v>1</v>
      </c>
      <c r="H35" s="517" t="str">
        <f t="shared" si="7"/>
        <v/>
      </c>
      <c r="I35" s="517" t="str">
        <f t="shared" si="7"/>
        <v/>
      </c>
      <c r="J35" s="517" t="str">
        <f t="shared" si="7"/>
        <v/>
      </c>
      <c r="K35" s="517" t="str">
        <f t="shared" si="7"/>
        <v/>
      </c>
      <c r="L35" s="517" t="str">
        <f t="shared" si="7"/>
        <v/>
      </c>
      <c r="M35" s="517">
        <f t="shared" si="7"/>
        <v>1</v>
      </c>
      <c r="N35" s="517" t="str">
        <f t="shared" si="7"/>
        <v/>
      </c>
      <c r="O35" s="517" t="str">
        <f t="shared" si="7"/>
        <v/>
      </c>
      <c r="P35" s="517">
        <f t="shared" si="7"/>
        <v>1</v>
      </c>
      <c r="Q35" s="517" t="str">
        <f t="shared" si="7"/>
        <v/>
      </c>
      <c r="R35" s="517">
        <f t="shared" si="7"/>
        <v>1</v>
      </c>
      <c r="S35" s="517" t="str">
        <f t="shared" si="7"/>
        <v/>
      </c>
      <c r="T35" s="517" t="str">
        <f t="shared" si="7"/>
        <v/>
      </c>
      <c r="U35" s="517" t="str">
        <f t="shared" si="7"/>
        <v/>
      </c>
      <c r="V35" s="517" t="str">
        <f t="shared" si="7"/>
        <v/>
      </c>
      <c r="W35" s="517" t="str">
        <f t="shared" si="7"/>
        <v/>
      </c>
      <c r="X35" s="517" t="str">
        <f t="shared" si="7"/>
        <v/>
      </c>
      <c r="Y35" s="517">
        <f t="shared" si="7"/>
        <v>1</v>
      </c>
      <c r="Z35" s="517" t="str">
        <f t="shared" si="7"/>
        <v/>
      </c>
      <c r="AA35" s="517" t="str">
        <f t="shared" si="7"/>
        <v/>
      </c>
      <c r="AB35" s="517">
        <f t="shared" si="7"/>
        <v>0</v>
      </c>
      <c r="AC35" s="517">
        <f t="shared" si="7"/>
        <v>0</v>
      </c>
      <c r="AD35" s="517" t="str">
        <f t="shared" si="7"/>
        <v/>
      </c>
      <c r="AE35" s="517" t="str">
        <f t="shared" si="7"/>
        <v/>
      </c>
      <c r="AF35" s="517" t="str">
        <f t="shared" si="7"/>
        <v/>
      </c>
      <c r="AG35" s="517" t="str">
        <f t="shared" si="7"/>
        <v/>
      </c>
      <c r="AH35" s="517" t="str">
        <f t="shared" si="7"/>
        <v/>
      </c>
      <c r="AI35" s="517" t="str">
        <f t="shared" si="7"/>
        <v/>
      </c>
      <c r="AJ35" s="517" t="str">
        <f t="shared" si="7"/>
        <v/>
      </c>
      <c r="AK35" s="517" t="str">
        <f t="shared" si="7"/>
        <v/>
      </c>
      <c r="AL35" s="517" t="str">
        <f t="shared" si="7"/>
        <v/>
      </c>
      <c r="AM35" s="517" t="str">
        <f t="shared" si="7"/>
        <v/>
      </c>
      <c r="AN35" s="517" t="str">
        <f t="shared" si="7"/>
        <v/>
      </c>
      <c r="AO35" s="517" t="str">
        <f t="shared" si="7"/>
        <v/>
      </c>
    </row>
    <row r="36" spans="2:41" s="515" customFormat="1" ht="39.950000000000003" hidden="1" customHeight="1" x14ac:dyDescent="0.2">
      <c r="B36" s="555"/>
      <c r="C36" s="550"/>
      <c r="D36" s="694"/>
      <c r="E36" s="556" t="s">
        <v>50</v>
      </c>
      <c r="F36" s="517">
        <f>IF(F33&gt;=0,SUM(F34:F35))</f>
        <v>1</v>
      </c>
      <c r="G36" s="517">
        <f t="shared" ref="G36:AO36" si="8">IF(G33&gt;=0,SUM(G34:G35))</f>
        <v>1</v>
      </c>
      <c r="H36" s="517">
        <f t="shared" si="8"/>
        <v>0</v>
      </c>
      <c r="I36" s="517">
        <f t="shared" si="8"/>
        <v>0</v>
      </c>
      <c r="J36" s="517">
        <f t="shared" si="8"/>
        <v>0</v>
      </c>
      <c r="K36" s="517">
        <f t="shared" si="8"/>
        <v>0</v>
      </c>
      <c r="L36" s="517">
        <f t="shared" si="8"/>
        <v>0</v>
      </c>
      <c r="M36" s="517">
        <f t="shared" si="8"/>
        <v>1</v>
      </c>
      <c r="N36" s="517">
        <f t="shared" si="8"/>
        <v>0</v>
      </c>
      <c r="O36" s="517">
        <f t="shared" si="8"/>
        <v>0</v>
      </c>
      <c r="P36" s="517">
        <f t="shared" si="8"/>
        <v>1</v>
      </c>
      <c r="Q36" s="517">
        <f t="shared" si="8"/>
        <v>0</v>
      </c>
      <c r="R36" s="517">
        <f t="shared" si="8"/>
        <v>1</v>
      </c>
      <c r="S36" s="517">
        <f t="shared" si="8"/>
        <v>0</v>
      </c>
      <c r="T36" s="517">
        <f t="shared" si="8"/>
        <v>0</v>
      </c>
      <c r="U36" s="517">
        <f t="shared" si="8"/>
        <v>0</v>
      </c>
      <c r="V36" s="517">
        <f t="shared" si="8"/>
        <v>0</v>
      </c>
      <c r="W36" s="517">
        <f t="shared" si="8"/>
        <v>0</v>
      </c>
      <c r="X36" s="517">
        <f t="shared" si="8"/>
        <v>0</v>
      </c>
      <c r="Y36" s="517">
        <f t="shared" si="8"/>
        <v>1</v>
      </c>
      <c r="Z36" s="517">
        <f t="shared" si="8"/>
        <v>0</v>
      </c>
      <c r="AA36" s="517">
        <f t="shared" si="8"/>
        <v>0</v>
      </c>
      <c r="AB36" s="517">
        <f t="shared" si="8"/>
        <v>0</v>
      </c>
      <c r="AC36" s="517">
        <f t="shared" si="8"/>
        <v>0</v>
      </c>
      <c r="AD36" s="517">
        <f t="shared" si="8"/>
        <v>0</v>
      </c>
      <c r="AE36" s="517">
        <f t="shared" si="8"/>
        <v>0</v>
      </c>
      <c r="AF36" s="517">
        <f t="shared" si="8"/>
        <v>0</v>
      </c>
      <c r="AG36" s="517">
        <f t="shared" si="8"/>
        <v>0</v>
      </c>
      <c r="AH36" s="517">
        <f t="shared" si="8"/>
        <v>0</v>
      </c>
      <c r="AI36" s="517">
        <f t="shared" si="8"/>
        <v>0</v>
      </c>
      <c r="AJ36" s="517">
        <f t="shared" si="8"/>
        <v>0</v>
      </c>
      <c r="AK36" s="517">
        <f t="shared" si="8"/>
        <v>0</v>
      </c>
      <c r="AL36" s="517">
        <f t="shared" si="8"/>
        <v>0</v>
      </c>
      <c r="AM36" s="517">
        <f t="shared" si="8"/>
        <v>0</v>
      </c>
      <c r="AN36" s="517">
        <f t="shared" si="8"/>
        <v>0</v>
      </c>
      <c r="AO36" s="517">
        <f t="shared" si="8"/>
        <v>0</v>
      </c>
    </row>
    <row r="37" spans="2:41" ht="123.75" customHeight="1" x14ac:dyDescent="0.2">
      <c r="B37" s="545"/>
      <c r="C37" s="505"/>
      <c r="D37" s="509"/>
      <c r="E37" s="510"/>
      <c r="F37" s="554" t="str">
        <f>IF(F3=0,"",IF(F22="signalering stopt","",IF(F36&lt;2,"observatie + gesprek",IF(F36=2,"vul SiDi-PO in"))))</f>
        <v>observatie + gesprek</v>
      </c>
      <c r="G37" s="554" t="str">
        <f t="shared" ref="G37:AO37" si="9">IF(G3=0,"",IF(G22="signalering stopt","",IF(G36&lt;2,"observatie + gesprek",IF(G36=2,"vul SiDi-PO in"))))</f>
        <v/>
      </c>
      <c r="H37" s="554" t="str">
        <f t="shared" si="9"/>
        <v/>
      </c>
      <c r="I37" s="554" t="str">
        <f t="shared" si="9"/>
        <v/>
      </c>
      <c r="J37" s="554" t="str">
        <f t="shared" si="9"/>
        <v/>
      </c>
      <c r="K37" s="554" t="str">
        <f t="shared" si="9"/>
        <v/>
      </c>
      <c r="L37" s="554" t="str">
        <f t="shared" si="9"/>
        <v/>
      </c>
      <c r="M37" s="554" t="str">
        <f t="shared" si="9"/>
        <v/>
      </c>
      <c r="N37" s="554" t="str">
        <f t="shared" si="9"/>
        <v/>
      </c>
      <c r="O37" s="554" t="str">
        <f t="shared" si="9"/>
        <v/>
      </c>
      <c r="P37" s="554" t="str">
        <f t="shared" si="9"/>
        <v/>
      </c>
      <c r="Q37" s="554" t="str">
        <f t="shared" si="9"/>
        <v/>
      </c>
      <c r="R37" s="554" t="str">
        <f t="shared" si="9"/>
        <v/>
      </c>
      <c r="S37" s="554" t="str">
        <f t="shared" si="9"/>
        <v/>
      </c>
      <c r="T37" s="554" t="str">
        <f t="shared" si="9"/>
        <v/>
      </c>
      <c r="U37" s="554" t="str">
        <f t="shared" si="9"/>
        <v/>
      </c>
      <c r="V37" s="554" t="str">
        <f t="shared" si="9"/>
        <v/>
      </c>
      <c r="W37" s="554" t="str">
        <f t="shared" si="9"/>
        <v/>
      </c>
      <c r="X37" s="554" t="str">
        <f t="shared" si="9"/>
        <v/>
      </c>
      <c r="Y37" s="554" t="str">
        <f t="shared" si="9"/>
        <v/>
      </c>
      <c r="Z37" s="554" t="str">
        <f t="shared" si="9"/>
        <v/>
      </c>
      <c r="AA37" s="554" t="str">
        <f t="shared" si="9"/>
        <v/>
      </c>
      <c r="AB37" s="554" t="str">
        <f t="shared" si="9"/>
        <v>observatie + gesprek</v>
      </c>
      <c r="AC37" s="554" t="str">
        <f t="shared" si="9"/>
        <v>observatie + gesprek</v>
      </c>
      <c r="AD37" s="554" t="str">
        <f t="shared" si="9"/>
        <v/>
      </c>
      <c r="AE37" s="554" t="str">
        <f t="shared" si="9"/>
        <v/>
      </c>
      <c r="AF37" s="554" t="str">
        <f t="shared" si="9"/>
        <v/>
      </c>
      <c r="AG37" s="554" t="str">
        <f t="shared" si="9"/>
        <v/>
      </c>
      <c r="AH37" s="554" t="str">
        <f t="shared" si="9"/>
        <v/>
      </c>
      <c r="AI37" s="554" t="str">
        <f t="shared" si="9"/>
        <v/>
      </c>
      <c r="AJ37" s="554" t="str">
        <f t="shared" si="9"/>
        <v/>
      </c>
      <c r="AK37" s="554" t="str">
        <f t="shared" si="9"/>
        <v/>
      </c>
      <c r="AL37" s="554" t="str">
        <f t="shared" si="9"/>
        <v/>
      </c>
      <c r="AM37" s="554" t="str">
        <f t="shared" si="9"/>
        <v/>
      </c>
      <c r="AN37" s="554" t="str">
        <f t="shared" si="9"/>
        <v/>
      </c>
      <c r="AO37" s="554" t="str">
        <f t="shared" si="9"/>
        <v/>
      </c>
    </row>
    <row r="38" spans="2:41" ht="39.950000000000003" customHeight="1" x14ac:dyDescent="0.2">
      <c r="D38" s="518"/>
      <c r="E38" s="519"/>
    </row>
    <row r="39" spans="2:41" ht="39.950000000000003" customHeight="1" x14ac:dyDescent="0.2">
      <c r="D39" s="518"/>
      <c r="E39" s="519"/>
    </row>
    <row r="40" spans="2:41" ht="39.950000000000003" customHeight="1" x14ac:dyDescent="0.2">
      <c r="D40" s="518"/>
      <c r="E40" s="519"/>
    </row>
    <row r="41" spans="2:41" ht="39.950000000000003" customHeight="1" x14ac:dyDescent="0.2">
      <c r="D41" s="518"/>
      <c r="E41" s="519"/>
    </row>
    <row r="42" spans="2:41" ht="39.950000000000003" customHeight="1" x14ac:dyDescent="0.2">
      <c r="D42" s="518"/>
      <c r="E42" s="519"/>
    </row>
    <row r="43" spans="2:41" ht="39.950000000000003" customHeight="1" x14ac:dyDescent="0.2">
      <c r="D43" s="518"/>
      <c r="E43" s="519"/>
    </row>
    <row r="44" spans="2:41" ht="39.950000000000003" customHeight="1" x14ac:dyDescent="0.2">
      <c r="D44" s="686"/>
      <c r="E44" s="519"/>
    </row>
    <row r="45" spans="2:41" ht="39.950000000000003" customHeight="1" x14ac:dyDescent="0.2">
      <c r="D45" s="686"/>
      <c r="E45" s="519"/>
    </row>
    <row r="46" spans="2:41" ht="39.950000000000003" customHeight="1" x14ac:dyDescent="0.2">
      <c r="D46" s="686"/>
    </row>
  </sheetData>
  <sheetProtection sheet="1" objects="1" scenarios="1"/>
  <mergeCells count="9">
    <mergeCell ref="B23:AO23"/>
    <mergeCell ref="B2:E2"/>
    <mergeCell ref="B4:E5"/>
    <mergeCell ref="B8:C20"/>
    <mergeCell ref="B24:B32"/>
    <mergeCell ref="C24:C26"/>
    <mergeCell ref="C27:C29"/>
    <mergeCell ref="C30:C32"/>
    <mergeCell ref="B7:AO7"/>
  </mergeCells>
  <conditionalFormatting sqref="F37:AO37">
    <cfRule type="cellIs" dxfId="27" priority="8" stopIfTrue="1" operator="equal">
      <formula>"observatie + gesprek"</formula>
    </cfRule>
    <cfRule type="cellIs" dxfId="26" priority="9" stopIfTrue="1" operator="equal">
      <formula>"vul SiDi-PO in"</formula>
    </cfRule>
  </conditionalFormatting>
  <conditionalFormatting sqref="F3:AO3">
    <cfRule type="cellIs" dxfId="25" priority="10" stopIfTrue="1" operator="equal">
      <formula>0</formula>
    </cfRule>
  </conditionalFormatting>
  <conditionalFormatting sqref="AF8:AO19">
    <cfRule type="cellIs" dxfId="24" priority="11" stopIfTrue="1" operator="equal">
      <formula>"x"</formula>
    </cfRule>
    <cfRule type="cellIs" dxfId="23" priority="12" stopIfTrue="1" operator="equal">
      <formula>"?"</formula>
    </cfRule>
  </conditionalFormatting>
  <conditionalFormatting sqref="F33:AO33 F20:AO21">
    <cfRule type="cellIs" dxfId="22" priority="13" stopIfTrue="1" operator="equal">
      <formula>0</formula>
    </cfRule>
    <cfRule type="cellIs" dxfId="21" priority="14" stopIfTrue="1" operator="notEqual">
      <formula>0</formula>
    </cfRule>
  </conditionalFormatting>
  <conditionalFormatting sqref="AD24:AO32 F34:AO36">
    <cfRule type="cellIs" dxfId="20" priority="15" stopIfTrue="1" operator="equal">
      <formula>"x"</formula>
    </cfRule>
  </conditionalFormatting>
  <conditionalFormatting sqref="F22:AO22">
    <cfRule type="cellIs" dxfId="19" priority="17" stopIfTrue="1" operator="equal">
      <formula>"vervolg de vragenlijst"</formula>
    </cfRule>
  </conditionalFormatting>
  <conditionalFormatting sqref="F5:AO5">
    <cfRule type="cellIs" dxfId="18" priority="6" stopIfTrue="1" operator="equal">
      <formula>"signalering stopt"</formula>
    </cfRule>
    <cfRule type="cellIs" dxfId="17" priority="7" stopIfTrue="1" operator="equal">
      <formula>"vraag 1-12"</formula>
    </cfRule>
  </conditionalFormatting>
  <conditionalFormatting sqref="F6:AO6">
    <cfRule type="cellIs" dxfId="16" priority="4" operator="equal">
      <formula>"signalering stopt"</formula>
    </cfRule>
    <cfRule type="cellIs" dxfId="15" priority="5" operator="equal">
      <formula>"vraag 1-12"</formula>
    </cfRule>
  </conditionalFormatting>
  <conditionalFormatting sqref="F8:AE19">
    <cfRule type="cellIs" dxfId="14" priority="2" stopIfTrue="1" operator="equal">
      <formula>"x"</formula>
    </cfRule>
    <cfRule type="cellIs" dxfId="13" priority="3" stopIfTrue="1" operator="equal">
      <formula>"?"</formula>
    </cfRule>
  </conditionalFormatting>
  <conditionalFormatting sqref="F24:AC32">
    <cfRule type="cellIs" dxfId="12" priority="1" stopIfTrue="1" operator="equal">
      <formula>"x"</formula>
    </cfRule>
  </conditionalFormatting>
  <dataValidations count="1">
    <dataValidation type="list" allowBlank="1" showInputMessage="1" showErrorMessage="1" sqref="F4:AO4" xr:uid="{00000000-0002-0000-2E00-000000000000}">
      <formula1>"1,2,3,4,5,"</formula1>
    </dataValidation>
  </dataValidations>
  <pageMargins left="0.66" right="0.45" top="0.43" bottom="0.5" header="0.2" footer="0.25"/>
  <pageSetup paperSize="9" scale="44" orientation="landscape" horizontalDpi="4294967293" r:id="rId1"/>
  <headerFooter alignWithMargins="0">
    <oddHeader>&amp;C&amp;"Verdana,Standaard"&amp;26Jaarlijkse signalering - groep 3-8</oddHeader>
    <oddFooter>&amp;L© Eduforce / Meesterharrie.nl</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F0"/>
    <pageSetUpPr fitToPage="1"/>
  </sheetPr>
  <dimension ref="B3:O50"/>
  <sheetViews>
    <sheetView showGridLines="0" showRowColHeaders="0" zoomScale="50" zoomScaleNormal="50" workbookViewId="0">
      <selection activeCell="I35" sqref="I35"/>
    </sheetView>
  </sheetViews>
  <sheetFormatPr defaultColWidth="9.140625" defaultRowHeight="12.75" x14ac:dyDescent="0.2"/>
  <cols>
    <col min="1" max="2" width="9.140625" style="69"/>
    <col min="3" max="3" width="41.5703125" style="69" customWidth="1"/>
    <col min="4" max="7" width="9.140625" style="69"/>
    <col min="8" max="8" width="9.140625" style="74"/>
    <col min="9" max="9" width="57" style="69" bestFit="1" customWidth="1"/>
    <col min="10" max="10" width="9.140625" style="69" customWidth="1"/>
    <col min="11" max="16384" width="9.140625" style="69"/>
  </cols>
  <sheetData>
    <row r="3" spans="2:15" ht="39.950000000000003" customHeight="1" x14ac:dyDescent="0.2">
      <c r="F3" s="1314">
        <v>2</v>
      </c>
      <c r="G3" s="1314"/>
      <c r="H3" s="1311" t="str">
        <f>VLOOKUP(F3,B7:C42,2)</f>
        <v>leerling 2</v>
      </c>
      <c r="I3" s="1312"/>
      <c r="J3" s="1313"/>
      <c r="K3" s="520"/>
      <c r="L3" s="520"/>
      <c r="M3" s="520"/>
      <c r="N3" s="520"/>
      <c r="O3" s="520"/>
    </row>
    <row r="4" spans="2:15" ht="39.950000000000003" customHeight="1" x14ac:dyDescent="0.2">
      <c r="F4" s="1323" t="s">
        <v>428</v>
      </c>
      <c r="G4" s="1324"/>
      <c r="H4" s="1315" t="str">
        <f>HLOOKUP($F$3,'[3]Jaarlijkse signalering 3-8'!$F$2:$AN$37,4)</f>
        <v>zwak</v>
      </c>
      <c r="I4" s="1315"/>
      <c r="J4" s="1315"/>
      <c r="K4" s="520"/>
      <c r="L4" s="520"/>
      <c r="M4" s="520"/>
      <c r="N4" s="520"/>
      <c r="O4" s="520"/>
    </row>
    <row r="5" spans="2:15" ht="200.1" customHeight="1" x14ac:dyDescent="0.2">
      <c r="F5" s="557"/>
      <c r="G5" s="535"/>
      <c r="H5" s="558"/>
      <c r="I5" s="559"/>
      <c r="J5" s="560"/>
    </row>
    <row r="6" spans="2:15" ht="39.950000000000003" customHeight="1" x14ac:dyDescent="0.2">
      <c r="B6" s="521"/>
      <c r="C6" s="522" t="str">
        <f>'[3] Namenlijst 3-8'!C5</f>
        <v>Namen leerlingen:</v>
      </c>
      <c r="F6" s="1325" t="s">
        <v>429</v>
      </c>
      <c r="G6" s="1326"/>
      <c r="H6" s="1326"/>
      <c r="I6" s="1326"/>
      <c r="J6" s="1327"/>
    </row>
    <row r="7" spans="2:15" ht="39.950000000000003" customHeight="1" x14ac:dyDescent="0.2">
      <c r="B7" s="521">
        <v>1</v>
      </c>
      <c r="C7" s="523" t="str">
        <f>BEGINBLAD!C4</f>
        <v>leelring 1</v>
      </c>
      <c r="F7" s="1328" t="s">
        <v>397</v>
      </c>
      <c r="G7" s="1329"/>
      <c r="H7" s="524">
        <v>1</v>
      </c>
      <c r="I7" s="525" t="s">
        <v>398</v>
      </c>
      <c r="J7" s="561">
        <f>HLOOKUP($F$3,'SIGNALERING HB'!$F$2:$AN$37,7)</f>
        <v>0</v>
      </c>
    </row>
    <row r="8" spans="2:15" ht="39.950000000000003" customHeight="1" x14ac:dyDescent="0.2">
      <c r="B8" s="521">
        <v>2</v>
      </c>
      <c r="C8" s="523" t="str">
        <f>BEGINBLAD!C5</f>
        <v>leerling 2</v>
      </c>
      <c r="F8" s="1330"/>
      <c r="G8" s="1331"/>
      <c r="H8" s="524">
        <v>2</v>
      </c>
      <c r="I8" s="525" t="s">
        <v>399</v>
      </c>
      <c r="J8" s="561">
        <f>HLOOKUP($F$3,'SIGNALERING HB'!$F$2:$AN$37,8)</f>
        <v>0</v>
      </c>
    </row>
    <row r="9" spans="2:15" ht="39.950000000000003" customHeight="1" x14ac:dyDescent="0.2">
      <c r="B9" s="521">
        <v>3</v>
      </c>
      <c r="C9" s="523" t="str">
        <f>BEGINBLAD!C6</f>
        <v>leerling 3</v>
      </c>
      <c r="F9" s="1330"/>
      <c r="G9" s="1331"/>
      <c r="H9" s="524">
        <v>3</v>
      </c>
      <c r="I9" s="526" t="s">
        <v>400</v>
      </c>
      <c r="J9" s="561">
        <f>HLOOKUP($F$3,'SIGNALERING HB'!$F$2:$AN$37,9)</f>
        <v>0</v>
      </c>
    </row>
    <row r="10" spans="2:15" ht="39.950000000000003" customHeight="1" x14ac:dyDescent="0.2">
      <c r="B10" s="521">
        <v>4</v>
      </c>
      <c r="C10" s="523" t="str">
        <f>BEGINBLAD!C7</f>
        <v>leerling 4</v>
      </c>
      <c r="F10" s="1330"/>
      <c r="G10" s="1331"/>
      <c r="H10" s="524">
        <v>4</v>
      </c>
      <c r="I10" s="525" t="s">
        <v>401</v>
      </c>
      <c r="J10" s="561" t="str">
        <f>HLOOKUP($F$3,'SIGNALERING HB'!$F$2:$AN$37,10)</f>
        <v>x</v>
      </c>
    </row>
    <row r="11" spans="2:15" ht="39.950000000000003" customHeight="1" x14ac:dyDescent="0.2">
      <c r="B11" s="521">
        <v>5</v>
      </c>
      <c r="C11" s="523" t="str">
        <f>BEGINBLAD!C8</f>
        <v>leerling 5</v>
      </c>
      <c r="F11" s="1330"/>
      <c r="G11" s="1331"/>
      <c r="H11" s="524">
        <v>5</v>
      </c>
      <c r="I11" s="525" t="s">
        <v>402</v>
      </c>
      <c r="J11" s="561">
        <f>HLOOKUP($F$3,'SIGNALERING HB'!$F$2:$AN$37,11)</f>
        <v>0</v>
      </c>
    </row>
    <row r="12" spans="2:15" ht="39.950000000000003" customHeight="1" x14ac:dyDescent="0.2">
      <c r="B12" s="521">
        <v>6</v>
      </c>
      <c r="C12" s="523" t="str">
        <f>BEGINBLAD!C9</f>
        <v>leerling 6</v>
      </c>
      <c r="F12" s="1330"/>
      <c r="G12" s="1331"/>
      <c r="H12" s="524">
        <v>6</v>
      </c>
      <c r="I12" s="525" t="s">
        <v>403</v>
      </c>
      <c r="J12" s="561" t="str">
        <f>HLOOKUP($F$3,'SIGNALERING HB'!$F$2:$AN$37,12)</f>
        <v>x</v>
      </c>
    </row>
    <row r="13" spans="2:15" ht="39.950000000000003" customHeight="1" x14ac:dyDescent="0.2">
      <c r="B13" s="521">
        <v>7</v>
      </c>
      <c r="C13" s="523" t="str">
        <f>BEGINBLAD!C10</f>
        <v>leerling 7</v>
      </c>
      <c r="F13" s="1330"/>
      <c r="G13" s="1331"/>
      <c r="H13" s="524">
        <v>7</v>
      </c>
      <c r="I13" s="525" t="s">
        <v>404</v>
      </c>
      <c r="J13" s="561" t="str">
        <f>HLOOKUP($F$3,'SIGNALERING HB'!$F$2:$AN$37,13)</f>
        <v>x</v>
      </c>
    </row>
    <row r="14" spans="2:15" ht="39.950000000000003" customHeight="1" x14ac:dyDescent="0.2">
      <c r="B14" s="521">
        <v>8</v>
      </c>
      <c r="C14" s="523" t="str">
        <f>BEGINBLAD!C11</f>
        <v>leerling 8</v>
      </c>
      <c r="F14" s="1330"/>
      <c r="G14" s="1331"/>
      <c r="H14" s="524">
        <v>8</v>
      </c>
      <c r="I14" s="526" t="s">
        <v>405</v>
      </c>
      <c r="J14" s="561">
        <f>HLOOKUP($F$3,'SIGNALERING HB'!$F$2:$AN$37,14)</f>
        <v>0</v>
      </c>
    </row>
    <row r="15" spans="2:15" ht="39.950000000000003" customHeight="1" x14ac:dyDescent="0.2">
      <c r="B15" s="521">
        <v>9</v>
      </c>
      <c r="C15" s="523" t="str">
        <f>BEGINBLAD!C12</f>
        <v>leerling 9</v>
      </c>
      <c r="F15" s="1330"/>
      <c r="G15" s="1331"/>
      <c r="H15" s="524">
        <v>9</v>
      </c>
      <c r="I15" s="525" t="s">
        <v>406</v>
      </c>
      <c r="J15" s="561">
        <f>HLOOKUP($F$3,'SIGNALERING HB'!$F$2:$AN$37,15)</f>
        <v>0</v>
      </c>
    </row>
    <row r="16" spans="2:15" ht="39.950000000000003" customHeight="1" x14ac:dyDescent="0.2">
      <c r="B16" s="521">
        <v>10</v>
      </c>
      <c r="C16" s="523" t="str">
        <f>BEGINBLAD!C13</f>
        <v>leerling 10</v>
      </c>
      <c r="F16" s="1330"/>
      <c r="G16" s="1331"/>
      <c r="H16" s="524">
        <v>10</v>
      </c>
      <c r="I16" s="525" t="s">
        <v>407</v>
      </c>
      <c r="J16" s="561">
        <f>HLOOKUP($F$3,'SIGNALERING HB'!$F$2:$AN$37,16)</f>
        <v>0</v>
      </c>
    </row>
    <row r="17" spans="2:10" ht="39.950000000000003" customHeight="1" x14ac:dyDescent="0.2">
      <c r="B17" s="521">
        <v>11</v>
      </c>
      <c r="C17" s="523" t="str">
        <f>BEGINBLAD!C14</f>
        <v>leerling 11</v>
      </c>
      <c r="F17" s="1330"/>
      <c r="G17" s="1331"/>
      <c r="H17" s="524">
        <v>11</v>
      </c>
      <c r="I17" s="525" t="s">
        <v>408</v>
      </c>
      <c r="J17" s="561">
        <f>HLOOKUP($F$3,'SIGNALERING HB'!$F$2:$AN$37,17)</f>
        <v>0</v>
      </c>
    </row>
    <row r="18" spans="2:10" ht="39.950000000000003" customHeight="1" x14ac:dyDescent="0.2">
      <c r="B18" s="521">
        <v>12</v>
      </c>
      <c r="C18" s="523" t="str">
        <f>BEGINBLAD!C15</f>
        <v>leerling 12</v>
      </c>
      <c r="F18" s="1330"/>
      <c r="G18" s="1331"/>
      <c r="H18" s="524">
        <v>12</v>
      </c>
      <c r="I18" s="525" t="s">
        <v>409</v>
      </c>
      <c r="J18" s="561" t="str">
        <f>HLOOKUP($F$3,'SIGNALERING HB'!$F$2:$AN$37,18)</f>
        <v>x</v>
      </c>
    </row>
    <row r="19" spans="2:10" ht="39.950000000000003" customHeight="1" x14ac:dyDescent="0.2">
      <c r="B19" s="521">
        <v>13</v>
      </c>
      <c r="C19" s="523" t="str">
        <f>BEGINBLAD!C16</f>
        <v>leerling 13</v>
      </c>
      <c r="F19" s="1332"/>
      <c r="G19" s="1333"/>
      <c r="H19" s="524"/>
      <c r="I19" s="527" t="s">
        <v>410</v>
      </c>
      <c r="J19" s="562">
        <f>HLOOKUP($F$3,'SIGNALERING HB'!$F$2:$AN$37,19)</f>
        <v>4</v>
      </c>
    </row>
    <row r="20" spans="2:10" ht="200.1" customHeight="1" thickBot="1" x14ac:dyDescent="0.25">
      <c r="B20" s="521">
        <v>14</v>
      </c>
      <c r="C20" s="523" t="str">
        <f>BEGINBLAD!C17</f>
        <v>leerling 14</v>
      </c>
      <c r="F20" s="563"/>
      <c r="G20" s="528"/>
      <c r="H20" s="690"/>
      <c r="I20" s="241"/>
      <c r="J20" s="564" t="str">
        <f>HLOOKUP($F$3,'SIGNALERING HB'!$F$2:$AN$37,21)</f>
        <v>signalering stopt</v>
      </c>
    </row>
    <row r="21" spans="2:10" ht="39.950000000000003" customHeight="1" x14ac:dyDescent="0.2">
      <c r="B21" s="521">
        <v>15</v>
      </c>
      <c r="C21" s="523" t="str">
        <f>BEGINBLAD!C18</f>
        <v>leerling 15</v>
      </c>
      <c r="F21" s="1334" t="s">
        <v>411</v>
      </c>
      <c r="G21" s="1335"/>
      <c r="H21" s="1335"/>
      <c r="I21" s="1335"/>
      <c r="J21" s="1336"/>
    </row>
    <row r="22" spans="2:10" ht="39.950000000000003" customHeight="1" x14ac:dyDescent="0.2">
      <c r="B22" s="521">
        <v>16</v>
      </c>
      <c r="C22" s="523" t="str">
        <f>BEGINBLAD!C19</f>
        <v>leerling 16</v>
      </c>
      <c r="F22" s="1316" t="s">
        <v>412</v>
      </c>
      <c r="G22" s="1319" t="s">
        <v>413</v>
      </c>
      <c r="H22" s="529">
        <v>1</v>
      </c>
      <c r="I22" s="530" t="s">
        <v>430</v>
      </c>
      <c r="J22" s="561">
        <f>HLOOKUP($F$3,'SIGNALERING HB'!$F$2:$AN$37,23)</f>
        <v>0</v>
      </c>
    </row>
    <row r="23" spans="2:10" s="531" customFormat="1" ht="39.950000000000003" customHeight="1" x14ac:dyDescent="0.25">
      <c r="B23" s="521">
        <v>17</v>
      </c>
      <c r="C23" s="523" t="str">
        <f>BEGINBLAD!C20</f>
        <v>leerling 17</v>
      </c>
      <c r="F23" s="1317"/>
      <c r="G23" s="1320"/>
      <c r="H23" s="532">
        <v>2</v>
      </c>
      <c r="I23" s="533" t="s">
        <v>415</v>
      </c>
      <c r="J23" s="561">
        <f>HLOOKUP($F$3,'SIGNALERING HB'!$F$2:$AN$37,24)</f>
        <v>0</v>
      </c>
    </row>
    <row r="24" spans="2:10" s="531" customFormat="1" ht="39.950000000000003" customHeight="1" x14ac:dyDescent="0.25">
      <c r="B24" s="521">
        <v>18</v>
      </c>
      <c r="C24" s="523" t="str">
        <f>BEGINBLAD!C21</f>
        <v>leerling 18</v>
      </c>
      <c r="F24" s="1317"/>
      <c r="G24" s="1321"/>
      <c r="H24" s="532">
        <v>3</v>
      </c>
      <c r="I24" s="533" t="s">
        <v>431</v>
      </c>
      <c r="J24" s="561">
        <f>HLOOKUP($F$3,'SIGNALERING HB'!$F$2:$AN$37,25)</f>
        <v>0</v>
      </c>
    </row>
    <row r="25" spans="2:10" s="531" customFormat="1" ht="39.950000000000003" customHeight="1" x14ac:dyDescent="0.25">
      <c r="B25" s="521">
        <v>19</v>
      </c>
      <c r="C25" s="523" t="str">
        <f>BEGINBLAD!C22</f>
        <v>leerling 19</v>
      </c>
      <c r="F25" s="1317"/>
      <c r="G25" s="1322" t="s">
        <v>417</v>
      </c>
      <c r="H25" s="532">
        <v>4</v>
      </c>
      <c r="I25" s="534" t="s">
        <v>418</v>
      </c>
      <c r="J25" s="561">
        <f>HLOOKUP($F$3,'SIGNALERING HB'!$F$2:$AN$37,26)</f>
        <v>0</v>
      </c>
    </row>
    <row r="26" spans="2:10" s="531" customFormat="1" ht="39.950000000000003" customHeight="1" x14ac:dyDescent="0.25">
      <c r="B26" s="521">
        <v>20</v>
      </c>
      <c r="C26" s="523" t="str">
        <f>BEGINBLAD!C23</f>
        <v>leerling 20</v>
      </c>
      <c r="F26" s="1317"/>
      <c r="G26" s="1320"/>
      <c r="H26" s="532">
        <v>5</v>
      </c>
      <c r="I26" s="534" t="s">
        <v>432</v>
      </c>
      <c r="J26" s="561">
        <f>HLOOKUP($F$3,'SIGNALERING HB'!$F$2:$AN$37,27)</f>
        <v>0</v>
      </c>
    </row>
    <row r="27" spans="2:10" s="531" customFormat="1" ht="39.950000000000003" customHeight="1" x14ac:dyDescent="0.25">
      <c r="B27" s="521">
        <v>21</v>
      </c>
      <c r="C27" s="523" t="str">
        <f>BEGINBLAD!C24</f>
        <v>leerling 21</v>
      </c>
      <c r="F27" s="1317"/>
      <c r="G27" s="1321"/>
      <c r="H27" s="532">
        <v>6</v>
      </c>
      <c r="I27" s="533" t="s">
        <v>433</v>
      </c>
      <c r="J27" s="561">
        <f>HLOOKUP($F$3,'SIGNALERING HB'!$F$2:$AN$37,28)</f>
        <v>0</v>
      </c>
    </row>
    <row r="28" spans="2:10" s="531" customFormat="1" ht="39.950000000000003" customHeight="1" x14ac:dyDescent="0.25">
      <c r="B28" s="521">
        <v>22</v>
      </c>
      <c r="C28" s="523" t="str">
        <f>BEGINBLAD!C25</f>
        <v>leerling 22</v>
      </c>
      <c r="F28" s="1317"/>
      <c r="G28" s="1322" t="s">
        <v>421</v>
      </c>
      <c r="H28" s="532">
        <v>7</v>
      </c>
      <c r="I28" s="533" t="s">
        <v>434</v>
      </c>
      <c r="J28" s="561">
        <f>HLOOKUP($F$3,'SIGNALERING HB'!$F$2:$AN$37,29)</f>
        <v>0</v>
      </c>
    </row>
    <row r="29" spans="2:10" s="531" customFormat="1" ht="39.950000000000003" customHeight="1" x14ac:dyDescent="0.25">
      <c r="B29" s="521">
        <v>23</v>
      </c>
      <c r="C29" s="523" t="str">
        <f>BEGINBLAD!C26</f>
        <v>leerling 23</v>
      </c>
      <c r="F29" s="1317"/>
      <c r="G29" s="1320"/>
      <c r="H29" s="532">
        <v>8</v>
      </c>
      <c r="I29" s="533" t="s">
        <v>423</v>
      </c>
      <c r="J29" s="561">
        <f>HLOOKUP($F$3,'SIGNALERING HB'!$F$2:$AN$37,30)</f>
        <v>0</v>
      </c>
    </row>
    <row r="30" spans="2:10" s="531" customFormat="1" ht="39.950000000000003" customHeight="1" x14ac:dyDescent="0.25">
      <c r="B30" s="521">
        <v>24</v>
      </c>
      <c r="C30" s="523" t="str">
        <f>BEGINBLAD!C27</f>
        <v>leerling 24</v>
      </c>
      <c r="F30" s="1318"/>
      <c r="G30" s="1321"/>
      <c r="H30" s="532">
        <v>9</v>
      </c>
      <c r="I30" s="534" t="s">
        <v>424</v>
      </c>
      <c r="J30" s="561">
        <f>HLOOKUP($F$3,'SIGNALERING HB'!$F$2:$AN$37,31)</f>
        <v>0</v>
      </c>
    </row>
    <row r="31" spans="2:10" s="531" customFormat="1" ht="39.950000000000003" customHeight="1" x14ac:dyDescent="0.25">
      <c r="B31" s="521">
        <v>25</v>
      </c>
      <c r="C31" s="523" t="str">
        <f>BEGINBLAD!C28</f>
        <v>leerling 25</v>
      </c>
      <c r="F31" s="557"/>
      <c r="G31" s="535"/>
      <c r="H31" s="524"/>
      <c r="I31" s="527" t="s">
        <v>425</v>
      </c>
      <c r="J31" s="562">
        <f>HLOOKUP($F$3,'SIGNALERING HB'!$F$2:$AN$37,32)</f>
        <v>0</v>
      </c>
    </row>
    <row r="32" spans="2:10" ht="200.1" customHeight="1" x14ac:dyDescent="0.2">
      <c r="B32" s="521">
        <v>26</v>
      </c>
      <c r="C32" s="523" t="str">
        <f>BEGINBLAD!C29</f>
        <v>leerling 26</v>
      </c>
      <c r="F32" s="557"/>
      <c r="G32" s="535"/>
      <c r="H32" s="524"/>
      <c r="I32" s="525"/>
      <c r="J32" s="565" t="str">
        <f>HLOOKUP($F$3,'SIGNALERING HB'!$F$2:$AN$37,36)</f>
        <v/>
      </c>
    </row>
    <row r="33" spans="2:9" ht="39.950000000000003" customHeight="1" x14ac:dyDescent="0.2">
      <c r="B33" s="521">
        <v>27</v>
      </c>
      <c r="C33" s="523">
        <f>BEGINBLAD!C30</f>
        <v>0</v>
      </c>
      <c r="H33" s="536"/>
      <c r="I33" s="537"/>
    </row>
    <row r="34" spans="2:9" ht="39.950000000000003" customHeight="1" x14ac:dyDescent="0.2">
      <c r="B34" s="521">
        <v>28</v>
      </c>
      <c r="C34" s="523">
        <f>BEGINBLAD!C31</f>
        <v>0</v>
      </c>
      <c r="H34" s="536"/>
      <c r="I34" s="537"/>
    </row>
    <row r="35" spans="2:9" ht="39.950000000000003" customHeight="1" x14ac:dyDescent="0.2">
      <c r="B35" s="521">
        <v>29</v>
      </c>
      <c r="C35" s="523">
        <f>BEGINBLAD!C32</f>
        <v>0</v>
      </c>
      <c r="H35" s="536"/>
      <c r="I35" s="537"/>
    </row>
    <row r="36" spans="2:9" ht="39.950000000000003" customHeight="1" x14ac:dyDescent="0.2">
      <c r="B36" s="521">
        <v>30</v>
      </c>
      <c r="C36" s="523">
        <f>BEGINBLAD!C33</f>
        <v>0</v>
      </c>
      <c r="H36" s="536"/>
      <c r="I36" s="537"/>
    </row>
    <row r="37" spans="2:9" ht="39.950000000000003" customHeight="1" x14ac:dyDescent="0.2">
      <c r="B37" s="521">
        <v>31</v>
      </c>
      <c r="C37" s="523">
        <f>BEGINBLAD!C34</f>
        <v>0</v>
      </c>
      <c r="H37" s="536"/>
      <c r="I37" s="537"/>
    </row>
    <row r="38" spans="2:9" ht="39.950000000000003" customHeight="1" x14ac:dyDescent="0.2">
      <c r="B38" s="521">
        <v>32</v>
      </c>
      <c r="C38" s="523">
        <f>BEGINBLAD!C35</f>
        <v>0</v>
      </c>
      <c r="H38" s="536"/>
      <c r="I38" s="537"/>
    </row>
    <row r="39" spans="2:9" ht="39.950000000000003" customHeight="1" x14ac:dyDescent="0.2">
      <c r="B39" s="521">
        <v>33</v>
      </c>
      <c r="C39" s="523">
        <f>BEGINBLAD!C36</f>
        <v>0</v>
      </c>
      <c r="I39" s="537"/>
    </row>
    <row r="40" spans="2:9" ht="39.950000000000003" customHeight="1" x14ac:dyDescent="0.2">
      <c r="B40" s="521">
        <v>34</v>
      </c>
      <c r="C40" s="523">
        <f>BEGINBLAD!C37</f>
        <v>0</v>
      </c>
      <c r="I40" s="537"/>
    </row>
    <row r="41" spans="2:9" ht="39.950000000000003" customHeight="1" x14ac:dyDescent="0.2">
      <c r="B41" s="521">
        <v>35</v>
      </c>
      <c r="C41" s="523">
        <f>BEGINBLAD!C38</f>
        <v>0</v>
      </c>
    </row>
    <row r="42" spans="2:9" ht="39.950000000000003" customHeight="1" x14ac:dyDescent="0.2">
      <c r="B42" s="521">
        <v>36</v>
      </c>
      <c r="C42" s="523">
        <f>BEGINBLAD!C39</f>
        <v>0</v>
      </c>
    </row>
    <row r="43" spans="2:9" ht="39.950000000000003" customHeight="1" x14ac:dyDescent="0.2">
      <c r="B43" s="690"/>
    </row>
    <row r="44" spans="2:9" ht="39.950000000000003" customHeight="1" x14ac:dyDescent="0.2"/>
    <row r="45" spans="2:9" ht="39.950000000000003" customHeight="1" x14ac:dyDescent="0.2"/>
    <row r="46" spans="2:9" ht="39.950000000000003" customHeight="1" x14ac:dyDescent="0.2"/>
    <row r="47" spans="2:9" ht="39.950000000000003" customHeight="1" x14ac:dyDescent="0.2"/>
    <row r="48" spans="2:9" ht="39.950000000000003" customHeight="1" x14ac:dyDescent="0.2"/>
    <row r="49" ht="39.950000000000003" customHeight="1" x14ac:dyDescent="0.2"/>
    <row r="50" ht="39.950000000000003" customHeight="1" x14ac:dyDescent="0.2"/>
  </sheetData>
  <sheetProtection algorithmName="SHA-512" hashValue="kbipLA3Gs4u+rYQDfbBhjG1ETODdw8FepWL9tNeQY5Wl+M9gfiHVlGNwAShhQprjzpkTPgq5hGg+qgAuOPJvdg==" saltValue="uyYP6VLFY+571T8GvuHpfw==" spinCount="100000" sheet="1" objects="1" scenarios="1"/>
  <mergeCells count="11">
    <mergeCell ref="H3:J3"/>
    <mergeCell ref="F3:G3"/>
    <mergeCell ref="H4:J4"/>
    <mergeCell ref="F22:F30"/>
    <mergeCell ref="G22:G24"/>
    <mergeCell ref="G25:G27"/>
    <mergeCell ref="G28:G30"/>
    <mergeCell ref="F4:G4"/>
    <mergeCell ref="F6:J6"/>
    <mergeCell ref="F7:G19"/>
    <mergeCell ref="F21:J21"/>
  </mergeCells>
  <conditionalFormatting sqref="C7:C42">
    <cfRule type="cellIs" dxfId="11" priority="3" stopIfTrue="1" operator="equal">
      <formula>0</formula>
    </cfRule>
  </conditionalFormatting>
  <conditionalFormatting sqref="J31 J19">
    <cfRule type="cellIs" dxfId="10" priority="4" stopIfTrue="1" operator="equal">
      <formula>"x"</formula>
    </cfRule>
    <cfRule type="cellIs" dxfId="9" priority="5" stopIfTrue="1" operator="equal">
      <formula>"?"</formula>
    </cfRule>
  </conditionalFormatting>
  <conditionalFormatting sqref="J32">
    <cfRule type="cellIs" dxfId="8" priority="9" stopIfTrue="1" operator="equal">
      <formula>"vul SiDi-PO in"</formula>
    </cfRule>
    <cfRule type="cellIs" dxfId="7" priority="10" stopIfTrue="1" operator="equal">
      <formula>"observatie + gesprek"</formula>
    </cfRule>
  </conditionalFormatting>
  <conditionalFormatting sqref="J5 H4 J7:J18">
    <cfRule type="cellIs" dxfId="6" priority="11" stopIfTrue="1" operator="equal">
      <formula>"x"</formula>
    </cfRule>
    <cfRule type="cellIs" dxfId="5" priority="12" stopIfTrue="1" operator="equal">
      <formula>"?"</formula>
    </cfRule>
    <cfRule type="cellIs" dxfId="4" priority="13" stopIfTrue="1" operator="equal">
      <formula>0</formula>
    </cfRule>
  </conditionalFormatting>
  <conditionalFormatting sqref="J22:J30">
    <cfRule type="cellIs" dxfId="3" priority="14" stopIfTrue="1" operator="equal">
      <formula>"x"</formula>
    </cfRule>
    <cfRule type="cellIs" dxfId="2" priority="15" stopIfTrue="1" operator="equal">
      <formula>0</formula>
    </cfRule>
  </conditionalFormatting>
  <conditionalFormatting sqref="J20">
    <cfRule type="cellIs" dxfId="1" priority="1" stopIfTrue="1" operator="equal">
      <formula>"vervolg de vragenlijst"</formula>
    </cfRule>
  </conditionalFormatting>
  <pageMargins left="2.38" right="0.45" top="0.75" bottom="0.28000000000000003" header="0.2" footer="0.19"/>
  <pageSetup paperSize="9" scale="47" orientation="portrait" horizontalDpi="4294967293" r:id="rId1"/>
  <headerFooter alignWithMargins="0">
    <oddHeader>&amp;C&amp;"Verdana,Standaard"&amp;26Individueel overzicht
Jaarlijkse signalering - groep 3-8</oddHeader>
    <oddFooter>&amp;L© Eduforce / Meesterharrie.nl</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CCFFFF"/>
  </sheetPr>
  <dimension ref="B3:D33"/>
  <sheetViews>
    <sheetView showGridLines="0" showRowColHeaders="0" zoomScaleNormal="100" workbookViewId="0"/>
  </sheetViews>
  <sheetFormatPr defaultColWidth="4.85546875" defaultRowHeight="12.75" x14ac:dyDescent="0.2"/>
  <cols>
    <col min="1" max="1" width="4.85546875" style="313" customWidth="1"/>
    <col min="2" max="2" width="45.85546875" style="313" customWidth="1"/>
    <col min="3" max="3" width="23.85546875" style="313" customWidth="1"/>
    <col min="4" max="4" width="22.85546875" style="313" customWidth="1"/>
    <col min="5" max="16384" width="4.85546875" style="313"/>
  </cols>
  <sheetData>
    <row r="3" spans="2:4" ht="18" x14ac:dyDescent="0.2">
      <c r="C3" s="314"/>
      <c r="D3" s="315"/>
    </row>
    <row r="4" spans="2:4" ht="15.75" x14ac:dyDescent="0.2">
      <c r="B4" s="316"/>
    </row>
    <row r="5" spans="2:4" ht="18" x14ac:dyDescent="0.2">
      <c r="B5" s="317" t="s">
        <v>435</v>
      </c>
      <c r="C5" s="1343"/>
      <c r="D5" s="1343"/>
    </row>
    <row r="6" spans="2:4" ht="19.5" x14ac:dyDescent="0.2">
      <c r="B6" s="318"/>
    </row>
    <row r="7" spans="2:4" ht="52.5" customHeight="1" x14ac:dyDescent="0.2">
      <c r="B7" s="1342" t="s">
        <v>436</v>
      </c>
      <c r="C7" s="1342"/>
      <c r="D7" s="1342"/>
    </row>
    <row r="8" spans="2:4" ht="37.5" customHeight="1" x14ac:dyDescent="0.2">
      <c r="B8" s="1342" t="s">
        <v>437</v>
      </c>
      <c r="C8" s="1342"/>
      <c r="D8" s="1342"/>
    </row>
    <row r="9" spans="2:4" ht="16.5" x14ac:dyDescent="0.2">
      <c r="B9" s="319"/>
    </row>
    <row r="10" spans="2:4" ht="88.5" customHeight="1" x14ac:dyDescent="0.2">
      <c r="B10" s="1342" t="s">
        <v>438</v>
      </c>
      <c r="C10" s="1342"/>
      <c r="D10" s="1342"/>
    </row>
    <row r="11" spans="2:4" ht="16.5" x14ac:dyDescent="0.2">
      <c r="B11" s="319"/>
    </row>
    <row r="12" spans="2:4" ht="75" customHeight="1" x14ac:dyDescent="0.2">
      <c r="B12" s="1344" t="s">
        <v>439</v>
      </c>
      <c r="C12" s="1344"/>
      <c r="D12" s="1344"/>
    </row>
    <row r="13" spans="2:4" ht="16.5" x14ac:dyDescent="0.2">
      <c r="B13" s="320"/>
    </row>
    <row r="14" spans="2:4" ht="16.5" customHeight="1" x14ac:dyDescent="0.2">
      <c r="B14" s="1342" t="s">
        <v>440</v>
      </c>
      <c r="C14" s="1342"/>
      <c r="D14" s="1342"/>
    </row>
    <row r="15" spans="2:4" ht="18" x14ac:dyDescent="0.2">
      <c r="B15" s="1340"/>
      <c r="C15" s="1340"/>
      <c r="D15" s="1340"/>
    </row>
    <row r="16" spans="2:4" ht="18" x14ac:dyDescent="0.2">
      <c r="B16" s="319" t="s">
        <v>441</v>
      </c>
      <c r="C16" s="1341"/>
      <c r="D16" s="1341"/>
    </row>
    <row r="17" spans="2:4" ht="16.5" x14ac:dyDescent="0.2">
      <c r="B17" s="319"/>
    </row>
    <row r="18" spans="2:4" ht="36" customHeight="1" x14ac:dyDescent="0.2">
      <c r="B18" s="1342" t="s">
        <v>442</v>
      </c>
      <c r="C18" s="1342"/>
      <c r="D18" s="1342"/>
    </row>
    <row r="19" spans="2:4" ht="16.5" x14ac:dyDescent="0.2">
      <c r="B19" s="319"/>
    </row>
    <row r="20" spans="2:4" ht="33.75" customHeight="1" x14ac:dyDescent="0.2">
      <c r="B20" s="1342" t="s">
        <v>443</v>
      </c>
      <c r="C20" s="1342"/>
      <c r="D20" s="1342"/>
    </row>
    <row r="21" spans="2:4" ht="34.5" customHeight="1" x14ac:dyDescent="0.2">
      <c r="B21" s="1342" t="s">
        <v>444</v>
      </c>
      <c r="C21" s="1342"/>
      <c r="D21" s="1342"/>
    </row>
    <row r="22" spans="2:4" ht="19.5" customHeight="1" x14ac:dyDescent="0.2">
      <c r="B22" s="1342" t="s">
        <v>445</v>
      </c>
      <c r="C22" s="1342"/>
      <c r="D22" s="1342"/>
    </row>
    <row r="23" spans="2:4" ht="16.5" x14ac:dyDescent="0.2">
      <c r="B23" s="319"/>
    </row>
    <row r="24" spans="2:4" ht="16.5" x14ac:dyDescent="0.2">
      <c r="B24" s="319"/>
    </row>
    <row r="25" spans="2:4" ht="16.5" x14ac:dyDescent="0.2">
      <c r="B25" s="319" t="s">
        <v>446</v>
      </c>
    </row>
    <row r="26" spans="2:4" ht="16.5" x14ac:dyDescent="0.2">
      <c r="B26" s="319" t="s">
        <v>447</v>
      </c>
    </row>
    <row r="27" spans="2:4" ht="15" x14ac:dyDescent="0.2">
      <c r="B27" s="321"/>
    </row>
    <row r="28" spans="2:4" ht="15" customHeight="1" x14ac:dyDescent="0.2">
      <c r="B28" s="1337"/>
      <c r="C28" s="1338"/>
      <c r="D28" s="1339"/>
    </row>
    <row r="29" spans="2:4" ht="15" customHeight="1" x14ac:dyDescent="0.2">
      <c r="B29" s="1337"/>
      <c r="C29" s="1338"/>
      <c r="D29" s="1339"/>
    </row>
    <row r="30" spans="2:4" ht="15" customHeight="1" x14ac:dyDescent="0.2"/>
    <row r="31" spans="2:4" ht="15" customHeight="1" x14ac:dyDescent="0.2"/>
    <row r="32" spans="2:4" ht="15" customHeight="1" x14ac:dyDescent="0.2"/>
    <row r="33" ht="15" customHeight="1" x14ac:dyDescent="0.2"/>
  </sheetData>
  <sheetProtection algorithmName="SHA-512" hashValue="ctPNKOG8IbLcXi/+yEsg6qsfAJEuJkivkCwKS8VrO38FHakJJXJEvqDWjJfvlttTiZzv/vcuvvOyXYSPKJYBFQ==" saltValue="TuwVTjHFmYJCoB7v54yiaA==" spinCount="100000" sheet="1" objects="1" scenarios="1"/>
  <mergeCells count="14">
    <mergeCell ref="B14:D14"/>
    <mergeCell ref="C5:D5"/>
    <mergeCell ref="B7:D7"/>
    <mergeCell ref="B8:D8"/>
    <mergeCell ref="B10:D10"/>
    <mergeCell ref="B12:D12"/>
    <mergeCell ref="B28:D28"/>
    <mergeCell ref="B29:D29"/>
    <mergeCell ref="B15:D15"/>
    <mergeCell ref="C16:D16"/>
    <mergeCell ref="B18:D18"/>
    <mergeCell ref="B20:D20"/>
    <mergeCell ref="B21:D21"/>
    <mergeCell ref="B22:D22"/>
  </mergeCells>
  <conditionalFormatting sqref="C3:D3 C16:D16 B28:D29 C5:D5 B15:D15">
    <cfRule type="cellIs" dxfId="0" priority="1" stopIfTrue="1" operator="equal">
      <formula>""</formula>
    </cfRule>
  </conditionalFormatting>
  <dataValidations count="8">
    <dataValidation allowBlank="1" showInputMessage="1" showErrorMessage="1" promptTitle="Extra zorg voor:" prompt="Geef aan waarvoor_x000a_extra begeleiding_x000a_wordt gegeven" sqref="B15:D15" xr:uid="{00000000-0002-0000-3000-000000000000}"/>
    <dataValidation allowBlank="1" showInputMessage="1" showErrorMessage="1" promptTitle="Leerkracht / groep / ...." prompt="Plaats voor andere gegevens" sqref="B29:D29" xr:uid="{00000000-0002-0000-3000-000001000000}"/>
    <dataValidation allowBlank="1" showInputMessage="1" showErrorMessage="1" promptTitle="Naam:" prompt="Noteer de_x000a_naam van_x000a_de leerling" sqref="C5:D5" xr:uid="{00000000-0002-0000-3000-000002000000}"/>
    <dataValidation allowBlank="1" showInputMessage="1" showErrorMessage="1" promptTitle="Geschreven door:" prompt="Noteer hier uw naam" sqref="B28:D28" xr:uid="{00000000-0002-0000-3000-000003000000}"/>
    <dataValidation type="list" allowBlank="1" showInputMessage="1" showErrorMessage="1" promptTitle="Pulldown:" prompt="Kies uit:_x000a_- groepsplan_x000a_- handelingsplan" sqref="C16:D16" xr:uid="{00000000-0002-0000-3000-000004000000}">
      <formula1>"--,groepsplan,handelingsplan,"</formula1>
    </dataValidation>
    <dataValidation allowBlank="1" showInputMessage="1" showErrorMessage="1" promptTitle="Datum:" prompt="dd-mm-jjjj" sqref="D3" xr:uid="{00000000-0002-0000-3000-000005000000}"/>
    <dataValidation allowBlank="1" showInputMessage="1" showErrorMessage="1" promptTitle="Plaatsnaam:" prompt="Welke plaats?" sqref="C3" xr:uid="{00000000-0002-0000-3000-000006000000}"/>
    <dataValidation allowBlank="1" showInputMessage="1" showErrorMessage="1" promptTitle="naam van het kind" sqref="F5" xr:uid="{00000000-0002-0000-3000-000007000000}"/>
  </dataValidations>
  <pageMargins left="0.75" right="0.75" top="1" bottom="1" header="0.5" footer="0.5"/>
  <pageSetup paperSize="9" scale="85" orientation="portrait" horizontalDpi="4294967293" r:id="rId1"/>
  <headerFooter alignWithMargins="0"/>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
  <sheetViews>
    <sheetView showGridLines="0" showRowColHeaders="0" zoomScaleNormal="100" workbookViewId="0"/>
  </sheetViews>
  <sheetFormatPr defaultColWidth="9.140625" defaultRowHeight="12.75" x14ac:dyDescent="0.2"/>
  <cols>
    <col min="1" max="16384" width="9.140625" style="187"/>
  </cols>
  <sheetData>
    <row r="2" spans="2:2" ht="20.25" x14ac:dyDescent="0.3">
      <c r="B2" s="186" t="s">
        <v>28</v>
      </c>
    </row>
  </sheetData>
  <sheetProtection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L12"/>
  <sheetViews>
    <sheetView showGridLines="0" showRowColHeaders="0" zoomScaleNormal="100" workbookViewId="0"/>
  </sheetViews>
  <sheetFormatPr defaultColWidth="9.140625" defaultRowHeight="12.75" x14ac:dyDescent="0.2"/>
  <cols>
    <col min="1" max="16384" width="9.140625" style="187"/>
  </cols>
  <sheetData>
    <row r="3" spans="2:12" ht="20.25" x14ac:dyDescent="0.2">
      <c r="B3" s="312" t="s">
        <v>29</v>
      </c>
    </row>
    <row r="11" spans="2:12" x14ac:dyDescent="0.2">
      <c r="L11" s="175"/>
    </row>
    <row r="12" spans="2:12" x14ac:dyDescent="0.2">
      <c r="L12" s="175"/>
    </row>
  </sheetData>
  <sheetProtection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L12"/>
  <sheetViews>
    <sheetView showGridLines="0" showRowColHeaders="0" zoomScaleNormal="100" workbookViewId="0"/>
  </sheetViews>
  <sheetFormatPr defaultColWidth="9.140625" defaultRowHeight="12.75" x14ac:dyDescent="0.2"/>
  <cols>
    <col min="1" max="16384" width="9.140625" style="187"/>
  </cols>
  <sheetData>
    <row r="3" spans="2:12" ht="20.25" x14ac:dyDescent="0.2">
      <c r="B3" s="312" t="s">
        <v>30</v>
      </c>
    </row>
    <row r="11" spans="2:12" x14ac:dyDescent="0.2">
      <c r="L11" s="175"/>
    </row>
    <row r="12" spans="2:12" x14ac:dyDescent="0.2">
      <c r="L12" s="175"/>
    </row>
  </sheetData>
  <sheetProtection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
  <sheetViews>
    <sheetView showGridLines="0" showRowColHeaders="0" topLeftCell="K1" zoomScaleNormal="100" workbookViewId="0"/>
  </sheetViews>
  <sheetFormatPr defaultColWidth="9.140625" defaultRowHeight="12.75" x14ac:dyDescent="0.2"/>
  <cols>
    <col min="1" max="16384" width="9.140625" style="187"/>
  </cols>
  <sheetData>
    <row r="2" spans="2:2" ht="20.25" x14ac:dyDescent="0.3">
      <c r="B2" s="186" t="s">
        <v>31</v>
      </c>
    </row>
  </sheetData>
  <sheetProtection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684669C4F10646965A639A06F3BA99" ma:contentTypeVersion="12" ma:contentTypeDescription="Een nieuw document maken." ma:contentTypeScope="" ma:versionID="ec2e9cd2a75e3d66722365640e029db3">
  <xsd:schema xmlns:xsd="http://www.w3.org/2001/XMLSchema" xmlns:xs="http://www.w3.org/2001/XMLSchema" xmlns:p="http://schemas.microsoft.com/office/2006/metadata/properties" xmlns:ns2="c2ecf5db-7d4d-4dbe-bce7-39d49be64e81" xmlns:ns3="b6647730-621b-45fb-9aac-463b4d877dcd" targetNamespace="http://schemas.microsoft.com/office/2006/metadata/properties" ma:root="true" ma:fieldsID="a10eca3cf7ed2b4f9f5f16c65e8a1bdb" ns2:_="" ns3:_="">
    <xsd:import namespace="c2ecf5db-7d4d-4dbe-bce7-39d49be64e81"/>
    <xsd:import namespace="b6647730-621b-45fb-9aac-463b4d877dc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ecf5db-7d4d-4dbe-bce7-39d49be64e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647730-621b-45fb-9aac-463b4d877dc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3C9FEA-1764-43EE-B975-174FE0025D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ecf5db-7d4d-4dbe-bce7-39d49be64e81"/>
    <ds:schemaRef ds:uri="b6647730-621b-45fb-9aac-463b4d877d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DDB937B-C96C-4588-93FE-01FACEDD7115}">
  <ds:schemaRefs>
    <ds:schemaRef ds:uri="http://purl.org/dc/elements/1.1/"/>
    <ds:schemaRef ds:uri="http://schemas.microsoft.com/office/infopath/2007/PartnerControls"/>
    <ds:schemaRef ds:uri="http://schemas.microsoft.com/office/2006/documentManagement/types"/>
    <ds:schemaRef ds:uri="b6647730-621b-45fb-9aac-463b4d877dcd"/>
    <ds:schemaRef ds:uri="http://schemas.microsoft.com/office/2006/metadata/properties"/>
    <ds:schemaRef ds:uri="http://www.w3.org/XML/1998/namespace"/>
    <ds:schemaRef ds:uri="http://purl.org/dc/dcmitype/"/>
    <ds:schemaRef ds:uri="http://schemas.openxmlformats.org/package/2006/metadata/core-properties"/>
    <ds:schemaRef ds:uri="c2ecf5db-7d4d-4dbe-bce7-39d49be64e81"/>
    <ds:schemaRef ds:uri="http://purl.org/dc/terms/"/>
  </ds:schemaRefs>
</ds:datastoreItem>
</file>

<file path=customXml/itemProps3.xml><?xml version="1.0" encoding="utf-8"?>
<ds:datastoreItem xmlns:ds="http://schemas.openxmlformats.org/officeDocument/2006/customXml" ds:itemID="{72949195-AA8A-41AA-BBA9-06ACEC59BF2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54</vt:i4>
      </vt:variant>
      <vt:variant>
        <vt:lpstr>Benoemde bereiken</vt:lpstr>
      </vt:variant>
      <vt:variant>
        <vt:i4>43</vt:i4>
      </vt:variant>
    </vt:vector>
  </HeadingPairs>
  <TitlesOfParts>
    <vt:vector size="97" baseType="lpstr">
      <vt:lpstr>info-1</vt:lpstr>
      <vt:lpstr>info-2</vt:lpstr>
      <vt:lpstr>info-3</vt:lpstr>
      <vt:lpstr>info-4</vt:lpstr>
      <vt:lpstr>info-5</vt:lpstr>
      <vt:lpstr>info-6</vt:lpstr>
      <vt:lpstr>info-7</vt:lpstr>
      <vt:lpstr>info-8</vt:lpstr>
      <vt:lpstr>info-9</vt:lpstr>
      <vt:lpstr>info-10</vt:lpstr>
      <vt:lpstr>info-11</vt:lpstr>
      <vt:lpstr>info-12</vt:lpstr>
      <vt:lpstr>info-13</vt:lpstr>
      <vt:lpstr>info-14</vt:lpstr>
      <vt:lpstr>info-15</vt:lpstr>
      <vt:lpstr>info-16</vt:lpstr>
      <vt:lpstr>NIVEAU WAARDE - vorig jaar</vt:lpstr>
      <vt:lpstr>NIVEAU WAARDE - 1e toetsperiode</vt:lpstr>
      <vt:lpstr>NIVEAU WAARDE - 2e toetsperiode</vt:lpstr>
      <vt:lpstr>Referentieniveau</vt:lpstr>
      <vt:lpstr>schoolweging</vt:lpstr>
      <vt:lpstr>OPP vorige jaar</vt:lpstr>
      <vt:lpstr>OPP 1e periode</vt:lpstr>
      <vt:lpstr>OPP 2e periode</vt:lpstr>
      <vt:lpstr>ONTW.PERSPECTIEF</vt:lpstr>
      <vt:lpstr>DL - DLE</vt:lpstr>
      <vt:lpstr>OPO</vt:lpstr>
      <vt:lpstr>LIJV</vt:lpstr>
      <vt:lpstr>TOETSAFSPRAKEN</vt:lpstr>
      <vt:lpstr>NOTITIES</vt:lpstr>
      <vt:lpstr>INTENSIEF - 1e periode</vt:lpstr>
      <vt:lpstr>INTENSIEF - 2e periode</vt:lpstr>
      <vt:lpstr>BASISAANPAK - 1e periode</vt:lpstr>
      <vt:lpstr>BASISAANPAK - 2e periode</vt:lpstr>
      <vt:lpstr>VERRIJKT - 1e periode</vt:lpstr>
      <vt:lpstr>VERRIJKT - 2e periode</vt:lpstr>
      <vt:lpstr>BEGINBLAD</vt:lpstr>
      <vt:lpstr>AANLEG</vt:lpstr>
      <vt:lpstr>SOCIAAL EMOTIONEEL</vt:lpstr>
      <vt:lpstr>VERWIJZING - VO</vt:lpstr>
      <vt:lpstr>TECHNISCH LEZEN - 1e periode</vt:lpstr>
      <vt:lpstr>TECHNISCH LEZEN - 2e periode</vt:lpstr>
      <vt:lpstr>BEGRIJPEND LEZEN - 1e periode</vt:lpstr>
      <vt:lpstr>BEGRIJPEND LEZEN - 2e periode</vt:lpstr>
      <vt:lpstr>SPELLEN - 1e periode</vt:lpstr>
      <vt:lpstr>SPELLEN - 2e periode</vt:lpstr>
      <vt:lpstr>REKENEN - 1e periode</vt:lpstr>
      <vt:lpstr>REKENEN - 2e periode</vt:lpstr>
      <vt:lpstr>HOOFDREKENEN - 1e periode</vt:lpstr>
      <vt:lpstr>HOOFDREKENEN - 2e periode</vt:lpstr>
      <vt:lpstr>DIVERSITEIT</vt:lpstr>
      <vt:lpstr>SIGNALERING HB</vt:lpstr>
      <vt:lpstr>LEERLING PROFIEL HB</vt:lpstr>
      <vt:lpstr>OUDERBRIEF</vt:lpstr>
      <vt:lpstr>AANLEG!Afdrukbereik</vt:lpstr>
      <vt:lpstr>'BASISAANPAK - 1e periode'!Afdrukbereik</vt:lpstr>
      <vt:lpstr>'BASISAANPAK - 2e periode'!Afdrukbereik</vt:lpstr>
      <vt:lpstr>BEGINBLAD!Afdrukbereik</vt:lpstr>
      <vt:lpstr>'BEGRIJPEND LEZEN - 1e periode'!Afdrukbereik</vt:lpstr>
      <vt:lpstr>'BEGRIJPEND LEZEN - 2e periode'!Afdrukbereik</vt:lpstr>
      <vt:lpstr>DIVERSITEIT!Afdrukbereik</vt:lpstr>
      <vt:lpstr>'DL - DLE'!Afdrukbereik</vt:lpstr>
      <vt:lpstr>'HOOFDREKENEN - 1e periode'!Afdrukbereik</vt:lpstr>
      <vt:lpstr>'HOOFDREKENEN - 2e periode'!Afdrukbereik</vt:lpstr>
      <vt:lpstr>'info-16'!Afdrukbereik</vt:lpstr>
      <vt:lpstr>'info-4'!Afdrukbereik</vt:lpstr>
      <vt:lpstr>'info-5'!Afdrukbereik</vt:lpstr>
      <vt:lpstr>'INTENSIEF - 1e periode'!Afdrukbereik</vt:lpstr>
      <vt:lpstr>'INTENSIEF - 2e periode'!Afdrukbereik</vt:lpstr>
      <vt:lpstr>'LEERLING PROFIEL HB'!Afdrukbereik</vt:lpstr>
      <vt:lpstr>LIJV!Afdrukbereik</vt:lpstr>
      <vt:lpstr>'NIVEAU WAARDE - 1e toetsperiode'!Afdrukbereik</vt:lpstr>
      <vt:lpstr>'NIVEAU WAARDE - 2e toetsperiode'!Afdrukbereik</vt:lpstr>
      <vt:lpstr>'NIVEAU WAARDE - vorig jaar'!Afdrukbereik</vt:lpstr>
      <vt:lpstr>NOTITIES!Afdrukbereik</vt:lpstr>
      <vt:lpstr>ONTW.PERSPECTIEF!Afdrukbereik</vt:lpstr>
      <vt:lpstr>OPO!Afdrukbereik</vt:lpstr>
      <vt:lpstr>'OPP 1e periode'!Afdrukbereik</vt:lpstr>
      <vt:lpstr>'OPP 2e periode'!Afdrukbereik</vt:lpstr>
      <vt:lpstr>'OPP vorige jaar'!Afdrukbereik</vt:lpstr>
      <vt:lpstr>OUDERBRIEF!Afdrukbereik</vt:lpstr>
      <vt:lpstr>Referentieniveau!Afdrukbereik</vt:lpstr>
      <vt:lpstr>'REKENEN - 1e periode'!Afdrukbereik</vt:lpstr>
      <vt:lpstr>'REKENEN - 2e periode'!Afdrukbereik</vt:lpstr>
      <vt:lpstr>'SIGNALERING HB'!Afdrukbereik</vt:lpstr>
      <vt:lpstr>'SOCIAAL EMOTIONEEL'!Afdrukbereik</vt:lpstr>
      <vt:lpstr>'SPELLEN - 1e periode'!Afdrukbereik</vt:lpstr>
      <vt:lpstr>'SPELLEN - 2e periode'!Afdrukbereik</vt:lpstr>
      <vt:lpstr>'TECHNISCH LEZEN - 1e periode'!Afdrukbereik</vt:lpstr>
      <vt:lpstr>'TECHNISCH LEZEN - 2e periode'!Afdrukbereik</vt:lpstr>
      <vt:lpstr>TOETSAFSPRAKEN!Afdrukbereik</vt:lpstr>
      <vt:lpstr>'VERRIJKT - 1e periode'!Afdrukbereik</vt:lpstr>
      <vt:lpstr>'VERRIJKT - 2e periode'!Afdrukbereik</vt:lpstr>
      <vt:lpstr>'VERWIJZING - VO'!Afdrukbereik</vt:lpstr>
      <vt:lpstr>OUDERBRIEF!Dropdown2</vt:lpstr>
      <vt:lpstr>OUDERBRIEF!Text1</vt:lpstr>
      <vt:lpstr>OUDERBRIEF!Text2</vt:lpstr>
    </vt:vector>
  </TitlesOfParts>
  <Manager/>
  <Company>Thuis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School</dc:creator>
  <cp:keywords/>
  <dc:description/>
  <cp:lastModifiedBy>Harrie Meinen</cp:lastModifiedBy>
  <cp:revision/>
  <cp:lastPrinted>2021-04-17T16:03:21Z</cp:lastPrinted>
  <dcterms:created xsi:type="dcterms:W3CDTF">2009-03-13T17:46:41Z</dcterms:created>
  <dcterms:modified xsi:type="dcterms:W3CDTF">2022-12-06T14:38:13Z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0x0101005A684669C4F10646965A639A06F3BA99</vt:lpwstr>
  </property>
</Properties>
</file>