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1.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29.xml" ContentType="application/vnd.openxmlformats-officedocument.drawingml.chart+xml"/>
  <Override PartName="/xl/drawings/drawing31.xml" ContentType="application/vnd.openxmlformats-officedocument.drawing+xml"/>
  <Override PartName="/xl/charts/chart30.xml" ContentType="application/vnd.openxmlformats-officedocument.drawingml.chart+xml"/>
  <Override PartName="/xl/drawings/drawing32.xml" ContentType="application/vnd.openxmlformats-officedocument.drawing+xml"/>
  <Override PartName="/xl/charts/chart31.xml" ContentType="application/vnd.openxmlformats-officedocument.drawingml.chart+xml"/>
  <Override PartName="/xl/drawings/drawing33.xml" ContentType="application/vnd.openxmlformats-officedocument.drawing+xml"/>
  <Override PartName="/xl/charts/chart32.xml" ContentType="application/vnd.openxmlformats-officedocument.drawingml.chart+xml"/>
  <Override PartName="/xl/drawings/drawing34.xml" ContentType="application/vnd.openxmlformats-officedocument.drawing+xml"/>
  <Override PartName="/xl/charts/chart33.xml" ContentType="application/vnd.openxmlformats-officedocument.drawingml.chart+xml"/>
  <Override PartName="/xl/drawings/drawing35.xml" ContentType="application/vnd.openxmlformats-officedocument.drawing+xml"/>
  <Override PartName="/xl/charts/chart3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omments1.xml" ContentType="application/vnd.openxmlformats-officedocument.spreadsheetml.comments+xml"/>
  <Override PartName="/xl/drawings/drawing38.xml" ContentType="application/vnd.openxmlformats-officedocument.drawing+xml"/>
  <Override PartName="/xl/drawings/drawing3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0.xml" ContentType="application/vnd.openxmlformats-officedocument.drawing+xml"/>
  <Override PartName="/xl/charts/chart3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2.xml" ContentType="application/vnd.openxmlformats-officedocument.drawing+xml"/>
  <Override PartName="/xl/comments4.xml" ContentType="application/vnd.openxmlformats-officedocument.spreadsheetml.comments+xml"/>
  <Override PartName="/xl/charts/chart36.xml" ContentType="application/vnd.openxmlformats-officedocument.drawingml.chart+xml"/>
  <Override PartName="/xl/charts/style26.xml" ContentType="application/vnd.ms-office.chartstyle+xml"/>
  <Override PartName="/xl/charts/colors26.xml" ContentType="application/vnd.ms-office.chartcolorstyle+xml"/>
  <Override PartName="/xl/charts/chart37.xml" ContentType="application/vnd.openxmlformats-officedocument.drawingml.chart+xml"/>
  <Override PartName="/xl/charts/style27.xml" ContentType="application/vnd.ms-office.chartstyle+xml"/>
  <Override PartName="/xl/charts/colors27.xml" ContentType="application/vnd.ms-office.chartcolorstyle+xml"/>
  <Override PartName="/xl/charts/chart38.xml" ContentType="application/vnd.openxmlformats-officedocument.drawingml.chart+xml"/>
  <Override PartName="/xl/drawings/drawing43.xml" ContentType="application/vnd.openxmlformats-officedocument.drawing+xml"/>
  <Override PartName="/xl/comments5.xml" ContentType="application/vnd.openxmlformats-officedocument.spreadsheetml.comments+xml"/>
  <Override PartName="/xl/charts/chart39.xml" ContentType="application/vnd.openxmlformats-officedocument.drawingml.chart+xml"/>
  <Override PartName="/xl/charts/style28.xml" ContentType="application/vnd.ms-office.chartstyle+xml"/>
  <Override PartName="/xl/charts/colors28.xml" ContentType="application/vnd.ms-office.chartcolorstyle+xml"/>
  <Override PartName="/xl/charts/chart40.xml" ContentType="application/vnd.openxmlformats-officedocument.drawingml.chart+xml"/>
  <Override PartName="/xl/charts/style29.xml" ContentType="application/vnd.ms-office.chartstyle+xml"/>
  <Override PartName="/xl/charts/colors29.xml" ContentType="application/vnd.ms-office.chartcolorstyle+xml"/>
  <Override PartName="/xl/charts/chart41.xml" ContentType="application/vnd.openxmlformats-officedocument.drawingml.chart+xml"/>
  <Override PartName="/xl/drawings/drawing44.xml" ContentType="application/vnd.openxmlformats-officedocument.drawing+xml"/>
  <Override PartName="/xl/comments6.xml" ContentType="application/vnd.openxmlformats-officedocument.spreadsheetml.comments+xml"/>
  <Override PartName="/xl/charts/chart42.xml" ContentType="application/vnd.openxmlformats-officedocument.drawingml.chart+xml"/>
  <Override PartName="/xl/charts/style30.xml" ContentType="application/vnd.ms-office.chartstyle+xml"/>
  <Override PartName="/xl/charts/colors30.xml" ContentType="application/vnd.ms-office.chartcolorstyle+xml"/>
  <Override PartName="/xl/charts/chart43.xml" ContentType="application/vnd.openxmlformats-officedocument.drawingml.chart+xml"/>
  <Override PartName="/xl/charts/style31.xml" ContentType="application/vnd.ms-office.chartstyle+xml"/>
  <Override PartName="/xl/charts/colors31.xml" ContentType="application/vnd.ms-office.chartcolorstyle+xml"/>
  <Override PartName="/xl/charts/chart44.xml" ContentType="application/vnd.openxmlformats-officedocument.drawingml.chart+xml"/>
  <Override PartName="/xl/drawings/drawing45.xml" ContentType="application/vnd.openxmlformats-officedocument.drawing+xml"/>
  <Override PartName="/xl/comments7.xml" ContentType="application/vnd.openxmlformats-officedocument.spreadsheetml.comments+xml"/>
  <Override PartName="/xl/charts/chart45.xml" ContentType="application/vnd.openxmlformats-officedocument.drawingml.chart+xml"/>
  <Override PartName="/xl/charts/style32.xml" ContentType="application/vnd.ms-office.chartstyle+xml"/>
  <Override PartName="/xl/charts/colors32.xml" ContentType="application/vnd.ms-office.chartcolorstyle+xml"/>
  <Override PartName="/xl/charts/chart46.xml" ContentType="application/vnd.openxmlformats-officedocument.drawingml.chart+xml"/>
  <Override PartName="/xl/charts/style33.xml" ContentType="application/vnd.ms-office.chartstyle+xml"/>
  <Override PartName="/xl/charts/colors33.xml" ContentType="application/vnd.ms-office.chartcolorstyle+xml"/>
  <Override PartName="/xl/charts/chart47.xml" ContentType="application/vnd.openxmlformats-officedocument.drawingml.chart+xml"/>
  <Override PartName="/xl/drawings/drawing46.xml" ContentType="application/vnd.openxmlformats-officedocument.drawing+xml"/>
  <Override PartName="/xl/comments8.xml" ContentType="application/vnd.openxmlformats-officedocument.spreadsheetml.comments+xml"/>
  <Override PartName="/xl/charts/chart48.xml" ContentType="application/vnd.openxmlformats-officedocument.drawingml.chart+xml"/>
  <Override PartName="/xl/charts/style34.xml" ContentType="application/vnd.ms-office.chartstyle+xml"/>
  <Override PartName="/xl/charts/colors34.xml" ContentType="application/vnd.ms-office.chartcolorstyle+xml"/>
  <Override PartName="/xl/charts/chart49.xml" ContentType="application/vnd.openxmlformats-officedocument.drawingml.chart+xml"/>
  <Override PartName="/xl/charts/style35.xml" ContentType="application/vnd.ms-office.chartstyle+xml"/>
  <Override PartName="/xl/charts/colors35.xml" ContentType="application/vnd.ms-office.chartcolorstyle+xml"/>
  <Override PartName="/xl/charts/chart50.xml" ContentType="application/vnd.openxmlformats-officedocument.drawingml.chart+xml"/>
  <Override PartName="/xl/drawings/drawing47.xml" ContentType="application/vnd.openxmlformats-officedocument.drawing+xml"/>
  <Override PartName="/xl/comments9.xml" ContentType="application/vnd.openxmlformats-officedocument.spreadsheetml.comments+xml"/>
  <Override PartName="/xl/charts/chart51.xml" ContentType="application/vnd.openxmlformats-officedocument.drawingml.chart+xml"/>
  <Override PartName="/xl/charts/style36.xml" ContentType="application/vnd.ms-office.chartstyle+xml"/>
  <Override PartName="/xl/charts/colors36.xml" ContentType="application/vnd.ms-office.chartcolorstyle+xml"/>
  <Override PartName="/xl/charts/chart52.xml" ContentType="application/vnd.openxmlformats-officedocument.drawingml.chart+xml"/>
  <Override PartName="/xl/charts/style37.xml" ContentType="application/vnd.ms-office.chartstyle+xml"/>
  <Override PartName="/xl/charts/colors37.xml" ContentType="application/vnd.ms-office.chartcolorstyle+xml"/>
  <Override PartName="/xl/charts/chart53.xml" ContentType="application/vnd.openxmlformats-officedocument.drawingml.chart+xml"/>
  <Override PartName="/xl/drawings/drawing48.xml" ContentType="application/vnd.openxmlformats-officedocument.drawing+xml"/>
  <Override PartName="/xl/comments10.xml" ContentType="application/vnd.openxmlformats-officedocument.spreadsheetml.comments+xml"/>
  <Override PartName="/xl/charts/chart54.xml" ContentType="application/vnd.openxmlformats-officedocument.drawingml.chart+xml"/>
  <Override PartName="/xl/charts/style38.xml" ContentType="application/vnd.ms-office.chartstyle+xml"/>
  <Override PartName="/xl/charts/colors38.xml" ContentType="application/vnd.ms-office.chartcolorstyle+xml"/>
  <Override PartName="/xl/charts/chart55.xml" ContentType="application/vnd.openxmlformats-officedocument.drawingml.chart+xml"/>
  <Override PartName="/xl/charts/style39.xml" ContentType="application/vnd.ms-office.chartstyle+xml"/>
  <Override PartName="/xl/charts/colors39.xml" ContentType="application/vnd.ms-office.chartcolorstyle+xml"/>
  <Override PartName="/xl/charts/chart56.xml" ContentType="application/vnd.openxmlformats-officedocument.drawingml.chart+xml"/>
  <Override PartName="/xl/drawings/drawing49.xml" ContentType="application/vnd.openxmlformats-officedocument.drawing+xml"/>
  <Override PartName="/xl/comments11.xml" ContentType="application/vnd.openxmlformats-officedocument.spreadsheetml.comments+xml"/>
  <Override PartName="/xl/charts/chart57.xml" ContentType="application/vnd.openxmlformats-officedocument.drawingml.chart+xml"/>
  <Override PartName="/xl/charts/style40.xml" ContentType="application/vnd.ms-office.chartstyle+xml"/>
  <Override PartName="/xl/charts/colors40.xml" ContentType="application/vnd.ms-office.chartcolorstyle+xml"/>
  <Override PartName="/xl/charts/chart58.xml" ContentType="application/vnd.openxmlformats-officedocument.drawingml.chart+xml"/>
  <Override PartName="/xl/charts/style41.xml" ContentType="application/vnd.ms-office.chartstyle+xml"/>
  <Override PartName="/xl/charts/colors41.xml" ContentType="application/vnd.ms-office.chartcolorstyle+xml"/>
  <Override PartName="/xl/charts/chart59.xml" ContentType="application/vnd.openxmlformats-officedocument.drawingml.chart+xml"/>
  <Override PartName="/xl/drawings/drawing50.xml" ContentType="application/vnd.openxmlformats-officedocument.drawing+xml"/>
  <Override PartName="/xl/comments12.xml" ContentType="application/vnd.openxmlformats-officedocument.spreadsheetml.comments+xml"/>
  <Override PartName="/xl/charts/chart60.xml" ContentType="application/vnd.openxmlformats-officedocument.drawingml.chart+xml"/>
  <Override PartName="/xl/charts/style42.xml" ContentType="application/vnd.ms-office.chartstyle+xml"/>
  <Override PartName="/xl/charts/colors42.xml" ContentType="application/vnd.ms-office.chartcolorstyle+xml"/>
  <Override PartName="/xl/charts/chart61.xml" ContentType="application/vnd.openxmlformats-officedocument.drawingml.chart+xml"/>
  <Override PartName="/xl/charts/style43.xml" ContentType="application/vnd.ms-office.chartstyle+xml"/>
  <Override PartName="/xl/charts/colors43.xml" ContentType="application/vnd.ms-office.chartcolorstyle+xml"/>
  <Override PartName="/xl/charts/chart62.xml" ContentType="application/vnd.openxmlformats-officedocument.drawingml.chart+xml"/>
  <Override PartName="/xl/drawings/drawing51.xml" ContentType="application/vnd.openxmlformats-officedocument.drawing+xml"/>
  <Override PartName="/xl/comments13.xml" ContentType="application/vnd.openxmlformats-officedocument.spreadsheetml.comments+xml"/>
  <Override PartName="/xl/charts/chart63.xml" ContentType="application/vnd.openxmlformats-officedocument.drawingml.chart+xml"/>
  <Override PartName="/xl/charts/style44.xml" ContentType="application/vnd.ms-office.chartstyle+xml"/>
  <Override PartName="/xl/charts/colors44.xml" ContentType="application/vnd.ms-office.chartcolorstyle+xml"/>
  <Override PartName="/xl/charts/chart64.xml" ContentType="application/vnd.openxmlformats-officedocument.drawingml.chart+xml"/>
  <Override PartName="/xl/charts/style45.xml" ContentType="application/vnd.ms-office.chartstyle+xml"/>
  <Override PartName="/xl/charts/colors45.xml" ContentType="application/vnd.ms-office.chartcolorstyle+xml"/>
  <Override PartName="/xl/charts/chart65.xml" ContentType="application/vnd.openxmlformats-officedocument.drawingml.chart+xml"/>
  <Override PartName="/xl/drawings/drawing5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omments14.xml" ContentType="application/vnd.openxmlformats-officedocument.spreadsheetml.comments+xml"/>
  <Override PartName="/xl/charts/chart6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updateLinks="never"/>
  <mc:AlternateContent xmlns:mc="http://schemas.openxmlformats.org/markup-compatibility/2006">
    <mc:Choice Requires="x15">
      <x15ac:absPath xmlns:x15ac="http://schemas.microsoft.com/office/spreadsheetml/2010/11/ac" url="https://floreantscholen.sharepoint.com/sites/triangel_leerkrachten/Gedeelde documenten/General/ZORG/GROEPSPLAN/Nieuw plan - afblijven a.u.b/"/>
    </mc:Choice>
  </mc:AlternateContent>
  <xr:revisionPtr revIDLastSave="107" documentId="8_{5010B95D-592C-4841-86CB-3046BD98B887}" xr6:coauthVersionLast="47" xr6:coauthVersionMax="47" xr10:uidLastSave="{83925976-C870-473A-BFA5-14647AE6DDF0}"/>
  <bookViews>
    <workbookView xWindow="-110" yWindow="-110" windowWidth="19420" windowHeight="10300" tabRatio="970" firstSheet="17" activeTab="17" xr2:uid="{00000000-000D-0000-FFFF-FFFF00000000}"/>
  </bookViews>
  <sheets>
    <sheet name="info-1" sheetId="156" r:id="rId1"/>
    <sheet name="info-2" sheetId="93" r:id="rId2"/>
    <sheet name="info-3" sheetId="94" r:id="rId3"/>
    <sheet name="info-4" sheetId="106" r:id="rId4"/>
    <sheet name="info-5" sheetId="181" r:id="rId5"/>
    <sheet name="info-6" sheetId="155" r:id="rId6"/>
    <sheet name="info-7" sheetId="157" r:id="rId7"/>
    <sheet name="info-8" sheetId="171" r:id="rId8"/>
    <sheet name="info-9" sheetId="159" r:id="rId9"/>
    <sheet name="info-10" sheetId="158" r:id="rId10"/>
    <sheet name="info-11" sheetId="174" r:id="rId11"/>
    <sheet name="info-12" sheetId="162" r:id="rId12"/>
    <sheet name="info-13" sheetId="167" r:id="rId13"/>
    <sheet name="info-14" sheetId="168" r:id="rId14"/>
    <sheet name="info-15" sheetId="182" r:id="rId15"/>
    <sheet name="info-16" sheetId="183" r:id="rId16"/>
    <sheet name="NIVEAU WAARDE - vorig jaar" sheetId="56" r:id="rId17"/>
    <sheet name="NIVEAU WAARDE - 1e toetsperiode" sheetId="55" r:id="rId18"/>
    <sheet name="NIVEAU WAARDE - 2e toetsperiode" sheetId="31" r:id="rId19"/>
    <sheet name="Referentieniveau" sheetId="178" r:id="rId20"/>
    <sheet name="schoolweging" sheetId="177" r:id="rId21"/>
    <sheet name="OPP vorige jaar" sheetId="135" r:id="rId22"/>
    <sheet name="OPP 1e periode" sheetId="136" r:id="rId23"/>
    <sheet name="OPP 2e periode" sheetId="134" r:id="rId24"/>
    <sheet name="ONTW.PERSPECTIEF" sheetId="123" r:id="rId25"/>
    <sheet name="DL - DLE" sheetId="170" r:id="rId26"/>
    <sheet name="OPO" sheetId="179" r:id="rId27"/>
    <sheet name="LIJV" sheetId="175" r:id="rId28"/>
    <sheet name="TOETSAFSPRAKEN" sheetId="184" r:id="rId29"/>
    <sheet name="NOTITIES" sheetId="125" r:id="rId30"/>
    <sheet name="INTENSIEF - 1e periode" sheetId="130" r:id="rId31"/>
    <sheet name="INTENSIEF - 2e periode" sheetId="138" r:id="rId32"/>
    <sheet name="BASISAANPAK - 1e periode" sheetId="131" r:id="rId33"/>
    <sheet name="BASISAANPAK - 2e periode" sheetId="139" r:id="rId34"/>
    <sheet name="VERRIJKT - 1e periode" sheetId="132" r:id="rId35"/>
    <sheet name="VERRIJKT - 2e periode" sheetId="140" r:id="rId36"/>
    <sheet name="BEGINBLAD" sheetId="30" r:id="rId37"/>
    <sheet name="AANLEG" sheetId="127" r:id="rId38"/>
    <sheet name="GROEPSBESPREKING" sheetId="187" r:id="rId39"/>
    <sheet name="SOCIAAL EMOTIONEEL" sheetId="169" r:id="rId40"/>
    <sheet name="VERWIJZING - VO" sheetId="166" r:id="rId41"/>
    <sheet name="2.2" sheetId="185" r:id="rId42"/>
    <sheet name="3.0" sheetId="186" r:id="rId43"/>
    <sheet name="TECHNISCH LEZEN - 1e periode" sheetId="126" r:id="rId44"/>
    <sheet name="TECHNISCH LEZEN - 2e periode" sheetId="137" r:id="rId45"/>
    <sheet name="BEGRIJPEND LEZEN - 1e periode" sheetId="141" r:id="rId46"/>
    <sheet name="BEGRIJPEND LEZEN - 2e periode" sheetId="144" r:id="rId47"/>
    <sheet name="SPELLEN - 1e periode" sheetId="148" r:id="rId48"/>
    <sheet name="SPELLEN - 2e periode" sheetId="149" r:id="rId49"/>
    <sheet name="REKENEN - 1e periode" sheetId="150" r:id="rId50"/>
    <sheet name="REKENEN - 2e periode" sheetId="151" r:id="rId51"/>
    <sheet name="HOOFDREKENEN - 1e periode" sheetId="152" r:id="rId52"/>
    <sheet name="HOOFDREKENEN - 2e periode" sheetId="153" r:id="rId53"/>
    <sheet name="DIVERSITEIT" sheetId="180" r:id="rId54"/>
    <sheet name="SIGNALERING HB" sheetId="172" r:id="rId55"/>
    <sheet name="LEERLING PROFIEL HB" sheetId="173" r:id="rId56"/>
    <sheet name="OUDERBRIEF" sheetId="163" r:id="rId57"/>
  </sheets>
  <externalReferences>
    <externalReference r:id="rId58"/>
    <externalReference r:id="rId59"/>
    <externalReference r:id="rId60"/>
    <externalReference r:id="rId61"/>
  </externalReferences>
  <definedNames>
    <definedName name="_xlnm._FilterDatabase" localSheetId="45" hidden="1">'BEGRIJPEND LEZEN - 1e periode'!$C$7:$C$18</definedName>
    <definedName name="_xlnm._FilterDatabase" localSheetId="46" hidden="1">'BEGRIJPEND LEZEN - 2e periode'!$C$7:$C$18</definedName>
    <definedName name="_xlnm._FilterDatabase" localSheetId="51" hidden="1">'HOOFDREKENEN - 1e periode'!$C$7:$C$18</definedName>
    <definedName name="_xlnm._FilterDatabase" localSheetId="52" hidden="1">'HOOFDREKENEN - 2e periode'!$C$7:$C$18</definedName>
    <definedName name="_xlnm._FilterDatabase" localSheetId="49" hidden="1">'REKENEN - 1e periode'!$C$7:$C$18</definedName>
    <definedName name="_xlnm._FilterDatabase" localSheetId="50" hidden="1">'REKENEN - 2e periode'!$C$7:$C$18</definedName>
    <definedName name="_xlnm._FilterDatabase" localSheetId="39" hidden="1">'SOCIAAL EMOTIONEEL'!$C$13:$C$24</definedName>
    <definedName name="_xlnm._FilterDatabase" localSheetId="47" hidden="1">'SPELLEN - 1e periode'!$C$7:$C$18</definedName>
    <definedName name="_xlnm._FilterDatabase" localSheetId="48" hidden="1">'SPELLEN - 2e periode'!$C$7:$C$18</definedName>
    <definedName name="_xlnm._FilterDatabase" localSheetId="43" hidden="1">'TECHNISCH LEZEN - 1e periode'!$C$7:$C$18</definedName>
    <definedName name="_xlnm._FilterDatabase" localSheetId="44" hidden="1">'TECHNISCH LEZEN - 2e periode'!$C$7:$C$18</definedName>
    <definedName name="_xlcn.WorksheetConnection_ONTW.PERSPECTIEFI53U54" hidden="1">ONTW.PERSPECTIEF!$I$53:$U$54</definedName>
    <definedName name="_xlnm.Print_Area" localSheetId="41">'2.2'!$B$3:$AA$49</definedName>
    <definedName name="_xlnm.Print_Area" localSheetId="42">'3.0'!$B$3:$BB$47</definedName>
    <definedName name="_xlnm.Print_Area" localSheetId="37">AANLEG!$A$1:$AA$43</definedName>
    <definedName name="_xlnm.Print_Area" localSheetId="32">'BASISAANPAK - 1e periode'!$A$3:$I$23</definedName>
    <definedName name="_xlnm.Print_Area" localSheetId="33">'BASISAANPAK - 2e periode'!$A$3:$J$23</definedName>
    <definedName name="_xlnm.Print_Area" localSheetId="36">BEGINBLAD!$A$1:$W$45</definedName>
    <definedName name="_xlnm.Print_Area" localSheetId="45">'BEGRIJPEND LEZEN - 1e periode'!$B$1:$P$55</definedName>
    <definedName name="_xlnm.Print_Area" localSheetId="46">'BEGRIJPEND LEZEN - 2e periode'!$B$1:$P$55</definedName>
    <definedName name="_xlnm.Print_Area" localSheetId="53">DIVERSITEIT!$B$1:$AI$52</definedName>
    <definedName name="_xlnm.Print_Area" localSheetId="25">'DL - DLE'!$D$2:$AE$41</definedName>
    <definedName name="_xlnm.Print_Area" localSheetId="51">'HOOFDREKENEN - 1e periode'!$B$1:$T$55</definedName>
    <definedName name="_xlnm.Print_Area" localSheetId="52">'HOOFDREKENEN - 2e periode'!$B$1:$T$55</definedName>
    <definedName name="_xlnm.Print_Area" localSheetId="15">'info-16'!$A$2:$Q$68</definedName>
    <definedName name="_xlnm.Print_Area" localSheetId="3">'info-4'!$A$1:$T$79</definedName>
    <definedName name="_xlnm.Print_Area" localSheetId="4">'info-5'!$A$1:$X$47</definedName>
    <definedName name="_xlnm.Print_Area" localSheetId="30">'INTENSIEF - 1e periode'!$B$3:$I$23</definedName>
    <definedName name="_xlnm.Print_Area" localSheetId="31">'INTENSIEF - 2e periode'!$B$3:$I$23</definedName>
    <definedName name="_xlnm.Print_Area" localSheetId="55">'LEERLING PROFIEL HB'!$F$3:$J$32</definedName>
    <definedName name="_xlnm.Print_Area" localSheetId="27">LIJV!$B$2:$K$51</definedName>
    <definedName name="_xlnm.Print_Area" localSheetId="17">'NIVEAU WAARDE - 1e toetsperiode'!$A$1:$M$47</definedName>
    <definedName name="_xlnm.Print_Area" localSheetId="18">'NIVEAU WAARDE - 2e toetsperiode'!$A$1:$M$47</definedName>
    <definedName name="_xlnm.Print_Area" localSheetId="16">'NIVEAU WAARDE - vorig jaar'!$A$1:$M$47</definedName>
    <definedName name="_xlnm.Print_Area" localSheetId="29">NOTITIES!$B$2:$D$26</definedName>
    <definedName name="_xlnm.Print_Area" localSheetId="24">ONTW.PERSPECTIEF!$C$2:$AD$62</definedName>
    <definedName name="_xlnm.Print_Area" localSheetId="26">OPO!$B$1:$T$44</definedName>
    <definedName name="_xlnm.Print_Area" localSheetId="22">'OPP 1e periode'!$E$2:$AE$104</definedName>
    <definedName name="_xlnm.Print_Area" localSheetId="23">'OPP 2e periode'!$E$2:$AE$104</definedName>
    <definedName name="_xlnm.Print_Area" localSheetId="21">'OPP vorige jaar'!$E$2:$AE$104</definedName>
    <definedName name="_xlnm.Print_Area" localSheetId="56">OUDERBRIEF!$A$1:$D$29</definedName>
    <definedName name="_xlnm.Print_Area" localSheetId="19">Referentieniveau!$B$2:$AP$31</definedName>
    <definedName name="_xlnm.Print_Area" localSheetId="49">'REKENEN - 1e periode'!$B$1:$P$55</definedName>
    <definedName name="_xlnm.Print_Area" localSheetId="50">'REKENEN - 2e periode'!$B$1:$P$55</definedName>
    <definedName name="_xlnm.Print_Area" localSheetId="54">'SIGNALERING HB'!$B$2:$AN$37</definedName>
    <definedName name="_xlnm.Print_Area" localSheetId="39">'SOCIAAL EMOTIONEEL'!$B$1:$X$48</definedName>
    <definedName name="_xlnm.Print_Area" localSheetId="47">'SPELLEN - 1e periode'!$B$1:$P$55</definedName>
    <definedName name="_xlnm.Print_Area" localSheetId="48">'SPELLEN - 2e periode'!$B$1:$P$55</definedName>
    <definedName name="_xlnm.Print_Area" localSheetId="43">'TECHNISCH LEZEN - 1e periode'!$B$1:$P$55</definedName>
    <definedName name="_xlnm.Print_Area" localSheetId="44">'TECHNISCH LEZEN - 2e periode'!$B$1:$P$55</definedName>
    <definedName name="_xlnm.Print_Area" localSheetId="28">TOETSAFSPRAKEN!$B$2:$D$26</definedName>
    <definedName name="_xlnm.Print_Area" localSheetId="34">'VERRIJKT - 1e periode'!$A$3:$I$23</definedName>
    <definedName name="_xlnm.Print_Area" localSheetId="35">'VERRIJKT - 2e periode'!$A$3:$J$23</definedName>
    <definedName name="_xlnm.Print_Area" localSheetId="40">'VERWIJZING - VO'!$B$1:$AS$40</definedName>
    <definedName name="Dropdown2" localSheetId="56">OUDERBRIEF!$B$16</definedName>
    <definedName name="n.v.t." localSheetId="53">#REF!</definedName>
    <definedName name="n.v.t." localSheetId="10">#REF!</definedName>
    <definedName name="n.v.t." localSheetId="27">#REF!</definedName>
    <definedName name="n.v.t." localSheetId="26">#REF!</definedName>
    <definedName name="n.v.t.">#REF!</definedName>
    <definedName name="Text1" localSheetId="56">OUDERBRIEF!$C$3</definedName>
    <definedName name="Text2" localSheetId="56">OUDERBRIEF!$B$5</definedName>
    <definedName name="waarden">#REF!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Bereik" name="Bereik" connection="WorksheetConnection_ONTW.PERSPECTIEF!$I$53:$U$54"/>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79" l="1"/>
  <c r="F12" i="179"/>
  <c r="G12" i="179"/>
  <c r="H12" i="179"/>
  <c r="E11" i="179"/>
  <c r="F11" i="179"/>
  <c r="G11" i="179"/>
  <c r="H11" i="179"/>
  <c r="D12" i="179"/>
  <c r="D11" i="179"/>
  <c r="H52" i="56"/>
  <c r="H51" i="56" s="1"/>
  <c r="G52" i="56"/>
  <c r="F52" i="56"/>
  <c r="E52" i="56"/>
  <c r="D52" i="56"/>
  <c r="G51" i="56"/>
  <c r="G49" i="56" s="1"/>
  <c r="F51" i="56"/>
  <c r="F49" i="56" s="1"/>
  <c r="E51" i="56"/>
  <c r="E49" i="56" s="1"/>
  <c r="D51" i="56"/>
  <c r="D49" i="56" s="1"/>
  <c r="D50" i="56"/>
  <c r="A3" i="177"/>
  <c r="A4" i="177" s="1"/>
  <c r="A5" i="177" s="1"/>
  <c r="A6" i="177" s="1"/>
  <c r="A7" i="177" s="1"/>
  <c r="A8" i="177" s="1"/>
  <c r="A9" i="177" s="1"/>
  <c r="A10" i="177" s="1"/>
  <c r="A11" i="177" s="1"/>
  <c r="A12" i="177" s="1"/>
  <c r="A13" i="177" s="1"/>
  <c r="A14" i="177" s="1"/>
  <c r="A15" i="177" s="1"/>
  <c r="A16" i="177" s="1"/>
  <c r="A17" i="177" s="1"/>
  <c r="A18" i="177" s="1"/>
  <c r="A19" i="177" s="1"/>
  <c r="A20" i="177" s="1"/>
  <c r="A21" i="177" s="1"/>
  <c r="A22" i="177" s="1"/>
  <c r="A23" i="177" s="1"/>
  <c r="A24" i="177" s="1"/>
  <c r="A25" i="177" s="1"/>
  <c r="A26" i="177" s="1"/>
  <c r="A27" i="177" s="1"/>
  <c r="A28" i="177" s="1"/>
  <c r="A29" i="177" s="1"/>
  <c r="A30" i="177" s="1"/>
  <c r="A31" i="177" s="1"/>
  <c r="A32" i="177" s="1"/>
  <c r="A33" i="177" s="1"/>
  <c r="A34" i="177" s="1"/>
  <c r="A35" i="177" s="1"/>
  <c r="A36" i="177" s="1"/>
  <c r="A37" i="177" s="1"/>
  <c r="M31" i="178"/>
  <c r="M30" i="178"/>
  <c r="M28" i="178"/>
  <c r="M27" i="178"/>
  <c r="M25" i="178"/>
  <c r="M24" i="178"/>
  <c r="J31" i="178"/>
  <c r="J30" i="178"/>
  <c r="J27" i="178"/>
  <c r="J25" i="178"/>
  <c r="J24" i="178"/>
  <c r="G31" i="178"/>
  <c r="G30" i="178"/>
  <c r="G28" i="178"/>
  <c r="G27" i="178"/>
  <c r="G25" i="178"/>
  <c r="G24" i="178"/>
  <c r="D31" i="178"/>
  <c r="D30" i="178"/>
  <c r="D28" i="178"/>
  <c r="D27" i="178"/>
  <c r="D25" i="178"/>
  <c r="D24" i="178"/>
  <c r="J28" i="178"/>
  <c r="Q52" i="31"/>
  <c r="P52" i="31"/>
  <c r="O52" i="31"/>
  <c r="Q50" i="31"/>
  <c r="Q47" i="31" s="1"/>
  <c r="P50" i="31"/>
  <c r="P47" i="31" s="1"/>
  <c r="O50" i="31"/>
  <c r="Q49" i="31"/>
  <c r="Q51" i="31" s="1"/>
  <c r="Q46" i="31" s="1"/>
  <c r="P49" i="31"/>
  <c r="P51" i="31" s="1"/>
  <c r="P46" i="31" s="1"/>
  <c r="O49" i="31"/>
  <c r="O51" i="31" s="1"/>
  <c r="O46" i="31" s="1"/>
  <c r="O47" i="31"/>
  <c r="Q52" i="55"/>
  <c r="Q48" i="55" s="1"/>
  <c r="Q45" i="55" s="1"/>
  <c r="P52" i="55"/>
  <c r="O52" i="55"/>
  <c r="Q50" i="55"/>
  <c r="P50" i="55"/>
  <c r="P47" i="55" s="1"/>
  <c r="O50" i="55"/>
  <c r="O47" i="55" s="1"/>
  <c r="Q49" i="55"/>
  <c r="Q51" i="55" s="1"/>
  <c r="Q46" i="55" s="1"/>
  <c r="P49" i="55"/>
  <c r="P51" i="55" s="1"/>
  <c r="P46" i="55" s="1"/>
  <c r="O49" i="55"/>
  <c r="O51" i="55" s="1"/>
  <c r="O46" i="55" s="1"/>
  <c r="Q52" i="56"/>
  <c r="Q48" i="56" s="1"/>
  <c r="Q45" i="56" s="1"/>
  <c r="P52" i="56"/>
  <c r="O52" i="56"/>
  <c r="Q50" i="56"/>
  <c r="Q47" i="56" s="1"/>
  <c r="P50" i="56"/>
  <c r="P47" i="56" s="1"/>
  <c r="O50" i="56"/>
  <c r="Q49" i="56"/>
  <c r="Q51" i="56" s="1"/>
  <c r="Q46" i="56" s="1"/>
  <c r="P49" i="56"/>
  <c r="P51" i="56" s="1"/>
  <c r="P46" i="56" s="1"/>
  <c r="O49" i="56"/>
  <c r="O51" i="56" s="1"/>
  <c r="O46" i="56" s="1"/>
  <c r="O47" i="56"/>
  <c r="R23" i="31"/>
  <c r="Q44" i="31"/>
  <c r="P44" i="31"/>
  <c r="O44" i="31"/>
  <c r="Q43" i="31"/>
  <c r="P43" i="31"/>
  <c r="O43" i="31"/>
  <c r="Q42" i="31"/>
  <c r="P42" i="31"/>
  <c r="O42" i="31"/>
  <c r="Q41" i="31"/>
  <c r="P41" i="31"/>
  <c r="O41" i="31"/>
  <c r="Q40" i="31"/>
  <c r="P40" i="31"/>
  <c r="O40" i="31"/>
  <c r="Q39" i="31"/>
  <c r="P39" i="31"/>
  <c r="O39" i="31"/>
  <c r="Q38" i="31"/>
  <c r="P38" i="31"/>
  <c r="O38" i="31"/>
  <c r="Q37" i="31"/>
  <c r="P37" i="31"/>
  <c r="O37" i="31"/>
  <c r="Q36" i="31"/>
  <c r="P36" i="31"/>
  <c r="O36" i="31"/>
  <c r="Q35" i="31"/>
  <c r="P35" i="31"/>
  <c r="O35" i="31"/>
  <c r="Q34" i="31"/>
  <c r="P34" i="31"/>
  <c r="O34" i="31"/>
  <c r="Q33" i="31"/>
  <c r="P33" i="31"/>
  <c r="O33" i="31"/>
  <c r="Q32" i="31"/>
  <c r="P32" i="31"/>
  <c r="O32" i="31"/>
  <c r="Q31" i="31"/>
  <c r="P31" i="31"/>
  <c r="O31" i="31"/>
  <c r="Q30" i="31"/>
  <c r="P30" i="31"/>
  <c r="O30" i="31"/>
  <c r="Q29" i="31"/>
  <c r="P29" i="31"/>
  <c r="O29" i="31"/>
  <c r="Q28" i="31"/>
  <c r="P28" i="31"/>
  <c r="O28" i="31"/>
  <c r="Q27" i="31"/>
  <c r="P27" i="31"/>
  <c r="O27" i="31"/>
  <c r="Q26" i="31"/>
  <c r="P26" i="31"/>
  <c r="O26" i="31"/>
  <c r="Q17" i="31"/>
  <c r="P17" i="31"/>
  <c r="O17" i="31"/>
  <c r="Q16" i="31"/>
  <c r="P16" i="31"/>
  <c r="O16" i="31"/>
  <c r="Q15" i="31"/>
  <c r="P15" i="31"/>
  <c r="O15" i="31"/>
  <c r="Q14" i="31"/>
  <c r="P14" i="31"/>
  <c r="O14" i="31"/>
  <c r="Q13" i="31"/>
  <c r="P13" i="31"/>
  <c r="O13" i="31"/>
  <c r="Q12" i="31"/>
  <c r="P12" i="31"/>
  <c r="O12" i="31"/>
  <c r="Q11" i="31"/>
  <c r="P11" i="31"/>
  <c r="O11" i="31"/>
  <c r="Q10" i="31"/>
  <c r="P10" i="31"/>
  <c r="O10" i="31"/>
  <c r="Q44" i="55"/>
  <c r="P44" i="55"/>
  <c r="O44" i="55"/>
  <c r="Q43" i="55"/>
  <c r="P43" i="55"/>
  <c r="O43" i="55"/>
  <c r="Q42" i="55"/>
  <c r="P42" i="55"/>
  <c r="O42" i="55"/>
  <c r="Q41" i="55"/>
  <c r="P41" i="55"/>
  <c r="O41" i="55"/>
  <c r="Q40" i="55"/>
  <c r="P40" i="55"/>
  <c r="O40" i="55"/>
  <c r="Q39" i="55"/>
  <c r="P39" i="55"/>
  <c r="O39" i="55"/>
  <c r="Q38" i="55"/>
  <c r="P38" i="55"/>
  <c r="O38" i="55"/>
  <c r="Q37" i="55"/>
  <c r="P37" i="55"/>
  <c r="O37" i="55"/>
  <c r="Q36" i="55"/>
  <c r="P36" i="55"/>
  <c r="O36" i="55"/>
  <c r="Q35" i="55"/>
  <c r="P35" i="55"/>
  <c r="O35" i="55"/>
  <c r="Q34" i="55"/>
  <c r="P34" i="55"/>
  <c r="O34" i="55"/>
  <c r="Q33" i="55"/>
  <c r="P33" i="55"/>
  <c r="O33" i="55"/>
  <c r="Q32" i="55"/>
  <c r="P32" i="55"/>
  <c r="O32" i="55"/>
  <c r="Q31" i="55"/>
  <c r="P31" i="55"/>
  <c r="O31" i="55"/>
  <c r="Q30" i="55"/>
  <c r="P30" i="55"/>
  <c r="O30" i="55"/>
  <c r="Q29" i="55"/>
  <c r="P29" i="55"/>
  <c r="O29" i="55"/>
  <c r="Q28" i="55"/>
  <c r="P28" i="55"/>
  <c r="O28" i="55"/>
  <c r="Q27" i="55"/>
  <c r="P27" i="55"/>
  <c r="O27" i="55"/>
  <c r="Q26" i="55"/>
  <c r="P26" i="55"/>
  <c r="O26" i="55"/>
  <c r="Q17" i="55"/>
  <c r="P17" i="55"/>
  <c r="O17" i="55"/>
  <c r="Q16" i="55"/>
  <c r="P16" i="55"/>
  <c r="O16" i="55"/>
  <c r="Q15" i="55"/>
  <c r="P15" i="55"/>
  <c r="O15" i="55"/>
  <c r="Q14" i="55"/>
  <c r="P14" i="55"/>
  <c r="O14" i="55"/>
  <c r="Q13" i="55"/>
  <c r="P13" i="55"/>
  <c r="O13" i="55"/>
  <c r="Q12" i="55"/>
  <c r="P12" i="55"/>
  <c r="O12" i="55"/>
  <c r="Q11" i="55"/>
  <c r="P11" i="55"/>
  <c r="O11" i="55"/>
  <c r="Q10" i="55"/>
  <c r="P10" i="55"/>
  <c r="O10" i="55"/>
  <c r="Q42" i="56"/>
  <c r="P42" i="56"/>
  <c r="O42" i="56"/>
  <c r="H49" i="56" l="1"/>
  <c r="H50" i="56"/>
  <c r="E50" i="56"/>
  <c r="F50" i="56"/>
  <c r="G50" i="56"/>
  <c r="Q48" i="31"/>
  <c r="Q45" i="31" s="1"/>
  <c r="O48" i="31"/>
  <c r="O45" i="31" s="1"/>
  <c r="P48" i="31"/>
  <c r="P45" i="31" s="1"/>
  <c r="O48" i="55"/>
  <c r="O45" i="55" s="1"/>
  <c r="P48" i="55"/>
  <c r="P45" i="55" s="1"/>
  <c r="Q47" i="55"/>
  <c r="O48" i="56"/>
  <c r="O45" i="56" s="1"/>
  <c r="P48" i="56"/>
  <c r="P45" i="56" s="1"/>
  <c r="I17" i="166"/>
  <c r="M17" i="166"/>
  <c r="S24" i="166"/>
  <c r="L22" i="150"/>
  <c r="L23" i="150"/>
  <c r="L24" i="150"/>
  <c r="M24" i="150" s="1"/>
  <c r="L25" i="150"/>
  <c r="L26" i="150"/>
  <c r="L27" i="150"/>
  <c r="M27" i="150" s="1"/>
  <c r="L28" i="150"/>
  <c r="L29" i="150"/>
  <c r="M29" i="150" s="1"/>
  <c r="L30" i="150"/>
  <c r="L31" i="150"/>
  <c r="L32" i="150"/>
  <c r="M32" i="150" s="1"/>
  <c r="L33" i="150"/>
  <c r="L34" i="150"/>
  <c r="L35" i="150"/>
  <c r="M35" i="150" s="1"/>
  <c r="L36" i="150"/>
  <c r="L37" i="150"/>
  <c r="M37" i="150" s="1"/>
  <c r="L38" i="150"/>
  <c r="L39" i="150"/>
  <c r="L40" i="150"/>
  <c r="M40" i="150" s="1"/>
  <c r="L10" i="150"/>
  <c r="L11" i="150"/>
  <c r="L12" i="150"/>
  <c r="L13" i="150"/>
  <c r="L14" i="150"/>
  <c r="L15" i="150"/>
  <c r="L16" i="150"/>
  <c r="L17" i="150"/>
  <c r="M17" i="150" s="1"/>
  <c r="L18" i="150"/>
  <c r="L19" i="150"/>
  <c r="L20" i="150"/>
  <c r="M20" i="150" s="1"/>
  <c r="L21" i="150"/>
  <c r="L7" i="150"/>
  <c r="L8" i="150"/>
  <c r="L9" i="150"/>
  <c r="L6" i="150"/>
  <c r="M42" i="56"/>
  <c r="I40" i="153"/>
  <c r="I39" i="153"/>
  <c r="I38" i="153"/>
  <c r="I37" i="153"/>
  <c r="I36" i="153"/>
  <c r="I35" i="153"/>
  <c r="I34" i="153"/>
  <c r="I33" i="153"/>
  <c r="I32" i="153"/>
  <c r="I31" i="153"/>
  <c r="I30" i="153"/>
  <c r="I29" i="153"/>
  <c r="I28" i="153"/>
  <c r="I27" i="153"/>
  <c r="I26" i="153"/>
  <c r="I25" i="153"/>
  <c r="I24" i="153"/>
  <c r="I23" i="153"/>
  <c r="I22" i="153"/>
  <c r="I21" i="153"/>
  <c r="I17" i="153"/>
  <c r="I16" i="153"/>
  <c r="I15" i="153"/>
  <c r="I14" i="153"/>
  <c r="I13" i="153"/>
  <c r="I12" i="153"/>
  <c r="I11" i="153"/>
  <c r="I10" i="153"/>
  <c r="I9" i="153"/>
  <c r="I8" i="153"/>
  <c r="I7" i="153"/>
  <c r="I6" i="153"/>
  <c r="I5" i="153"/>
  <c r="I40" i="152"/>
  <c r="I39" i="152"/>
  <c r="I38" i="152"/>
  <c r="I37" i="152"/>
  <c r="I36" i="152"/>
  <c r="I35" i="152"/>
  <c r="I34" i="152"/>
  <c r="I33" i="152"/>
  <c r="I32" i="152"/>
  <c r="I31" i="152"/>
  <c r="I30" i="152"/>
  <c r="I29" i="152"/>
  <c r="I28" i="152"/>
  <c r="I27" i="152"/>
  <c r="I26" i="152"/>
  <c r="I25" i="152"/>
  <c r="I24" i="152"/>
  <c r="I23" i="152"/>
  <c r="I22" i="152"/>
  <c r="I13" i="152"/>
  <c r="I40" i="151"/>
  <c r="H40" i="151"/>
  <c r="M40" i="151"/>
  <c r="M39" i="151"/>
  <c r="M38" i="151"/>
  <c r="M37" i="151"/>
  <c r="M36" i="151"/>
  <c r="M35" i="151"/>
  <c r="M34" i="151"/>
  <c r="M33" i="151"/>
  <c r="M32" i="151"/>
  <c r="M31" i="151"/>
  <c r="M30" i="151"/>
  <c r="M29" i="151"/>
  <c r="M28" i="151"/>
  <c r="M27" i="151"/>
  <c r="M26" i="151"/>
  <c r="M25" i="151"/>
  <c r="M24" i="151"/>
  <c r="M23" i="151"/>
  <c r="M22" i="151"/>
  <c r="M21" i="151"/>
  <c r="M17" i="151"/>
  <c r="M16" i="151"/>
  <c r="M15" i="151"/>
  <c r="M14" i="151"/>
  <c r="M13" i="151"/>
  <c r="M12" i="151"/>
  <c r="M11" i="151"/>
  <c r="M10" i="151"/>
  <c r="M9" i="151"/>
  <c r="M8" i="151"/>
  <c r="M7" i="151"/>
  <c r="M6" i="151"/>
  <c r="M5" i="151"/>
  <c r="I39" i="151"/>
  <c r="I38" i="151"/>
  <c r="I37" i="151"/>
  <c r="I36" i="151"/>
  <c r="I35" i="151"/>
  <c r="I34" i="151"/>
  <c r="I33" i="151"/>
  <c r="I32" i="151"/>
  <c r="I31" i="151"/>
  <c r="I30" i="151"/>
  <c r="I29" i="151"/>
  <c r="I28" i="151"/>
  <c r="I27" i="151"/>
  <c r="I26" i="151"/>
  <c r="I25" i="151"/>
  <c r="I24" i="151"/>
  <c r="I23" i="151"/>
  <c r="I22" i="151"/>
  <c r="I21" i="151"/>
  <c r="I17" i="151"/>
  <c r="I16" i="151"/>
  <c r="I15" i="151"/>
  <c r="I14" i="151"/>
  <c r="I13" i="151"/>
  <c r="I12" i="151"/>
  <c r="I11" i="151"/>
  <c r="I10" i="151"/>
  <c r="I9" i="151"/>
  <c r="I8" i="151"/>
  <c r="I7" i="151"/>
  <c r="I6" i="151"/>
  <c r="I5" i="151"/>
  <c r="M39" i="150"/>
  <c r="M38" i="150"/>
  <c r="M36" i="150"/>
  <c r="M34" i="150"/>
  <c r="M33" i="150"/>
  <c r="M31" i="150"/>
  <c r="M30" i="150"/>
  <c r="M28" i="150"/>
  <c r="M26" i="150"/>
  <c r="M25" i="150"/>
  <c r="M23" i="150"/>
  <c r="M22" i="150"/>
  <c r="M21" i="150"/>
  <c r="M13" i="150"/>
  <c r="I40" i="150"/>
  <c r="I39" i="150"/>
  <c r="I38" i="150"/>
  <c r="I37" i="150"/>
  <c r="I36" i="150"/>
  <c r="I35" i="150"/>
  <c r="I34" i="150"/>
  <c r="I33" i="150"/>
  <c r="I32" i="150"/>
  <c r="I31" i="150"/>
  <c r="I30" i="150"/>
  <c r="I29" i="150"/>
  <c r="I28" i="150"/>
  <c r="I27" i="150"/>
  <c r="I26" i="150"/>
  <c r="I25" i="150"/>
  <c r="I24" i="150"/>
  <c r="I23" i="150"/>
  <c r="I22" i="150"/>
  <c r="I13" i="150"/>
  <c r="M40" i="149"/>
  <c r="M39" i="149"/>
  <c r="M38" i="149"/>
  <c r="M37" i="149"/>
  <c r="M36" i="149"/>
  <c r="M35" i="149"/>
  <c r="M34" i="149"/>
  <c r="M33" i="149"/>
  <c r="M32" i="149"/>
  <c r="M31" i="149"/>
  <c r="M30" i="149"/>
  <c r="M29" i="149"/>
  <c r="M28" i="149"/>
  <c r="M27" i="149"/>
  <c r="M26" i="149"/>
  <c r="M25" i="149"/>
  <c r="M24" i="149"/>
  <c r="M23" i="149"/>
  <c r="M22" i="149"/>
  <c r="M21" i="149"/>
  <c r="M20" i="149"/>
  <c r="M19" i="149"/>
  <c r="M18" i="149"/>
  <c r="M17" i="149"/>
  <c r="M16" i="149"/>
  <c r="M15" i="149"/>
  <c r="M14" i="149"/>
  <c r="M13" i="149"/>
  <c r="M12" i="149"/>
  <c r="M11" i="149"/>
  <c r="M10" i="149"/>
  <c r="M9" i="149"/>
  <c r="M8" i="149"/>
  <c r="M7" i="149"/>
  <c r="M6" i="149"/>
  <c r="M5" i="149"/>
  <c r="I40" i="149"/>
  <c r="I39" i="149"/>
  <c r="I38" i="149"/>
  <c r="I37" i="149"/>
  <c r="I36" i="149"/>
  <c r="I35" i="149"/>
  <c r="I34" i="149"/>
  <c r="I33" i="149"/>
  <c r="I32" i="149"/>
  <c r="I31" i="149"/>
  <c r="I30" i="149"/>
  <c r="I29" i="149"/>
  <c r="I28" i="149"/>
  <c r="I27" i="149"/>
  <c r="I26" i="149"/>
  <c r="I25" i="149"/>
  <c r="I24" i="149"/>
  <c r="I23" i="149"/>
  <c r="I22" i="149"/>
  <c r="I21" i="149"/>
  <c r="I17" i="149"/>
  <c r="I16" i="149"/>
  <c r="I15" i="149"/>
  <c r="I14" i="149"/>
  <c r="I13" i="149"/>
  <c r="I12" i="149"/>
  <c r="I11" i="149"/>
  <c r="I10" i="149"/>
  <c r="I9" i="149"/>
  <c r="I8" i="149"/>
  <c r="I7" i="149"/>
  <c r="I6" i="149"/>
  <c r="I5" i="149"/>
  <c r="I40" i="148"/>
  <c r="I39" i="148"/>
  <c r="I38" i="148"/>
  <c r="I37" i="148"/>
  <c r="I36" i="148"/>
  <c r="I35" i="148"/>
  <c r="I34" i="148"/>
  <c r="I33" i="148"/>
  <c r="I32" i="148"/>
  <c r="I31" i="148"/>
  <c r="I30" i="148"/>
  <c r="I29" i="148"/>
  <c r="I28" i="148"/>
  <c r="I27" i="148"/>
  <c r="I26" i="148"/>
  <c r="I25" i="148"/>
  <c r="I24" i="148"/>
  <c r="I23" i="148"/>
  <c r="I22" i="148"/>
  <c r="I13" i="148"/>
  <c r="M40" i="148"/>
  <c r="M39" i="148"/>
  <c r="M38" i="148"/>
  <c r="M37" i="148"/>
  <c r="M36" i="148"/>
  <c r="M35" i="148"/>
  <c r="M34" i="148"/>
  <c r="M33" i="148"/>
  <c r="M32" i="148"/>
  <c r="M31" i="148"/>
  <c r="M30" i="148"/>
  <c r="M29" i="148"/>
  <c r="M28" i="148"/>
  <c r="M27" i="148"/>
  <c r="M26" i="148"/>
  <c r="M25" i="148"/>
  <c r="M24" i="148"/>
  <c r="M23" i="148"/>
  <c r="M22" i="148"/>
  <c r="M21" i="148"/>
  <c r="M20" i="148"/>
  <c r="M19" i="148"/>
  <c r="M18" i="148"/>
  <c r="M17" i="148"/>
  <c r="M16" i="148"/>
  <c r="M15" i="148"/>
  <c r="M14" i="148"/>
  <c r="M13" i="148"/>
  <c r="M12" i="148"/>
  <c r="M11" i="148"/>
  <c r="M10" i="148"/>
  <c r="M9" i="148"/>
  <c r="M8" i="148"/>
  <c r="M7" i="148"/>
  <c r="M6" i="148"/>
  <c r="M5" i="148"/>
  <c r="M40" i="144"/>
  <c r="M39" i="144"/>
  <c r="M38" i="144"/>
  <c r="M37" i="144"/>
  <c r="M36" i="144"/>
  <c r="M35" i="144"/>
  <c r="M34" i="144"/>
  <c r="M33" i="144"/>
  <c r="M32" i="144"/>
  <c r="M31" i="144"/>
  <c r="M30" i="144"/>
  <c r="M29" i="144"/>
  <c r="M28" i="144"/>
  <c r="M27" i="144"/>
  <c r="M26" i="144"/>
  <c r="M25" i="144"/>
  <c r="M24" i="144"/>
  <c r="M23" i="144"/>
  <c r="M22" i="144"/>
  <c r="M21" i="144"/>
  <c r="M20" i="144"/>
  <c r="M19" i="144"/>
  <c r="M18" i="144"/>
  <c r="M17" i="144"/>
  <c r="M16" i="144"/>
  <c r="M15" i="144"/>
  <c r="M14" i="144"/>
  <c r="M13" i="144"/>
  <c r="M12" i="144"/>
  <c r="M11" i="144"/>
  <c r="M10" i="144"/>
  <c r="M9" i="144"/>
  <c r="M8" i="144"/>
  <c r="M7" i="144"/>
  <c r="M6" i="144"/>
  <c r="M5" i="144"/>
  <c r="I39" i="144"/>
  <c r="I38" i="144"/>
  <c r="I37" i="144"/>
  <c r="I36" i="144"/>
  <c r="I35" i="144"/>
  <c r="I34" i="144"/>
  <c r="I33" i="144"/>
  <c r="I32" i="144"/>
  <c r="I31" i="144"/>
  <c r="I30" i="144"/>
  <c r="I29" i="144"/>
  <c r="I28" i="144"/>
  <c r="I27" i="144"/>
  <c r="I26" i="144"/>
  <c r="I25" i="144"/>
  <c r="I24" i="144"/>
  <c r="I23" i="144"/>
  <c r="I22" i="144"/>
  <c r="I21" i="144"/>
  <c r="I17" i="144"/>
  <c r="I16" i="144"/>
  <c r="I15" i="144"/>
  <c r="I14" i="144"/>
  <c r="I13" i="144"/>
  <c r="I12" i="144"/>
  <c r="I11" i="144"/>
  <c r="I10" i="144"/>
  <c r="I9" i="144"/>
  <c r="I8" i="144"/>
  <c r="I7" i="144"/>
  <c r="I6" i="144"/>
  <c r="I5" i="144"/>
  <c r="I40" i="144"/>
  <c r="M40" i="141"/>
  <c r="M39" i="141"/>
  <c r="M38" i="141"/>
  <c r="M37" i="141"/>
  <c r="M36" i="141"/>
  <c r="M35" i="141"/>
  <c r="M34" i="141"/>
  <c r="M33" i="141"/>
  <c r="M32" i="141"/>
  <c r="M31" i="141"/>
  <c r="M30" i="141"/>
  <c r="M29" i="141"/>
  <c r="M28" i="141"/>
  <c r="M27" i="141"/>
  <c r="M26" i="141"/>
  <c r="M25" i="141"/>
  <c r="M24" i="141"/>
  <c r="M23" i="141"/>
  <c r="M22" i="141"/>
  <c r="M21" i="141"/>
  <c r="M20" i="141"/>
  <c r="M19" i="141"/>
  <c r="M18" i="141"/>
  <c r="M17" i="141"/>
  <c r="M16" i="141"/>
  <c r="M15" i="141"/>
  <c r="M14" i="141"/>
  <c r="M13" i="141"/>
  <c r="M12" i="141"/>
  <c r="M11" i="141"/>
  <c r="M10" i="141"/>
  <c r="M9" i="141"/>
  <c r="M8" i="141"/>
  <c r="M7" i="141"/>
  <c r="M6" i="141"/>
  <c r="M5" i="141"/>
  <c r="I13" i="141"/>
  <c r="I22" i="141"/>
  <c r="I23" i="141"/>
  <c r="I24" i="141"/>
  <c r="I25" i="141"/>
  <c r="I26" i="141"/>
  <c r="I27" i="141"/>
  <c r="I28" i="141"/>
  <c r="I29" i="141"/>
  <c r="I30" i="141"/>
  <c r="I31" i="141"/>
  <c r="I32" i="141"/>
  <c r="I33" i="141"/>
  <c r="I34" i="141"/>
  <c r="I35" i="141"/>
  <c r="I36" i="141"/>
  <c r="I37" i="141"/>
  <c r="I38" i="141"/>
  <c r="I39" i="141"/>
  <c r="I40" i="141"/>
  <c r="I13" i="126"/>
  <c r="I22" i="126"/>
  <c r="I23" i="126"/>
  <c r="I24" i="126"/>
  <c r="I25" i="126"/>
  <c r="I26" i="126"/>
  <c r="I27" i="126"/>
  <c r="I28" i="126"/>
  <c r="I29" i="126"/>
  <c r="I30" i="126"/>
  <c r="I31" i="126"/>
  <c r="I32" i="126"/>
  <c r="I33" i="126"/>
  <c r="I34" i="126"/>
  <c r="I35" i="126"/>
  <c r="I36" i="126"/>
  <c r="I37" i="126"/>
  <c r="I38" i="126"/>
  <c r="I39" i="126"/>
  <c r="I40" i="126"/>
  <c r="I6" i="137"/>
  <c r="I7" i="137"/>
  <c r="I8" i="137"/>
  <c r="I9" i="137"/>
  <c r="I10" i="137"/>
  <c r="I11" i="137"/>
  <c r="I12" i="137"/>
  <c r="I13" i="137"/>
  <c r="I14" i="137"/>
  <c r="I15" i="137"/>
  <c r="I16" i="137"/>
  <c r="I17" i="137"/>
  <c r="I21" i="137"/>
  <c r="I22" i="137"/>
  <c r="I23" i="137"/>
  <c r="I24" i="137"/>
  <c r="I25" i="137"/>
  <c r="I26" i="137"/>
  <c r="I27" i="137"/>
  <c r="I28" i="137"/>
  <c r="I29" i="137"/>
  <c r="I30" i="137"/>
  <c r="I31" i="137"/>
  <c r="I32" i="137"/>
  <c r="I33" i="137"/>
  <c r="I34" i="137"/>
  <c r="I35" i="137"/>
  <c r="I36" i="137"/>
  <c r="I37" i="137"/>
  <c r="I38" i="137"/>
  <c r="I39" i="137"/>
  <c r="I40" i="137"/>
  <c r="I5" i="137"/>
  <c r="K46" i="31"/>
  <c r="H45" i="31"/>
  <c r="H46" i="31" s="1"/>
  <c r="G45" i="31"/>
  <c r="G46" i="31" s="1"/>
  <c r="F45" i="31"/>
  <c r="F46" i="31" s="1"/>
  <c r="E45" i="31"/>
  <c r="E46" i="31" s="1"/>
  <c r="D45" i="31"/>
  <c r="D46" i="31" s="1"/>
  <c r="J44" i="31"/>
  <c r="L44" i="31" s="1"/>
  <c r="M44" i="31" s="1"/>
  <c r="I44" i="31"/>
  <c r="J43" i="31"/>
  <c r="L43" i="31" s="1"/>
  <c r="M43" i="31" s="1"/>
  <c r="I43" i="31"/>
  <c r="J42" i="31"/>
  <c r="I42" i="31"/>
  <c r="J41" i="31"/>
  <c r="L41" i="31" s="1"/>
  <c r="M41" i="31" s="1"/>
  <c r="I41" i="31"/>
  <c r="J40" i="31"/>
  <c r="L40" i="31" s="1"/>
  <c r="M40" i="31" s="1"/>
  <c r="I40" i="31"/>
  <c r="J39" i="31"/>
  <c r="L39" i="31" s="1"/>
  <c r="M39" i="31" s="1"/>
  <c r="I39" i="31"/>
  <c r="J38" i="31"/>
  <c r="L38" i="31" s="1"/>
  <c r="M38" i="31" s="1"/>
  <c r="I38" i="31"/>
  <c r="J37" i="31"/>
  <c r="L37" i="31" s="1"/>
  <c r="M37" i="31" s="1"/>
  <c r="I37" i="31"/>
  <c r="J36" i="31"/>
  <c r="L36" i="31" s="1"/>
  <c r="M36" i="31" s="1"/>
  <c r="I36" i="31"/>
  <c r="J35" i="31"/>
  <c r="L35" i="31" s="1"/>
  <c r="M35" i="31" s="1"/>
  <c r="I35" i="31"/>
  <c r="J34" i="31"/>
  <c r="L34" i="31" s="1"/>
  <c r="M34" i="31" s="1"/>
  <c r="I34" i="31"/>
  <c r="J33" i="31"/>
  <c r="L33" i="31" s="1"/>
  <c r="M33" i="31" s="1"/>
  <c r="I33" i="31"/>
  <c r="J32" i="31"/>
  <c r="L32" i="31" s="1"/>
  <c r="M32" i="31" s="1"/>
  <c r="I32" i="31"/>
  <c r="J31" i="31"/>
  <c r="L31" i="31" s="1"/>
  <c r="M31" i="31" s="1"/>
  <c r="I31" i="31"/>
  <c r="J30" i="31"/>
  <c r="L30" i="31" s="1"/>
  <c r="M30" i="31" s="1"/>
  <c r="I30" i="31"/>
  <c r="J29" i="31"/>
  <c r="L29" i="31" s="1"/>
  <c r="M29" i="31" s="1"/>
  <c r="I29" i="31"/>
  <c r="J28" i="31"/>
  <c r="L28" i="31" s="1"/>
  <c r="M28" i="31" s="1"/>
  <c r="I28" i="31"/>
  <c r="J27" i="31"/>
  <c r="L27" i="31" s="1"/>
  <c r="M27" i="31" s="1"/>
  <c r="I27" i="31"/>
  <c r="J26" i="31"/>
  <c r="L26" i="31" s="1"/>
  <c r="M26" i="31" s="1"/>
  <c r="I26" i="31"/>
  <c r="J25" i="31"/>
  <c r="L25" i="31" s="1"/>
  <c r="M25" i="31" s="1"/>
  <c r="I25" i="31"/>
  <c r="J24" i="31"/>
  <c r="L24" i="31" s="1"/>
  <c r="M24" i="31" s="1"/>
  <c r="I24" i="31"/>
  <c r="J23" i="31"/>
  <c r="I23" i="31"/>
  <c r="J22" i="31"/>
  <c r="I22" i="31"/>
  <c r="J21" i="31"/>
  <c r="L21" i="31" s="1"/>
  <c r="M21" i="31" s="1"/>
  <c r="I21" i="31"/>
  <c r="J20" i="31"/>
  <c r="L20" i="31" s="1"/>
  <c r="M20" i="31" s="1"/>
  <c r="I20" i="31"/>
  <c r="J19" i="31"/>
  <c r="L19" i="31" s="1"/>
  <c r="M19" i="31" s="1"/>
  <c r="I19" i="31"/>
  <c r="J18" i="31"/>
  <c r="L18" i="31" s="1"/>
  <c r="M18" i="31" s="1"/>
  <c r="I18" i="31"/>
  <c r="J17" i="31"/>
  <c r="L17" i="31" s="1"/>
  <c r="M17" i="31" s="1"/>
  <c r="I17" i="31"/>
  <c r="J16" i="31"/>
  <c r="L16" i="31" s="1"/>
  <c r="M16" i="31" s="1"/>
  <c r="I16" i="31"/>
  <c r="J15" i="31"/>
  <c r="L15" i="31" s="1"/>
  <c r="M15" i="31" s="1"/>
  <c r="I15" i="31"/>
  <c r="J14" i="31"/>
  <c r="L14" i="31" s="1"/>
  <c r="M14" i="31" s="1"/>
  <c r="I14" i="31"/>
  <c r="J13" i="31"/>
  <c r="L13" i="31" s="1"/>
  <c r="M13" i="31" s="1"/>
  <c r="I13" i="31"/>
  <c r="J12" i="31"/>
  <c r="L12" i="31" s="1"/>
  <c r="M12" i="31" s="1"/>
  <c r="I12" i="31"/>
  <c r="J11" i="31"/>
  <c r="L11" i="31" s="1"/>
  <c r="M11" i="31" s="1"/>
  <c r="I11" i="31"/>
  <c r="J10" i="31"/>
  <c r="L10" i="31" s="1"/>
  <c r="M10" i="31" s="1"/>
  <c r="I10" i="31"/>
  <c r="J9" i="31"/>
  <c r="I9" i="31"/>
  <c r="K46" i="55"/>
  <c r="H45" i="55"/>
  <c r="H46" i="55" s="1"/>
  <c r="G45" i="55"/>
  <c r="G46" i="55" s="1"/>
  <c r="F45" i="55"/>
  <c r="F46" i="55" s="1"/>
  <c r="E45" i="55"/>
  <c r="E46" i="55" s="1"/>
  <c r="D45" i="55"/>
  <c r="D46" i="55" s="1"/>
  <c r="J44" i="55"/>
  <c r="L44" i="55" s="1"/>
  <c r="M44" i="55" s="1"/>
  <c r="I44" i="55"/>
  <c r="J43" i="55"/>
  <c r="L43" i="55" s="1"/>
  <c r="M43" i="55" s="1"/>
  <c r="I43" i="55"/>
  <c r="J42" i="55"/>
  <c r="I42" i="55"/>
  <c r="J41" i="55"/>
  <c r="L41" i="55" s="1"/>
  <c r="M41" i="55" s="1"/>
  <c r="I41" i="55"/>
  <c r="J40" i="55"/>
  <c r="L40" i="55" s="1"/>
  <c r="M40" i="55" s="1"/>
  <c r="I40" i="55"/>
  <c r="J39" i="55"/>
  <c r="L39" i="55" s="1"/>
  <c r="M39" i="55" s="1"/>
  <c r="I39" i="55"/>
  <c r="J38" i="55"/>
  <c r="L38" i="55" s="1"/>
  <c r="M38" i="55" s="1"/>
  <c r="I38" i="55"/>
  <c r="J37" i="55"/>
  <c r="L37" i="55" s="1"/>
  <c r="M37" i="55" s="1"/>
  <c r="I37" i="55"/>
  <c r="J36" i="55"/>
  <c r="L36" i="55" s="1"/>
  <c r="M36" i="55" s="1"/>
  <c r="I36" i="55"/>
  <c r="J35" i="55"/>
  <c r="L35" i="55" s="1"/>
  <c r="M35" i="55" s="1"/>
  <c r="I35" i="55"/>
  <c r="J34" i="55"/>
  <c r="L34" i="55" s="1"/>
  <c r="M34" i="55" s="1"/>
  <c r="I34" i="55"/>
  <c r="J33" i="55"/>
  <c r="L33" i="55" s="1"/>
  <c r="M33" i="55" s="1"/>
  <c r="I33" i="55"/>
  <c r="J32" i="55"/>
  <c r="L32" i="55" s="1"/>
  <c r="M32" i="55" s="1"/>
  <c r="I32" i="55"/>
  <c r="J31" i="55"/>
  <c r="L31" i="55" s="1"/>
  <c r="M31" i="55" s="1"/>
  <c r="I31" i="55"/>
  <c r="J30" i="55"/>
  <c r="L30" i="55" s="1"/>
  <c r="M30" i="55" s="1"/>
  <c r="I30" i="55"/>
  <c r="J29" i="55"/>
  <c r="L29" i="55" s="1"/>
  <c r="M29" i="55" s="1"/>
  <c r="I29" i="55"/>
  <c r="J28" i="55"/>
  <c r="L28" i="55" s="1"/>
  <c r="M28" i="55" s="1"/>
  <c r="I28" i="55"/>
  <c r="J27" i="55"/>
  <c r="L27" i="55" s="1"/>
  <c r="M27" i="55" s="1"/>
  <c r="I27" i="55"/>
  <c r="J26" i="55"/>
  <c r="L26" i="55" s="1"/>
  <c r="M26" i="55" s="1"/>
  <c r="I26" i="55"/>
  <c r="J25" i="55"/>
  <c r="L25" i="55" s="1"/>
  <c r="M25" i="55" s="1"/>
  <c r="I25" i="55"/>
  <c r="J24" i="55"/>
  <c r="L24" i="55" s="1"/>
  <c r="M24" i="55" s="1"/>
  <c r="I24" i="55"/>
  <c r="J23" i="55"/>
  <c r="I23" i="55"/>
  <c r="J22" i="55"/>
  <c r="I22" i="55"/>
  <c r="J21" i="55"/>
  <c r="L21" i="55" s="1"/>
  <c r="M21" i="55" s="1"/>
  <c r="I21" i="55"/>
  <c r="J20" i="55"/>
  <c r="I20" i="55"/>
  <c r="J19" i="55"/>
  <c r="I19" i="55"/>
  <c r="J18" i="55"/>
  <c r="L18" i="55" s="1"/>
  <c r="M18" i="55" s="1"/>
  <c r="I18" i="55"/>
  <c r="J17" i="55"/>
  <c r="L17" i="55" s="1"/>
  <c r="M17" i="55" s="1"/>
  <c r="I17" i="55"/>
  <c r="J16" i="55"/>
  <c r="L16" i="55" s="1"/>
  <c r="M16" i="55" s="1"/>
  <c r="I16" i="55"/>
  <c r="J15" i="55"/>
  <c r="I15" i="55"/>
  <c r="J14" i="55"/>
  <c r="L14" i="55" s="1"/>
  <c r="M14" i="55" s="1"/>
  <c r="I14" i="55"/>
  <c r="J13" i="55"/>
  <c r="I13" i="55"/>
  <c r="J12" i="55"/>
  <c r="I12" i="55"/>
  <c r="J11" i="55"/>
  <c r="I11" i="55"/>
  <c r="J10" i="55"/>
  <c r="I10" i="55"/>
  <c r="J9" i="55"/>
  <c r="I9" i="55"/>
  <c r="K46" i="56"/>
  <c r="H45" i="56"/>
  <c r="H46" i="56" s="1"/>
  <c r="G45" i="56"/>
  <c r="G46" i="56" s="1"/>
  <c r="F45" i="56"/>
  <c r="F46" i="56" s="1"/>
  <c r="E45" i="56"/>
  <c r="E46" i="56" s="1"/>
  <c r="D45" i="56"/>
  <c r="D46" i="56" s="1"/>
  <c r="J44" i="56"/>
  <c r="L44" i="56" s="1"/>
  <c r="M44" i="56" s="1"/>
  <c r="I44" i="56"/>
  <c r="J43" i="56"/>
  <c r="L43" i="56" s="1"/>
  <c r="M43" i="56" s="1"/>
  <c r="I43" i="56"/>
  <c r="J42" i="56"/>
  <c r="I42" i="56"/>
  <c r="J41" i="56"/>
  <c r="L41" i="56" s="1"/>
  <c r="M41" i="56" s="1"/>
  <c r="I41" i="56"/>
  <c r="J40" i="56"/>
  <c r="L40" i="56" s="1"/>
  <c r="M40" i="56" s="1"/>
  <c r="I40" i="56"/>
  <c r="J39" i="56"/>
  <c r="L39" i="56" s="1"/>
  <c r="M39" i="56" s="1"/>
  <c r="I39" i="56"/>
  <c r="J38" i="56"/>
  <c r="L38" i="56" s="1"/>
  <c r="M38" i="56" s="1"/>
  <c r="I38" i="56"/>
  <c r="J37" i="56"/>
  <c r="L37" i="56" s="1"/>
  <c r="M37" i="56" s="1"/>
  <c r="I37" i="56"/>
  <c r="J36" i="56"/>
  <c r="L36" i="56" s="1"/>
  <c r="M36" i="56" s="1"/>
  <c r="I36" i="56"/>
  <c r="J35" i="56"/>
  <c r="L35" i="56" s="1"/>
  <c r="M35" i="56" s="1"/>
  <c r="I35" i="56"/>
  <c r="J34" i="56"/>
  <c r="L34" i="56" s="1"/>
  <c r="M34" i="56" s="1"/>
  <c r="I34" i="56"/>
  <c r="J33" i="56"/>
  <c r="L33" i="56" s="1"/>
  <c r="M33" i="56" s="1"/>
  <c r="I33" i="56"/>
  <c r="J32" i="56"/>
  <c r="L32" i="56" s="1"/>
  <c r="M32" i="56" s="1"/>
  <c r="I32" i="56"/>
  <c r="J31" i="56"/>
  <c r="L31" i="56" s="1"/>
  <c r="M31" i="56" s="1"/>
  <c r="I31" i="56"/>
  <c r="J30" i="56"/>
  <c r="L30" i="56" s="1"/>
  <c r="M30" i="56" s="1"/>
  <c r="I30" i="56"/>
  <c r="J29" i="56"/>
  <c r="L29" i="56" s="1"/>
  <c r="M29" i="56" s="1"/>
  <c r="I29" i="56"/>
  <c r="J28" i="56"/>
  <c r="L28" i="56" s="1"/>
  <c r="M28" i="56" s="1"/>
  <c r="I28" i="56"/>
  <c r="J27" i="56"/>
  <c r="L27" i="56" s="1"/>
  <c r="M27" i="56" s="1"/>
  <c r="I27" i="56"/>
  <c r="J26" i="56"/>
  <c r="L26" i="56" s="1"/>
  <c r="M26" i="56" s="1"/>
  <c r="I26" i="56"/>
  <c r="J25" i="56"/>
  <c r="L25" i="56" s="1"/>
  <c r="M25" i="56" s="1"/>
  <c r="I25" i="56"/>
  <c r="J24" i="56"/>
  <c r="L24" i="56" s="1"/>
  <c r="M24" i="56" s="1"/>
  <c r="I24" i="56"/>
  <c r="J23" i="56"/>
  <c r="I23" i="56"/>
  <c r="J22" i="56"/>
  <c r="I22" i="56"/>
  <c r="J21" i="56"/>
  <c r="L21" i="56" s="1"/>
  <c r="M21" i="56" s="1"/>
  <c r="I21" i="56"/>
  <c r="J20" i="56"/>
  <c r="I20" i="56"/>
  <c r="J19" i="56"/>
  <c r="I19" i="56"/>
  <c r="J18" i="56"/>
  <c r="I18" i="56"/>
  <c r="J17" i="56"/>
  <c r="I17" i="56"/>
  <c r="J16" i="56"/>
  <c r="I16" i="56"/>
  <c r="J15" i="56"/>
  <c r="I15" i="56"/>
  <c r="J14" i="56"/>
  <c r="I14" i="56"/>
  <c r="J13" i="56"/>
  <c r="L13" i="56" s="1"/>
  <c r="M13" i="56" s="1"/>
  <c r="I13" i="56"/>
  <c r="J12" i="56"/>
  <c r="I12" i="56"/>
  <c r="J11" i="56"/>
  <c r="I11" i="56"/>
  <c r="J10" i="56"/>
  <c r="I10" i="56"/>
  <c r="J9" i="56"/>
  <c r="I9" i="56"/>
  <c r="S39" i="166"/>
  <c r="S38" i="166"/>
  <c r="S37" i="166"/>
  <c r="S36" i="166"/>
  <c r="S35" i="166"/>
  <c r="S34" i="166"/>
  <c r="S33" i="166"/>
  <c r="S32" i="166"/>
  <c r="S31" i="166"/>
  <c r="S30" i="166"/>
  <c r="S29" i="166"/>
  <c r="S28" i="166"/>
  <c r="S27" i="166"/>
  <c r="S26" i="166"/>
  <c r="S25" i="166"/>
  <c r="S23" i="166"/>
  <c r="S22" i="166"/>
  <c r="S21" i="166"/>
  <c r="S20" i="166"/>
  <c r="S19" i="166"/>
  <c r="S18" i="166"/>
  <c r="S17" i="166"/>
  <c r="S16" i="166"/>
  <c r="S15" i="166"/>
  <c r="S14" i="166"/>
  <c r="S13" i="166"/>
  <c r="S12" i="166"/>
  <c r="S11" i="166"/>
  <c r="S10" i="166"/>
  <c r="S9" i="166"/>
  <c r="S8" i="166"/>
  <c r="S7" i="166"/>
  <c r="S6" i="166"/>
  <c r="S5" i="166"/>
  <c r="S4" i="166"/>
  <c r="L20" i="56" l="1"/>
  <c r="M20" i="56" s="1"/>
  <c r="L15" i="56"/>
  <c r="M15" i="56" s="1"/>
  <c r="L23" i="56"/>
  <c r="M23" i="56" s="1"/>
  <c r="L23" i="31"/>
  <c r="M23" i="31" s="1"/>
  <c r="I45" i="31"/>
  <c r="I46" i="31" s="1"/>
  <c r="J45" i="31"/>
  <c r="J46" i="31" s="1"/>
  <c r="L22" i="31"/>
  <c r="M22" i="31" s="1"/>
  <c r="L23" i="55"/>
  <c r="M23" i="55" s="1"/>
  <c r="L19" i="55"/>
  <c r="M19" i="55" s="1"/>
  <c r="L20" i="55"/>
  <c r="M20" i="55" s="1"/>
  <c r="L11" i="55"/>
  <c r="M11" i="55" s="1"/>
  <c r="L10" i="55"/>
  <c r="M10" i="55" s="1"/>
  <c r="L12" i="55"/>
  <c r="M12" i="55" s="1"/>
  <c r="L22" i="55"/>
  <c r="M22" i="55" s="1"/>
  <c r="L15" i="55"/>
  <c r="M15" i="55" s="1"/>
  <c r="I45" i="55"/>
  <c r="I46" i="55" s="1"/>
  <c r="L13" i="55"/>
  <c r="M13" i="55" s="1"/>
  <c r="J45" i="55"/>
  <c r="J46" i="55" s="1"/>
  <c r="L19" i="56"/>
  <c r="M19" i="56" s="1"/>
  <c r="L18" i="56"/>
  <c r="M18" i="56" s="1"/>
  <c r="L14" i="56"/>
  <c r="M14" i="56" s="1"/>
  <c r="L16" i="56"/>
  <c r="M16" i="56" s="1"/>
  <c r="L22" i="56"/>
  <c r="M22" i="56" s="1"/>
  <c r="L17" i="56"/>
  <c r="M17" i="56" s="1"/>
  <c r="L9" i="31"/>
  <c r="L9" i="55"/>
  <c r="L12" i="56"/>
  <c r="M12" i="56" s="1"/>
  <c r="L11" i="56"/>
  <c r="M11" i="56" s="1"/>
  <c r="I45" i="56"/>
  <c r="I46" i="56" s="1"/>
  <c r="J45" i="56"/>
  <c r="J46" i="56" s="1"/>
  <c r="L10" i="56"/>
  <c r="M10" i="56" s="1"/>
  <c r="L9" i="56"/>
  <c r="M9" i="56" s="1"/>
  <c r="H62" i="123"/>
  <c r="H61" i="123"/>
  <c r="D62" i="123"/>
  <c r="D61" i="123"/>
  <c r="H60" i="123"/>
  <c r="D60" i="123"/>
  <c r="I2" i="123"/>
  <c r="C3" i="187"/>
  <c r="C4" i="187"/>
  <c r="C5" i="187"/>
  <c r="C6" i="187"/>
  <c r="C7" i="187"/>
  <c r="C8" i="187"/>
  <c r="C9" i="187"/>
  <c r="C10" i="187"/>
  <c r="C11" i="187"/>
  <c r="C12" i="187"/>
  <c r="C13" i="187"/>
  <c r="C14" i="187"/>
  <c r="C15" i="187"/>
  <c r="C16" i="187"/>
  <c r="C17" i="187"/>
  <c r="C18" i="187"/>
  <c r="C19" i="187"/>
  <c r="C20" i="187"/>
  <c r="C21" i="187"/>
  <c r="C22" i="187"/>
  <c r="C23" i="187"/>
  <c r="C24" i="187"/>
  <c r="C25" i="187"/>
  <c r="C26" i="187"/>
  <c r="C27" i="187"/>
  <c r="C28" i="187"/>
  <c r="C29" i="187"/>
  <c r="C30" i="187"/>
  <c r="C31" i="187"/>
  <c r="C32" i="187"/>
  <c r="C33" i="187"/>
  <c r="C34" i="187"/>
  <c r="C35" i="187"/>
  <c r="C36" i="187"/>
  <c r="C37" i="187"/>
  <c r="C38" i="187"/>
  <c r="L45" i="31" l="1"/>
  <c r="L46" i="31" s="1"/>
  <c r="M9" i="31"/>
  <c r="L45" i="55"/>
  <c r="L46" i="55" s="1"/>
  <c r="M9" i="55"/>
  <c r="L45" i="56"/>
  <c r="L46" i="56" s="1"/>
  <c r="T15" i="153" l="1"/>
  <c r="P39" i="151"/>
  <c r="P37" i="151"/>
  <c r="P15" i="150"/>
  <c r="P15" i="149"/>
  <c r="P15" i="144"/>
  <c r="P15" i="137"/>
  <c r="P15" i="126"/>
  <c r="AC75" i="134"/>
  <c r="AB75" i="134"/>
  <c r="AA75" i="134"/>
  <c r="Z75" i="134"/>
  <c r="Y75" i="134"/>
  <c r="X75" i="134"/>
  <c r="W75" i="134"/>
  <c r="V75" i="134"/>
  <c r="U75" i="134"/>
  <c r="T75" i="134"/>
  <c r="S75" i="134"/>
  <c r="R75" i="134"/>
  <c r="AC75" i="136"/>
  <c r="AB75" i="136"/>
  <c r="AA75" i="136"/>
  <c r="Z75" i="136"/>
  <c r="Y75" i="136"/>
  <c r="X75" i="136"/>
  <c r="W75" i="136"/>
  <c r="V75" i="136"/>
  <c r="U75" i="136"/>
  <c r="T75" i="136"/>
  <c r="S75" i="136"/>
  <c r="R75" i="136"/>
  <c r="AC75" i="135"/>
  <c r="AB75" i="135"/>
  <c r="AA75" i="135"/>
  <c r="Z75" i="135"/>
  <c r="Y75" i="135"/>
  <c r="X75" i="135"/>
  <c r="W75" i="135"/>
  <c r="V75" i="135"/>
  <c r="U75" i="135"/>
  <c r="T75" i="135"/>
  <c r="S75" i="135"/>
  <c r="R75" i="135"/>
  <c r="C10" i="186"/>
  <c r="Q10" i="186" s="1"/>
  <c r="C11" i="186"/>
  <c r="Q11" i="186" s="1"/>
  <c r="C12" i="186"/>
  <c r="Q12" i="186" s="1"/>
  <c r="BA12" i="186" s="1"/>
  <c r="C13" i="186"/>
  <c r="Q13" i="186" s="1"/>
  <c r="AZ13" i="186" s="1"/>
  <c r="E13" i="186" s="1"/>
  <c r="M13" i="186" s="1"/>
  <c r="C14" i="186"/>
  <c r="Q14" i="186" s="1"/>
  <c r="C15" i="186"/>
  <c r="Q15" i="186" s="1"/>
  <c r="C16" i="186"/>
  <c r="Q16" i="186" s="1"/>
  <c r="BA16" i="186" s="1"/>
  <c r="C17" i="186"/>
  <c r="Q17" i="186" s="1"/>
  <c r="AZ17" i="186" s="1"/>
  <c r="C18" i="186"/>
  <c r="Q18" i="186" s="1"/>
  <c r="C19" i="186"/>
  <c r="Q19" i="186" s="1"/>
  <c r="C20" i="186"/>
  <c r="Q20" i="186" s="1"/>
  <c r="BA20" i="186" s="1"/>
  <c r="C21" i="186"/>
  <c r="Q21" i="186" s="1"/>
  <c r="AZ21" i="186" s="1"/>
  <c r="C22" i="186"/>
  <c r="C23" i="186"/>
  <c r="Q23" i="186" s="1"/>
  <c r="C24" i="186"/>
  <c r="Q24" i="186" s="1"/>
  <c r="BA24" i="186" s="1"/>
  <c r="C25" i="186"/>
  <c r="Q25" i="186" s="1"/>
  <c r="C26" i="186"/>
  <c r="Q26" i="186" s="1"/>
  <c r="C27" i="186"/>
  <c r="Q27" i="186" s="1"/>
  <c r="C28" i="186"/>
  <c r="Q28" i="186" s="1"/>
  <c r="BA28" i="186" s="1"/>
  <c r="C29" i="186"/>
  <c r="Q29" i="186" s="1"/>
  <c r="C30" i="186"/>
  <c r="C31" i="186"/>
  <c r="C32" i="186"/>
  <c r="C33" i="186"/>
  <c r="C34" i="186"/>
  <c r="Q34" i="186" s="1"/>
  <c r="BA34" i="186" s="1"/>
  <c r="C35" i="186"/>
  <c r="C36" i="186"/>
  <c r="Q36" i="186" s="1"/>
  <c r="C37" i="186"/>
  <c r="Q37" i="186" s="1"/>
  <c r="C38" i="186"/>
  <c r="C39" i="186"/>
  <c r="C40" i="186"/>
  <c r="C41" i="186"/>
  <c r="C42" i="186"/>
  <c r="Q42" i="186" s="1"/>
  <c r="C43" i="186"/>
  <c r="Q43" i="186" s="1"/>
  <c r="C44" i="186"/>
  <c r="Q44" i="186" s="1"/>
  <c r="C9" i="185"/>
  <c r="N9" i="185" s="1"/>
  <c r="C10" i="185"/>
  <c r="N10" i="185" s="1"/>
  <c r="C11" i="185"/>
  <c r="N11" i="185" s="1"/>
  <c r="C12" i="185"/>
  <c r="N12" i="185" s="1"/>
  <c r="C13" i="185"/>
  <c r="N13" i="185" s="1"/>
  <c r="C14" i="185"/>
  <c r="N14" i="185" s="1"/>
  <c r="C15" i="185"/>
  <c r="N15" i="185" s="1"/>
  <c r="C16" i="185"/>
  <c r="N16" i="185" s="1"/>
  <c r="C17" i="185"/>
  <c r="N17" i="185" s="1"/>
  <c r="C18" i="185"/>
  <c r="N18" i="185" s="1"/>
  <c r="C19" i="185"/>
  <c r="N19" i="185" s="1"/>
  <c r="C20" i="185"/>
  <c r="N20" i="185" s="1"/>
  <c r="C21" i="185"/>
  <c r="N21" i="185" s="1"/>
  <c r="C22" i="185"/>
  <c r="N22" i="185" s="1"/>
  <c r="C23" i="185"/>
  <c r="N23" i="185" s="1"/>
  <c r="C24" i="185"/>
  <c r="N24" i="185" s="1"/>
  <c r="C25" i="185"/>
  <c r="N25" i="185" s="1"/>
  <c r="C26" i="185"/>
  <c r="N26" i="185" s="1"/>
  <c r="C27" i="185"/>
  <c r="N27" i="185" s="1"/>
  <c r="C28" i="185"/>
  <c r="N28" i="185" s="1"/>
  <c r="C29" i="185"/>
  <c r="N29" i="185" s="1"/>
  <c r="C30" i="185"/>
  <c r="N30" i="185" s="1"/>
  <c r="C31" i="185"/>
  <c r="N31" i="185" s="1"/>
  <c r="C32" i="185"/>
  <c r="N32" i="185" s="1"/>
  <c r="C33" i="185"/>
  <c r="N33" i="185" s="1"/>
  <c r="C34" i="185"/>
  <c r="N34" i="185" s="1"/>
  <c r="C35" i="185"/>
  <c r="N35" i="185" s="1"/>
  <c r="C36" i="185"/>
  <c r="N36" i="185" s="1"/>
  <c r="C37" i="185"/>
  <c r="N37" i="185" s="1"/>
  <c r="C38" i="185"/>
  <c r="N38" i="185" s="1"/>
  <c r="C39" i="185"/>
  <c r="N39" i="185" s="1"/>
  <c r="C40" i="185"/>
  <c r="N40" i="185" s="1"/>
  <c r="C41" i="185"/>
  <c r="N41" i="185" s="1"/>
  <c r="C42" i="185"/>
  <c r="N42" i="185" s="1"/>
  <c r="C43" i="185"/>
  <c r="N43" i="185" s="1"/>
  <c r="K46" i="186"/>
  <c r="K47" i="186" s="1"/>
  <c r="J46" i="186"/>
  <c r="J47" i="186" s="1"/>
  <c r="I46" i="186"/>
  <c r="I47" i="186" s="1"/>
  <c r="H46" i="186"/>
  <c r="H47" i="186" s="1"/>
  <c r="G46" i="186"/>
  <c r="F46" i="186"/>
  <c r="D46" i="186"/>
  <c r="AY45" i="186"/>
  <c r="AX45" i="186"/>
  <c r="AW45" i="186"/>
  <c r="AV45" i="186"/>
  <c r="AU45" i="186"/>
  <c r="AT45" i="186"/>
  <c r="AS45" i="186"/>
  <c r="AR45" i="186"/>
  <c r="AQ45" i="186"/>
  <c r="AP45" i="186"/>
  <c r="AO45" i="186"/>
  <c r="AN45" i="186"/>
  <c r="AM45" i="186"/>
  <c r="AL45" i="186"/>
  <c r="AK45" i="186"/>
  <c r="AJ45" i="186"/>
  <c r="AI45" i="186"/>
  <c r="AH45" i="186"/>
  <c r="AG45" i="186"/>
  <c r="AF45" i="186"/>
  <c r="AE45" i="186"/>
  <c r="AD45" i="186"/>
  <c r="AC45" i="186"/>
  <c r="AB45" i="186"/>
  <c r="AA45" i="186"/>
  <c r="Z45" i="186"/>
  <c r="Y45" i="186"/>
  <c r="X45" i="186"/>
  <c r="W45" i="186"/>
  <c r="V45" i="186"/>
  <c r="U45" i="186"/>
  <c r="T45" i="186"/>
  <c r="S45" i="186"/>
  <c r="R45" i="186"/>
  <c r="K45" i="186"/>
  <c r="J45" i="186"/>
  <c r="I45" i="186"/>
  <c r="H45" i="186"/>
  <c r="G45" i="186"/>
  <c r="F45" i="186"/>
  <c r="D45" i="186"/>
  <c r="O44" i="186"/>
  <c r="N44" i="186"/>
  <c r="L44" i="186"/>
  <c r="O43" i="186"/>
  <c r="N43" i="186"/>
  <c r="L43" i="186"/>
  <c r="O42" i="186"/>
  <c r="N42" i="186"/>
  <c r="L42" i="186"/>
  <c r="O41" i="186"/>
  <c r="N41" i="186"/>
  <c r="L41" i="186"/>
  <c r="Q41" i="186"/>
  <c r="O40" i="186"/>
  <c r="N40" i="186"/>
  <c r="L40" i="186"/>
  <c r="Q40" i="186"/>
  <c r="O39" i="186"/>
  <c r="N39" i="186"/>
  <c r="L39" i="186"/>
  <c r="Q39" i="186"/>
  <c r="O38" i="186"/>
  <c r="N38" i="186"/>
  <c r="L38" i="186"/>
  <c r="Q38" i="186"/>
  <c r="O37" i="186"/>
  <c r="N37" i="186"/>
  <c r="L37" i="186"/>
  <c r="O36" i="186"/>
  <c r="N36" i="186"/>
  <c r="L36" i="186"/>
  <c r="O35" i="186"/>
  <c r="N35" i="186"/>
  <c r="L35" i="186"/>
  <c r="Q35" i="186"/>
  <c r="O34" i="186"/>
  <c r="N34" i="186"/>
  <c r="L34" i="186"/>
  <c r="O33" i="186"/>
  <c r="N33" i="186"/>
  <c r="L33" i="186"/>
  <c r="Q33" i="186"/>
  <c r="O32" i="186"/>
  <c r="N32" i="186"/>
  <c r="L32" i="186"/>
  <c r="Q32" i="186"/>
  <c r="O31" i="186"/>
  <c r="N31" i="186"/>
  <c r="L31" i="186"/>
  <c r="Q31" i="186"/>
  <c r="O30" i="186"/>
  <c r="N30" i="186"/>
  <c r="L30" i="186"/>
  <c r="Q30" i="186"/>
  <c r="O29" i="186"/>
  <c r="N29" i="186"/>
  <c r="L29" i="186"/>
  <c r="O28" i="186"/>
  <c r="N28" i="186"/>
  <c r="L28" i="186"/>
  <c r="O27" i="186"/>
  <c r="N27" i="186"/>
  <c r="L27" i="186"/>
  <c r="O26" i="186"/>
  <c r="N26" i="186"/>
  <c r="L26" i="186"/>
  <c r="O25" i="186"/>
  <c r="N25" i="186"/>
  <c r="L25" i="186"/>
  <c r="O24" i="186"/>
  <c r="N24" i="186"/>
  <c r="L24" i="186"/>
  <c r="O23" i="186"/>
  <c r="N23" i="186"/>
  <c r="L23" i="186"/>
  <c r="O22" i="186"/>
  <c r="N22" i="186"/>
  <c r="L22" i="186"/>
  <c r="Q22" i="186"/>
  <c r="O21" i="186"/>
  <c r="N21" i="186"/>
  <c r="L21" i="186"/>
  <c r="O20" i="186"/>
  <c r="N20" i="186"/>
  <c r="L20" i="186"/>
  <c r="O19" i="186"/>
  <c r="N19" i="186"/>
  <c r="L19" i="186"/>
  <c r="O18" i="186"/>
  <c r="N18" i="186"/>
  <c r="L18" i="186"/>
  <c r="O17" i="186"/>
  <c r="N17" i="186"/>
  <c r="L17" i="186"/>
  <c r="O16" i="186"/>
  <c r="N16" i="186"/>
  <c r="L16" i="186"/>
  <c r="O15" i="186"/>
  <c r="N15" i="186"/>
  <c r="L15" i="186"/>
  <c r="O14" i="186"/>
  <c r="N14" i="186"/>
  <c r="L14" i="186"/>
  <c r="O13" i="186"/>
  <c r="N13" i="186"/>
  <c r="L13" i="186"/>
  <c r="O12" i="186"/>
  <c r="N12" i="186"/>
  <c r="L12" i="186"/>
  <c r="O11" i="186"/>
  <c r="N11" i="186"/>
  <c r="L11" i="186"/>
  <c r="O10" i="186"/>
  <c r="N10" i="186"/>
  <c r="L10" i="186"/>
  <c r="M45" i="185"/>
  <c r="L45" i="185"/>
  <c r="K45" i="185"/>
  <c r="J45" i="185"/>
  <c r="I45" i="185"/>
  <c r="H45" i="185"/>
  <c r="G45" i="185"/>
  <c r="F45" i="185"/>
  <c r="E45" i="185"/>
  <c r="M44" i="185"/>
  <c r="M46" i="185" s="1"/>
  <c r="L44" i="185"/>
  <c r="K44" i="185"/>
  <c r="J44" i="185"/>
  <c r="I44" i="185"/>
  <c r="H44" i="185"/>
  <c r="G44" i="185"/>
  <c r="F44" i="185"/>
  <c r="E44" i="185"/>
  <c r="E46" i="185" l="1"/>
  <c r="J46" i="185"/>
  <c r="L46" i="185"/>
  <c r="K46" i="185"/>
  <c r="I46" i="185"/>
  <c r="H46" i="185"/>
  <c r="G46" i="185"/>
  <c r="F46" i="185"/>
  <c r="AZ12" i="186"/>
  <c r="E12" i="186" s="1"/>
  <c r="M12" i="186" s="1"/>
  <c r="P12" i="186" s="1"/>
  <c r="E21" i="186"/>
  <c r="M21" i="186" s="1"/>
  <c r="P21" i="186" s="1"/>
  <c r="E17" i="186"/>
  <c r="M17" i="186" s="1"/>
  <c r="P17" i="186" s="1"/>
  <c r="F47" i="186"/>
  <c r="D47" i="186"/>
  <c r="G47" i="186"/>
  <c r="AZ25" i="186"/>
  <c r="E25" i="186" s="1"/>
  <c r="M25" i="186" s="1"/>
  <c r="P25" i="186" s="1"/>
  <c r="BA25" i="186"/>
  <c r="BA17" i="186"/>
  <c r="AZ23" i="186"/>
  <c r="E23" i="186" s="1"/>
  <c r="M23" i="186" s="1"/>
  <c r="P23" i="186" s="1"/>
  <c r="BA23" i="186"/>
  <c r="AZ15" i="186"/>
  <c r="E15" i="186" s="1"/>
  <c r="M15" i="186" s="1"/>
  <c r="P15" i="186" s="1"/>
  <c r="BA15" i="186"/>
  <c r="Q48" i="186"/>
  <c r="Q47" i="186"/>
  <c r="BA10" i="186"/>
  <c r="AZ10" i="186"/>
  <c r="E10" i="186" s="1"/>
  <c r="BA11" i="186"/>
  <c r="AZ11" i="186"/>
  <c r="E11" i="186" s="1"/>
  <c r="M11" i="186" s="1"/>
  <c r="P11" i="186" s="1"/>
  <c r="AZ19" i="186"/>
  <c r="BA19" i="186"/>
  <c r="BA26" i="186"/>
  <c r="AZ26" i="186"/>
  <c r="E26" i="186" s="1"/>
  <c r="M26" i="186" s="1"/>
  <c r="P26" i="186" s="1"/>
  <c r="BA27" i="186"/>
  <c r="AZ27" i="186"/>
  <c r="E27" i="186" s="1"/>
  <c r="M27" i="186" s="1"/>
  <c r="P27" i="186" s="1"/>
  <c r="AZ33" i="186"/>
  <c r="E33" i="186" s="1"/>
  <c r="M33" i="186" s="1"/>
  <c r="P33" i="186" s="1"/>
  <c r="BA33" i="186"/>
  <c r="AZ40" i="186"/>
  <c r="E40" i="186" s="1"/>
  <c r="M40" i="186" s="1"/>
  <c r="P40" i="186" s="1"/>
  <c r="BA40" i="186"/>
  <c r="AZ44" i="186"/>
  <c r="E44" i="186" s="1"/>
  <c r="M44" i="186" s="1"/>
  <c r="P44" i="186" s="1"/>
  <c r="BA44" i="186"/>
  <c r="BA13" i="186"/>
  <c r="BA21" i="186"/>
  <c r="BA30" i="186"/>
  <c r="AZ30" i="186"/>
  <c r="E30" i="186" s="1"/>
  <c r="M30" i="186" s="1"/>
  <c r="P30" i="186" s="1"/>
  <c r="AZ37" i="186"/>
  <c r="E37" i="186" s="1"/>
  <c r="M37" i="186" s="1"/>
  <c r="P37" i="186" s="1"/>
  <c r="BA37" i="186"/>
  <c r="AZ41" i="186"/>
  <c r="E41" i="186" s="1"/>
  <c r="M41" i="186" s="1"/>
  <c r="P41" i="186" s="1"/>
  <c r="BA41" i="186"/>
  <c r="AZ29" i="186"/>
  <c r="E29" i="186" s="1"/>
  <c r="M29" i="186" s="1"/>
  <c r="P29" i="186" s="1"/>
  <c r="BA29" i="186"/>
  <c r="BA32" i="186"/>
  <c r="AZ32" i="186"/>
  <c r="E32" i="186" s="1"/>
  <c r="M32" i="186" s="1"/>
  <c r="P32" i="186" s="1"/>
  <c r="BA35" i="186"/>
  <c r="AZ35" i="186"/>
  <c r="E35" i="186" s="1"/>
  <c r="M35" i="186" s="1"/>
  <c r="P35" i="186" s="1"/>
  <c r="BA39" i="186"/>
  <c r="AZ39" i="186"/>
  <c r="E39" i="186" s="1"/>
  <c r="M39" i="186" s="1"/>
  <c r="P39" i="186" s="1"/>
  <c r="BA43" i="186"/>
  <c r="AZ43" i="186"/>
  <c r="E43" i="186" s="1"/>
  <c r="M43" i="186" s="1"/>
  <c r="P43" i="186" s="1"/>
  <c r="AZ16" i="186"/>
  <c r="E16" i="186" s="1"/>
  <c r="M16" i="186" s="1"/>
  <c r="P16" i="186" s="1"/>
  <c r="BA18" i="186"/>
  <c r="AZ18" i="186"/>
  <c r="AZ24" i="186"/>
  <c r="E24" i="186" s="1"/>
  <c r="M24" i="186" s="1"/>
  <c r="P24" i="186" s="1"/>
  <c r="AZ36" i="186"/>
  <c r="E36" i="186" s="1"/>
  <c r="M36" i="186" s="1"/>
  <c r="P36" i="186" s="1"/>
  <c r="BA36" i="186"/>
  <c r="P13" i="186"/>
  <c r="BA14" i="186"/>
  <c r="AZ14" i="186"/>
  <c r="E14" i="186" s="1"/>
  <c r="M14" i="186" s="1"/>
  <c r="P14" i="186" s="1"/>
  <c r="AZ20" i="186"/>
  <c r="BA22" i="186"/>
  <c r="AZ22" i="186"/>
  <c r="E22" i="186" s="1"/>
  <c r="M22" i="186" s="1"/>
  <c r="P22" i="186" s="1"/>
  <c r="AZ28" i="186"/>
  <c r="E28" i="186" s="1"/>
  <c r="M28" i="186" s="1"/>
  <c r="P28" i="186" s="1"/>
  <c r="BA31" i="186"/>
  <c r="AZ31" i="186"/>
  <c r="E31" i="186" s="1"/>
  <c r="M31" i="186" s="1"/>
  <c r="P31" i="186" s="1"/>
  <c r="BA38" i="186"/>
  <c r="AZ38" i="186"/>
  <c r="E38" i="186" s="1"/>
  <c r="M38" i="186" s="1"/>
  <c r="P38" i="186" s="1"/>
  <c r="BA42" i="186"/>
  <c r="AZ42" i="186"/>
  <c r="E42" i="186" s="1"/>
  <c r="M42" i="186" s="1"/>
  <c r="P42" i="186" s="1"/>
  <c r="AZ34" i="186"/>
  <c r="E34" i="186" s="1"/>
  <c r="M34" i="186" s="1"/>
  <c r="P34" i="186" s="1"/>
  <c r="E20" i="186" l="1"/>
  <c r="M20" i="186" s="1"/>
  <c r="P20" i="186" s="1"/>
  <c r="E19" i="186"/>
  <c r="E18" i="186"/>
  <c r="Q46" i="186"/>
  <c r="AO46" i="186" s="1"/>
  <c r="M10" i="186"/>
  <c r="P10" i="186" s="1"/>
  <c r="AG46" i="186" l="1"/>
  <c r="AX46" i="186"/>
  <c r="AB46" i="186"/>
  <c r="AK46" i="186"/>
  <c r="AC46" i="186"/>
  <c r="AP46" i="186"/>
  <c r="S46" i="186"/>
  <c r="AY46" i="186"/>
  <c r="T46" i="186"/>
  <c r="R46" i="186"/>
  <c r="W46" i="186"/>
  <c r="AF46" i="186"/>
  <c r="AS46" i="186"/>
  <c r="V46" i="186"/>
  <c r="AE46" i="186"/>
  <c r="AJ46" i="186"/>
  <c r="AW46" i="186"/>
  <c r="AV46" i="186"/>
  <c r="Z46" i="186"/>
  <c r="AI46" i="186"/>
  <c r="AR46" i="186"/>
  <c r="AH46" i="186"/>
  <c r="AM46" i="186"/>
  <c r="AL46" i="186"/>
  <c r="AU46" i="186"/>
  <c r="U46" i="186"/>
  <c r="AD46" i="186"/>
  <c r="AT46" i="186"/>
  <c r="AA46" i="186"/>
  <c r="AQ46" i="186"/>
  <c r="X46" i="186"/>
  <c r="AN46" i="186"/>
  <c r="Y46" i="186"/>
  <c r="E45" i="186"/>
  <c r="M19" i="186"/>
  <c r="P19" i="186" s="1"/>
  <c r="E46" i="186"/>
  <c r="M18" i="186"/>
  <c r="P18" i="186" s="1"/>
  <c r="N7" i="127"/>
  <c r="N8" i="127"/>
  <c r="N9" i="127"/>
  <c r="N10" i="127"/>
  <c r="N11" i="127"/>
  <c r="N12" i="127"/>
  <c r="N13" i="127"/>
  <c r="N14" i="127"/>
  <c r="N15" i="127"/>
  <c r="N16" i="127"/>
  <c r="N17" i="127"/>
  <c r="N18" i="127"/>
  <c r="N19" i="127"/>
  <c r="N20" i="127"/>
  <c r="N21" i="127"/>
  <c r="N22" i="127"/>
  <c r="N23" i="127"/>
  <c r="N24" i="127"/>
  <c r="N25" i="127"/>
  <c r="N26" i="127"/>
  <c r="N27" i="127"/>
  <c r="E47" i="186" l="1"/>
  <c r="AD51" i="175"/>
  <c r="AE51" i="175"/>
  <c r="AC51" i="175"/>
  <c r="AB51" i="175"/>
  <c r="AE50" i="175"/>
  <c r="AD50" i="175"/>
  <c r="AC50" i="175"/>
  <c r="AB50" i="175"/>
  <c r="AE49" i="175"/>
  <c r="AD49" i="175"/>
  <c r="AC49" i="175"/>
  <c r="AB49" i="175"/>
  <c r="AE48" i="175"/>
  <c r="AD48" i="175"/>
  <c r="AC48" i="175"/>
  <c r="AB48" i="175"/>
  <c r="P48" i="175"/>
  <c r="S51" i="175"/>
  <c r="R51" i="175"/>
  <c r="Q51" i="175"/>
  <c r="P51" i="175"/>
  <c r="S50" i="175"/>
  <c r="R50" i="175"/>
  <c r="Q50" i="175"/>
  <c r="P50" i="175"/>
  <c r="S49" i="175"/>
  <c r="R49" i="175"/>
  <c r="Q49" i="175"/>
  <c r="P49" i="175"/>
  <c r="S48" i="175"/>
  <c r="R48" i="175"/>
  <c r="Q48" i="175"/>
  <c r="G51" i="175"/>
  <c r="F51" i="175"/>
  <c r="E51" i="175"/>
  <c r="D51" i="175"/>
  <c r="G50" i="175"/>
  <c r="F50" i="175"/>
  <c r="E50" i="175"/>
  <c r="D50" i="175"/>
  <c r="G49" i="175"/>
  <c r="F49" i="175"/>
  <c r="E49" i="175"/>
  <c r="D49" i="175"/>
  <c r="G48" i="175"/>
  <c r="F48" i="175"/>
  <c r="E48" i="175"/>
  <c r="D48" i="175"/>
  <c r="U54" i="123"/>
  <c r="O54" i="123"/>
  <c r="R54" i="123"/>
  <c r="L54" i="123"/>
  <c r="T54" i="123"/>
  <c r="N54" i="123"/>
  <c r="Q54" i="123"/>
  <c r="K54" i="123"/>
  <c r="S54" i="123"/>
  <c r="M54" i="123"/>
  <c r="P54" i="123"/>
  <c r="J54" i="123"/>
  <c r="AA12" i="175"/>
  <c r="AA13" i="175"/>
  <c r="AA14" i="175"/>
  <c r="AA15" i="175"/>
  <c r="AA16" i="175"/>
  <c r="AA17" i="175"/>
  <c r="AA18" i="175"/>
  <c r="AA19" i="175"/>
  <c r="AA20" i="175"/>
  <c r="AA21" i="175"/>
  <c r="AA22" i="175"/>
  <c r="AA23" i="175"/>
  <c r="AA24" i="175"/>
  <c r="AA25" i="175"/>
  <c r="AA26" i="175"/>
  <c r="AA27" i="175"/>
  <c r="AA28" i="175"/>
  <c r="AA29" i="175"/>
  <c r="AA30" i="175"/>
  <c r="AA31" i="175"/>
  <c r="AA32" i="175"/>
  <c r="AA33" i="175"/>
  <c r="AA34" i="175"/>
  <c r="AA35" i="175"/>
  <c r="AA36" i="175"/>
  <c r="AA37" i="175"/>
  <c r="AA38" i="175"/>
  <c r="AA39" i="175"/>
  <c r="AA40" i="175"/>
  <c r="AA41" i="175"/>
  <c r="AA42" i="175"/>
  <c r="AA43" i="175"/>
  <c r="AA44" i="175"/>
  <c r="AA45" i="175"/>
  <c r="AA46" i="175"/>
  <c r="AA11" i="175"/>
  <c r="AE47" i="175"/>
  <c r="AD47" i="175"/>
  <c r="AC47" i="175"/>
  <c r="AB47" i="175"/>
  <c r="AF35" i="175"/>
  <c r="AF24" i="175"/>
  <c r="AF13" i="175"/>
  <c r="AF2" i="175"/>
  <c r="O11" i="175"/>
  <c r="O12" i="175"/>
  <c r="O13" i="175"/>
  <c r="O14" i="175"/>
  <c r="O15" i="175"/>
  <c r="O16" i="175"/>
  <c r="O17" i="175"/>
  <c r="O18" i="175"/>
  <c r="O19" i="175"/>
  <c r="O20" i="175"/>
  <c r="O21" i="175"/>
  <c r="O22" i="175"/>
  <c r="O23" i="175"/>
  <c r="O24" i="175"/>
  <c r="O25" i="175"/>
  <c r="O26" i="175"/>
  <c r="O27" i="175"/>
  <c r="O28" i="175"/>
  <c r="O29" i="175"/>
  <c r="O30" i="175"/>
  <c r="O31" i="175"/>
  <c r="O32" i="175"/>
  <c r="O33" i="175"/>
  <c r="O34" i="175"/>
  <c r="O35" i="175"/>
  <c r="O36" i="175"/>
  <c r="O37" i="175"/>
  <c r="O38" i="175"/>
  <c r="O39" i="175"/>
  <c r="O40" i="175"/>
  <c r="O41" i="175"/>
  <c r="O42" i="175"/>
  <c r="O43" i="175"/>
  <c r="O44" i="175"/>
  <c r="O45" i="175"/>
  <c r="O46" i="175"/>
  <c r="S47" i="175"/>
  <c r="R47" i="175"/>
  <c r="Q47" i="175"/>
  <c r="P47" i="175"/>
  <c r="T35" i="175"/>
  <c r="T24" i="175"/>
  <c r="T13" i="175"/>
  <c r="T2" i="175"/>
  <c r="R4" i="166"/>
  <c r="H52" i="55"/>
  <c r="H51" i="55" s="1"/>
  <c r="G52" i="55"/>
  <c r="G51" i="55" s="1"/>
  <c r="F52" i="55"/>
  <c r="F51" i="55" s="1"/>
  <c r="E52" i="55"/>
  <c r="E51" i="55" s="1"/>
  <c r="D52" i="55"/>
  <c r="D51" i="55" s="1"/>
  <c r="O47" i="175" l="1"/>
  <c r="AA47" i="175"/>
  <c r="E49" i="55"/>
  <c r="E50" i="55"/>
  <c r="G49" i="55"/>
  <c r="G50" i="55"/>
  <c r="H50" i="55"/>
  <c r="H49" i="55"/>
  <c r="D49" i="55"/>
  <c r="D50" i="55"/>
  <c r="F50" i="55"/>
  <c r="F49" i="55"/>
  <c r="W41" i="166" l="1"/>
  <c r="Y41" i="166"/>
  <c r="Z41" i="166"/>
  <c r="AA41" i="166"/>
  <c r="AC41" i="166"/>
  <c r="AD41" i="166"/>
  <c r="AE41" i="166"/>
  <c r="V41" i="166"/>
  <c r="AE42" i="166"/>
  <c r="AD42" i="166"/>
  <c r="AC42" i="166"/>
  <c r="AA42" i="166"/>
  <c r="AA40" i="166" s="1"/>
  <c r="AA43" i="166" s="1"/>
  <c r="Z42" i="166"/>
  <c r="Y42" i="166"/>
  <c r="W42" i="166"/>
  <c r="V42" i="166"/>
  <c r="U42" i="166"/>
  <c r="U40" i="166" s="1"/>
  <c r="U43" i="166" s="1"/>
  <c r="W40" i="166" l="1"/>
  <c r="W43" i="166" s="1"/>
  <c r="Z40" i="166"/>
  <c r="Z43" i="166" s="1"/>
  <c r="AC40" i="166"/>
  <c r="AC43" i="166" s="1"/>
  <c r="AE40" i="166"/>
  <c r="AE43" i="166" s="1"/>
  <c r="AD40" i="166"/>
  <c r="Y40" i="166"/>
  <c r="Y43" i="166" s="1"/>
  <c r="V40" i="166"/>
  <c r="V43" i="166" l="1"/>
  <c r="AD43" i="166"/>
  <c r="B2" i="184" l="1"/>
  <c r="B2" i="125"/>
  <c r="X13" i="170"/>
  <c r="W13" i="170"/>
  <c r="V13" i="170"/>
  <c r="U13" i="170"/>
  <c r="T13" i="170"/>
  <c r="S13" i="170"/>
  <c r="R13" i="170"/>
  <c r="Q13" i="170"/>
  <c r="P13" i="170"/>
  <c r="O13" i="170"/>
  <c r="N13" i="170"/>
  <c r="M13" i="170"/>
  <c r="L13" i="170"/>
  <c r="K13" i="170"/>
  <c r="J13" i="170"/>
  <c r="AG11" i="178" l="1"/>
  <c r="AC11" i="178"/>
  <c r="Y11" i="178"/>
  <c r="B5" i="179" l="1"/>
  <c r="D14" i="179"/>
  <c r="D16" i="179" s="1"/>
  <c r="E26" i="179" s="1"/>
  <c r="C49" i="180"/>
  <c r="I49" i="180" s="1"/>
  <c r="C48" i="180"/>
  <c r="J48" i="180" s="1"/>
  <c r="C47" i="180"/>
  <c r="I47" i="180" s="1"/>
  <c r="C46" i="180"/>
  <c r="J46" i="180" s="1"/>
  <c r="C45" i="180"/>
  <c r="J45" i="180" s="1"/>
  <c r="C44" i="180"/>
  <c r="I44" i="180" s="1"/>
  <c r="C43" i="180"/>
  <c r="J43" i="180" s="1"/>
  <c r="C42" i="180"/>
  <c r="C41" i="180"/>
  <c r="C40" i="180"/>
  <c r="I40" i="180" s="1"/>
  <c r="C39" i="180"/>
  <c r="C38" i="180"/>
  <c r="C37" i="180"/>
  <c r="C36" i="180"/>
  <c r="C35" i="180"/>
  <c r="C34" i="180"/>
  <c r="C33" i="180"/>
  <c r="C32" i="180"/>
  <c r="C31" i="180"/>
  <c r="C30" i="180"/>
  <c r="I30" i="180" s="1"/>
  <c r="J30" i="180" s="1"/>
  <c r="C29" i="180"/>
  <c r="I29" i="180" s="1"/>
  <c r="J29" i="180" s="1"/>
  <c r="C28" i="180"/>
  <c r="I28" i="180" s="1"/>
  <c r="J28" i="180" s="1"/>
  <c r="C27" i="180"/>
  <c r="I27" i="180" s="1"/>
  <c r="J27" i="180" s="1"/>
  <c r="C26" i="180"/>
  <c r="I26" i="180" s="1"/>
  <c r="J26" i="180" s="1"/>
  <c r="C25" i="180"/>
  <c r="I25" i="180" s="1"/>
  <c r="J25" i="180" s="1"/>
  <c r="C24" i="180"/>
  <c r="C23" i="180"/>
  <c r="I23" i="180" s="1"/>
  <c r="J23" i="180" s="1"/>
  <c r="C22" i="180"/>
  <c r="I22" i="180" s="1"/>
  <c r="J22" i="180" s="1"/>
  <c r="C21" i="180"/>
  <c r="I21" i="180" s="1"/>
  <c r="J21" i="180" s="1"/>
  <c r="C20" i="180"/>
  <c r="I20" i="180" s="1"/>
  <c r="J20" i="180" s="1"/>
  <c r="C19" i="180"/>
  <c r="I19" i="180" s="1"/>
  <c r="J19" i="180" s="1"/>
  <c r="C18" i="180"/>
  <c r="I18" i="180" s="1"/>
  <c r="C17" i="180"/>
  <c r="C16" i="180"/>
  <c r="I16" i="180" s="1"/>
  <c r="J16" i="180" s="1"/>
  <c r="C15" i="180"/>
  <c r="I15" i="180" s="1"/>
  <c r="C14" i="180"/>
  <c r="AA47" i="180"/>
  <c r="J47" i="180"/>
  <c r="AA46" i="180"/>
  <c r="AA45" i="180"/>
  <c r="AA44" i="180"/>
  <c r="AA43" i="180"/>
  <c r="J42" i="180"/>
  <c r="I42" i="180"/>
  <c r="J41" i="180"/>
  <c r="AA39" i="180"/>
  <c r="AA38" i="180"/>
  <c r="AA37" i="180"/>
  <c r="AA36" i="180"/>
  <c r="AA35" i="180"/>
  <c r="AA34" i="180"/>
  <c r="AA33" i="180"/>
  <c r="AA32" i="180"/>
  <c r="AA28" i="180"/>
  <c r="AA27" i="180"/>
  <c r="AA26" i="180"/>
  <c r="AA25" i="180"/>
  <c r="AA24" i="180"/>
  <c r="AA23" i="180"/>
  <c r="AA22" i="180"/>
  <c r="AA21" i="180"/>
  <c r="AA20" i="180"/>
  <c r="AA19" i="180"/>
  <c r="AA18" i="180"/>
  <c r="AC9" i="180"/>
  <c r="AD14" i="180" s="1"/>
  <c r="H52" i="31"/>
  <c r="H51" i="31" s="1"/>
  <c r="G52" i="31"/>
  <c r="G51" i="31" s="1"/>
  <c r="F52" i="31"/>
  <c r="F51" i="31" s="1"/>
  <c r="E52" i="31"/>
  <c r="E51" i="31" s="1"/>
  <c r="D52" i="31"/>
  <c r="D51" i="31" s="1"/>
  <c r="D49" i="31" s="1"/>
  <c r="I43" i="180" l="1"/>
  <c r="I45" i="180"/>
  <c r="AA48" i="180"/>
  <c r="J36" i="180"/>
  <c r="I46" i="180"/>
  <c r="J44" i="180"/>
  <c r="L26" i="179"/>
  <c r="D26" i="179"/>
  <c r="K26" i="179"/>
  <c r="R26" i="179"/>
  <c r="J26" i="179"/>
  <c r="Q26" i="179"/>
  <c r="I26" i="179"/>
  <c r="P26" i="179"/>
  <c r="H26" i="179"/>
  <c r="O26" i="179"/>
  <c r="G26" i="179"/>
  <c r="N26" i="179"/>
  <c r="F26" i="179"/>
  <c r="M26" i="179"/>
  <c r="D15" i="179"/>
  <c r="AA29" i="180"/>
  <c r="AE9" i="180" s="1"/>
  <c r="AA40" i="180"/>
  <c r="AF9" i="180" s="1"/>
  <c r="I24" i="180"/>
  <c r="J24" i="180" s="1"/>
  <c r="J49" i="180"/>
  <c r="I17" i="180"/>
  <c r="J17" i="180" s="1"/>
  <c r="AG9" i="180"/>
  <c r="J40" i="180"/>
  <c r="I32" i="180"/>
  <c r="J32" i="180" s="1"/>
  <c r="I34" i="180"/>
  <c r="J34" i="180" s="1"/>
  <c r="I36" i="180"/>
  <c r="I38" i="180"/>
  <c r="J38" i="180" s="1"/>
  <c r="J15" i="180"/>
  <c r="J18" i="180"/>
  <c r="I14" i="180"/>
  <c r="J14" i="180" s="1"/>
  <c r="I33" i="180"/>
  <c r="J33" i="180" s="1"/>
  <c r="I35" i="180"/>
  <c r="J35" i="180" s="1"/>
  <c r="I37" i="180"/>
  <c r="J37" i="180" s="1"/>
  <c r="I39" i="180"/>
  <c r="J39" i="180" s="1"/>
  <c r="I41" i="180"/>
  <c r="I31" i="180"/>
  <c r="J31" i="180" s="1"/>
  <c r="I48" i="180"/>
  <c r="E50" i="31"/>
  <c r="E49" i="31"/>
  <c r="G50" i="31"/>
  <c r="G49" i="31"/>
  <c r="H49" i="31"/>
  <c r="H50" i="31"/>
  <c r="F50" i="31"/>
  <c r="F49" i="31"/>
  <c r="D50" i="31"/>
  <c r="F25" i="179" l="1"/>
  <c r="N25" i="179"/>
  <c r="M25" i="179"/>
  <c r="G25" i="179"/>
  <c r="O25" i="179"/>
  <c r="H25" i="179"/>
  <c r="P25" i="179"/>
  <c r="I25" i="179"/>
  <c r="Q25" i="179"/>
  <c r="J25" i="179"/>
  <c r="R25" i="179"/>
  <c r="K25" i="179"/>
  <c r="D25" i="179"/>
  <c r="E25" i="179"/>
  <c r="L25" i="179"/>
  <c r="AA15" i="180"/>
  <c r="AD9" i="180" s="1"/>
  <c r="AH9" i="180" s="1"/>
  <c r="T12" i="179"/>
  <c r="R23" i="179" s="1"/>
  <c r="S12" i="179"/>
  <c r="O23" i="179" s="1"/>
  <c r="R12" i="179"/>
  <c r="L23" i="179" s="1"/>
  <c r="Q12" i="179"/>
  <c r="I23" i="179" s="1"/>
  <c r="P12" i="179"/>
  <c r="F23" i="179" s="1"/>
  <c r="N12" i="179"/>
  <c r="Q23" i="179" s="1"/>
  <c r="M12" i="179"/>
  <c r="N23" i="179" s="1"/>
  <c r="L12" i="179"/>
  <c r="K23" i="179" s="1"/>
  <c r="K12" i="179"/>
  <c r="H23" i="179" s="1"/>
  <c r="J12" i="179"/>
  <c r="E23" i="179" s="1"/>
  <c r="P23" i="179"/>
  <c r="M23" i="179"/>
  <c r="J23" i="179"/>
  <c r="G23" i="179"/>
  <c r="D23" i="179"/>
  <c r="T11" i="179"/>
  <c r="R22" i="179" s="1"/>
  <c r="S11" i="179"/>
  <c r="O22" i="179" s="1"/>
  <c r="R11" i="179"/>
  <c r="L22" i="179" s="1"/>
  <c r="Q11" i="179"/>
  <c r="I22" i="179" s="1"/>
  <c r="P11" i="179"/>
  <c r="F22" i="179" s="1"/>
  <c r="N11" i="179"/>
  <c r="Q22" i="179" s="1"/>
  <c r="M11" i="179"/>
  <c r="N22" i="179" s="1"/>
  <c r="L11" i="179"/>
  <c r="K22" i="179" s="1"/>
  <c r="K11" i="179"/>
  <c r="H22" i="179" s="1"/>
  <c r="J11" i="179"/>
  <c r="E22" i="179" s="1"/>
  <c r="P22" i="179"/>
  <c r="M22" i="179"/>
  <c r="J22" i="179"/>
  <c r="G22" i="179"/>
  <c r="D22" i="179"/>
  <c r="B2" i="179"/>
  <c r="AA50" i="180" l="1"/>
  <c r="AA51" i="180"/>
  <c r="AA52" i="180" s="1"/>
  <c r="AI9" i="180" s="1"/>
  <c r="AG17" i="180" s="1"/>
  <c r="AI17" i="180" s="1"/>
  <c r="R44" i="31"/>
  <c r="R43" i="31"/>
  <c r="R42" i="31"/>
  <c r="R41" i="31"/>
  <c r="R40" i="31"/>
  <c r="R39" i="31"/>
  <c r="R38" i="31"/>
  <c r="R37" i="31"/>
  <c r="R36" i="31"/>
  <c r="R35" i="31"/>
  <c r="R34" i="31"/>
  <c r="R33" i="31"/>
  <c r="R32" i="31"/>
  <c r="R31" i="31"/>
  <c r="R30" i="31"/>
  <c r="R29" i="31"/>
  <c r="R28" i="31"/>
  <c r="R27" i="31"/>
  <c r="R26" i="31"/>
  <c r="R25" i="31"/>
  <c r="R24" i="31"/>
  <c r="R22" i="31"/>
  <c r="R21" i="31"/>
  <c r="R20" i="31"/>
  <c r="R19" i="31"/>
  <c r="R18" i="31"/>
  <c r="R17" i="31"/>
  <c r="R16" i="31"/>
  <c r="R15" i="31"/>
  <c r="R14" i="31"/>
  <c r="R13" i="31"/>
  <c r="R12" i="31"/>
  <c r="R11" i="31"/>
  <c r="R10" i="31"/>
  <c r="R9" i="31"/>
  <c r="R44" i="55"/>
  <c r="R43" i="55"/>
  <c r="R42" i="55"/>
  <c r="R41" i="55"/>
  <c r="R40" i="55"/>
  <c r="R39" i="55"/>
  <c r="R38" i="55"/>
  <c r="R37" i="55"/>
  <c r="R36" i="55"/>
  <c r="R35" i="55"/>
  <c r="R34" i="55"/>
  <c r="R33" i="55"/>
  <c r="R32" i="55"/>
  <c r="R31" i="55"/>
  <c r="R30" i="55"/>
  <c r="R29" i="55"/>
  <c r="R28" i="55"/>
  <c r="R27" i="55"/>
  <c r="R26" i="55"/>
  <c r="R25" i="55"/>
  <c r="R24" i="55"/>
  <c r="R23" i="55"/>
  <c r="R22" i="55"/>
  <c r="R21" i="55"/>
  <c r="R20" i="55"/>
  <c r="R19" i="55"/>
  <c r="R18" i="55"/>
  <c r="R17" i="55"/>
  <c r="R16" i="55"/>
  <c r="R15" i="55"/>
  <c r="R14" i="55"/>
  <c r="R13" i="55"/>
  <c r="R12" i="55"/>
  <c r="R11" i="55"/>
  <c r="R10" i="55"/>
  <c r="R9" i="55"/>
  <c r="D20" i="178"/>
  <c r="E6" i="178" s="1"/>
  <c r="D18" i="178"/>
  <c r="D12" i="178"/>
  <c r="E3" i="178"/>
  <c r="AF11" i="178" l="1"/>
  <c r="AB11" i="178"/>
  <c r="X11" i="178"/>
  <c r="AG16" i="180"/>
  <c r="AI16" i="180" s="1"/>
  <c r="AG15" i="180"/>
  <c r="AI15" i="180" s="1"/>
  <c r="AG18" i="180"/>
  <c r="AI18" i="180" s="1"/>
  <c r="E5" i="178"/>
  <c r="E4" i="178"/>
  <c r="AN15" i="166" l="1"/>
  <c r="AQ16" i="166"/>
  <c r="C11" i="175"/>
  <c r="C12" i="175"/>
  <c r="C13" i="175"/>
  <c r="C14" i="175"/>
  <c r="C15" i="175"/>
  <c r="C16" i="175"/>
  <c r="C17" i="175"/>
  <c r="C18" i="175"/>
  <c r="C19" i="175"/>
  <c r="C20" i="175"/>
  <c r="C21" i="175"/>
  <c r="C22" i="175"/>
  <c r="C23" i="175"/>
  <c r="C24" i="175"/>
  <c r="C25" i="175"/>
  <c r="C26" i="175"/>
  <c r="C27" i="175"/>
  <c r="C28" i="175"/>
  <c r="C29" i="175"/>
  <c r="C30" i="175"/>
  <c r="C31" i="175"/>
  <c r="C32" i="175"/>
  <c r="C33" i="175"/>
  <c r="C34" i="175"/>
  <c r="C35" i="175"/>
  <c r="C36" i="175"/>
  <c r="C37" i="175"/>
  <c r="C38" i="175"/>
  <c r="C39" i="175"/>
  <c r="C40" i="175"/>
  <c r="C41" i="175"/>
  <c r="C42" i="175"/>
  <c r="C43" i="175"/>
  <c r="C44" i="175"/>
  <c r="C45" i="175"/>
  <c r="C46" i="175"/>
  <c r="G47" i="175"/>
  <c r="F47" i="175"/>
  <c r="E47" i="175"/>
  <c r="D47" i="175"/>
  <c r="H35" i="175"/>
  <c r="H24" i="175"/>
  <c r="H13" i="175"/>
  <c r="H2" i="175"/>
  <c r="C47" i="175" l="1"/>
  <c r="H50" i="175" s="1"/>
  <c r="AD2" i="123"/>
  <c r="AD2" i="134"/>
  <c r="AD2" i="136"/>
  <c r="AD2" i="135"/>
  <c r="H49" i="175" l="1"/>
  <c r="AF48" i="175"/>
  <c r="T48" i="175"/>
  <c r="T50" i="175"/>
  <c r="AF49" i="175"/>
  <c r="T49" i="175"/>
  <c r="AF51" i="175"/>
  <c r="T51" i="175"/>
  <c r="AF50" i="175"/>
  <c r="AO15" i="166"/>
  <c r="H51" i="175"/>
  <c r="H48" i="175"/>
  <c r="G6" i="148"/>
  <c r="G7" i="148"/>
  <c r="G8" i="148"/>
  <c r="G9" i="148"/>
  <c r="G10" i="148"/>
  <c r="G11" i="148"/>
  <c r="G12" i="148"/>
  <c r="G13" i="148"/>
  <c r="G14" i="148"/>
  <c r="G15" i="148"/>
  <c r="G16" i="148"/>
  <c r="G17" i="148"/>
  <c r="G18" i="148"/>
  <c r="G19" i="148"/>
  <c r="G20" i="148"/>
  <c r="G21" i="148"/>
  <c r="G22" i="148"/>
  <c r="G23" i="148"/>
  <c r="G24" i="148"/>
  <c r="G25" i="148"/>
  <c r="G26" i="148"/>
  <c r="G27" i="148"/>
  <c r="G28" i="148"/>
  <c r="G29" i="148"/>
  <c r="G30" i="148"/>
  <c r="G31" i="148"/>
  <c r="G32" i="148"/>
  <c r="G33" i="148"/>
  <c r="G34" i="148"/>
  <c r="G35" i="148"/>
  <c r="G36" i="148"/>
  <c r="G37" i="148"/>
  <c r="G38" i="148"/>
  <c r="G39" i="148"/>
  <c r="G40" i="148"/>
  <c r="G5" i="148"/>
  <c r="R40" i="153" l="1"/>
  <c r="R39" i="153"/>
  <c r="R38" i="153"/>
  <c r="R37" i="153"/>
  <c r="R36" i="153"/>
  <c r="R35" i="153"/>
  <c r="R34" i="153"/>
  <c r="R33" i="153"/>
  <c r="R32" i="153"/>
  <c r="R31" i="153"/>
  <c r="R30" i="153"/>
  <c r="R29" i="153"/>
  <c r="R28" i="153"/>
  <c r="R27" i="153"/>
  <c r="R26" i="153"/>
  <c r="R25" i="153"/>
  <c r="R24" i="153"/>
  <c r="R23" i="153"/>
  <c r="R22" i="153"/>
  <c r="R21" i="153"/>
  <c r="R20" i="153"/>
  <c r="R19" i="153"/>
  <c r="R18" i="153"/>
  <c r="R17" i="153"/>
  <c r="R16" i="153"/>
  <c r="R15" i="153"/>
  <c r="R14" i="153"/>
  <c r="R13" i="153"/>
  <c r="R12" i="153"/>
  <c r="R11" i="153"/>
  <c r="R10" i="153"/>
  <c r="R9" i="153"/>
  <c r="R8" i="153"/>
  <c r="R7" i="153"/>
  <c r="R6" i="153"/>
  <c r="R5" i="153"/>
  <c r="R40" i="152"/>
  <c r="R39" i="152"/>
  <c r="R38" i="152"/>
  <c r="R37" i="152"/>
  <c r="R36" i="152"/>
  <c r="R35" i="152"/>
  <c r="R34" i="152"/>
  <c r="R33" i="152"/>
  <c r="R32" i="152"/>
  <c r="R31" i="152"/>
  <c r="R30" i="152"/>
  <c r="R29" i="152"/>
  <c r="R28" i="152"/>
  <c r="R27" i="152"/>
  <c r="R26" i="152"/>
  <c r="R25" i="152"/>
  <c r="R24" i="152"/>
  <c r="R23" i="152"/>
  <c r="R22" i="152"/>
  <c r="R21" i="152"/>
  <c r="R20" i="152"/>
  <c r="R19" i="152"/>
  <c r="R18" i="152"/>
  <c r="R17" i="152"/>
  <c r="R16" i="152"/>
  <c r="R15" i="152"/>
  <c r="R14" i="152"/>
  <c r="R13" i="152"/>
  <c r="R12" i="152"/>
  <c r="R11" i="152"/>
  <c r="R10" i="152"/>
  <c r="R9" i="152"/>
  <c r="R8" i="152"/>
  <c r="R7" i="152"/>
  <c r="R6" i="152"/>
  <c r="R5" i="152"/>
  <c r="K5" i="137" l="1"/>
  <c r="K6" i="137"/>
  <c r="K7" i="137"/>
  <c r="K8" i="137"/>
  <c r="K9" i="137"/>
  <c r="K10" i="137"/>
  <c r="K11" i="137"/>
  <c r="K12" i="137"/>
  <c r="K13" i="137"/>
  <c r="K14" i="137"/>
  <c r="K15" i="137"/>
  <c r="K16" i="137"/>
  <c r="K17" i="137"/>
  <c r="K18" i="137"/>
  <c r="K19" i="137"/>
  <c r="K20" i="137"/>
  <c r="K21" i="137"/>
  <c r="K22" i="137"/>
  <c r="K23" i="137"/>
  <c r="K24" i="137"/>
  <c r="K25" i="137"/>
  <c r="K26" i="137"/>
  <c r="K27" i="137"/>
  <c r="K28" i="137"/>
  <c r="K29" i="137"/>
  <c r="K30" i="137"/>
  <c r="K31" i="137"/>
  <c r="K32" i="137"/>
  <c r="K33" i="137"/>
  <c r="K34" i="137"/>
  <c r="K35" i="137"/>
  <c r="K36" i="137"/>
  <c r="K37" i="137"/>
  <c r="K38" i="137"/>
  <c r="K39" i="137"/>
  <c r="K40" i="137"/>
  <c r="G39" i="30" l="1"/>
  <c r="F39" i="30"/>
  <c r="G38" i="30"/>
  <c r="F38" i="30"/>
  <c r="G37" i="30"/>
  <c r="F37" i="30"/>
  <c r="G36" i="30"/>
  <c r="F36" i="30"/>
  <c r="G35" i="30"/>
  <c r="F35" i="30"/>
  <c r="G34" i="30"/>
  <c r="F34" i="30"/>
  <c r="G33" i="30"/>
  <c r="F33" i="30"/>
  <c r="G32" i="30"/>
  <c r="F32" i="30"/>
  <c r="G31" i="30"/>
  <c r="F31" i="30"/>
  <c r="G30" i="30"/>
  <c r="F30" i="30"/>
  <c r="G29" i="30"/>
  <c r="F29" i="30"/>
  <c r="G28" i="30"/>
  <c r="F28" i="30"/>
  <c r="G27" i="30"/>
  <c r="F27" i="30"/>
  <c r="G26" i="30"/>
  <c r="F26" i="30"/>
  <c r="G25" i="30"/>
  <c r="F25" i="30"/>
  <c r="G24" i="30"/>
  <c r="F24" i="30"/>
  <c r="G23" i="30"/>
  <c r="F23" i="30"/>
  <c r="G22" i="30"/>
  <c r="F22" i="30"/>
  <c r="G21" i="30"/>
  <c r="F21" i="30"/>
  <c r="G20" i="30"/>
  <c r="F20" i="30"/>
  <c r="G19" i="30"/>
  <c r="F19" i="30"/>
  <c r="G18" i="30"/>
  <c r="F18" i="30"/>
  <c r="G17" i="30"/>
  <c r="F17" i="30"/>
  <c r="G16" i="30"/>
  <c r="F16" i="30"/>
  <c r="G15" i="30"/>
  <c r="F15" i="30"/>
  <c r="G14" i="30"/>
  <c r="F14" i="30"/>
  <c r="G13" i="30"/>
  <c r="F13" i="30"/>
  <c r="G12" i="30"/>
  <c r="F12" i="30"/>
  <c r="G11" i="30"/>
  <c r="F11" i="30"/>
  <c r="G10" i="30"/>
  <c r="F10" i="30"/>
  <c r="G9" i="30"/>
  <c r="F9" i="30"/>
  <c r="G8" i="30"/>
  <c r="F8" i="30"/>
  <c r="G7" i="30"/>
  <c r="F7" i="30"/>
  <c r="G6" i="30"/>
  <c r="F6" i="30"/>
  <c r="G5" i="30"/>
  <c r="F5" i="30"/>
  <c r="G4" i="30"/>
  <c r="F4" i="30"/>
  <c r="AO21" i="172" l="1"/>
  <c r="F33" i="172"/>
  <c r="C8" i="173"/>
  <c r="H3" i="173" s="1"/>
  <c r="C9" i="173"/>
  <c r="C10" i="173"/>
  <c r="C11" i="173"/>
  <c r="C12" i="173"/>
  <c r="C13" i="173"/>
  <c r="C14" i="173"/>
  <c r="C15" i="173"/>
  <c r="C16" i="173"/>
  <c r="C17" i="173"/>
  <c r="C18" i="173"/>
  <c r="C19" i="173"/>
  <c r="C20" i="173"/>
  <c r="C21" i="173"/>
  <c r="C22" i="173"/>
  <c r="C23" i="173"/>
  <c r="C24" i="173"/>
  <c r="C25" i="173"/>
  <c r="C26" i="173"/>
  <c r="C27" i="173"/>
  <c r="C28" i="173"/>
  <c r="C29" i="173"/>
  <c r="C30" i="173"/>
  <c r="C31" i="173"/>
  <c r="C32" i="173"/>
  <c r="C33" i="173"/>
  <c r="C34" i="173"/>
  <c r="C35" i="173"/>
  <c r="C36" i="173"/>
  <c r="C37" i="173"/>
  <c r="C38" i="173"/>
  <c r="C39" i="173"/>
  <c r="C40" i="173"/>
  <c r="C41" i="173"/>
  <c r="C42" i="173"/>
  <c r="AO3" i="172"/>
  <c r="AN3" i="172"/>
  <c r="AN22" i="172" s="1"/>
  <c r="AM3" i="172"/>
  <c r="AM22" i="172" s="1"/>
  <c r="AL3" i="172"/>
  <c r="AL22" i="172" s="1"/>
  <c r="AK3" i="172"/>
  <c r="AK22" i="172" s="1"/>
  <c r="AJ3" i="172"/>
  <c r="AJ22" i="172" s="1"/>
  <c r="AI3" i="172"/>
  <c r="AI22" i="172" s="1"/>
  <c r="AH3" i="172"/>
  <c r="AH22" i="172" s="1"/>
  <c r="AG3" i="172"/>
  <c r="AF3" i="172"/>
  <c r="AF22" i="172" s="1"/>
  <c r="AF37" i="172" s="1"/>
  <c r="AE3" i="172"/>
  <c r="AD3" i="172"/>
  <c r="AC3" i="172"/>
  <c r="AB3" i="172"/>
  <c r="AA3" i="172"/>
  <c r="Z3" i="172"/>
  <c r="Y3" i="172"/>
  <c r="X3" i="172"/>
  <c r="W3" i="172"/>
  <c r="V3" i="172"/>
  <c r="U3" i="172"/>
  <c r="T3" i="172"/>
  <c r="S3" i="172"/>
  <c r="R3" i="172"/>
  <c r="Q3" i="172"/>
  <c r="P3" i="172"/>
  <c r="O3" i="172"/>
  <c r="N3" i="172"/>
  <c r="M3" i="172"/>
  <c r="L3" i="172"/>
  <c r="K3" i="172"/>
  <c r="J3" i="172"/>
  <c r="I3" i="172"/>
  <c r="H3" i="172"/>
  <c r="G3" i="172"/>
  <c r="AO33" i="172"/>
  <c r="AO20" i="172"/>
  <c r="AO6" i="172"/>
  <c r="AO5" i="172"/>
  <c r="I42" i="127" s="1"/>
  <c r="F3" i="172"/>
  <c r="J30" i="173"/>
  <c r="J29" i="173"/>
  <c r="J28" i="173"/>
  <c r="J27" i="173"/>
  <c r="J26" i="173"/>
  <c r="J25" i="173"/>
  <c r="J24" i="173"/>
  <c r="J23" i="173"/>
  <c r="J22" i="173"/>
  <c r="J18" i="173"/>
  <c r="J17" i="173"/>
  <c r="J16" i="173"/>
  <c r="J15" i="173"/>
  <c r="J14" i="173"/>
  <c r="J13" i="173"/>
  <c r="J12" i="173"/>
  <c r="J11" i="173"/>
  <c r="J10" i="173"/>
  <c r="J9" i="173"/>
  <c r="J8" i="173"/>
  <c r="J7" i="173"/>
  <c r="C7" i="173"/>
  <c r="C6" i="173"/>
  <c r="H4" i="173"/>
  <c r="AN33" i="172"/>
  <c r="AM33" i="172"/>
  <c r="AL33" i="172"/>
  <c r="AK33" i="172"/>
  <c r="AJ33" i="172"/>
  <c r="AI33" i="172"/>
  <c r="AH33" i="172"/>
  <c r="AG33" i="172"/>
  <c r="AF33" i="172"/>
  <c r="AE33" i="172"/>
  <c r="AD33" i="172"/>
  <c r="AC33" i="172"/>
  <c r="AB33" i="172"/>
  <c r="AA33" i="172"/>
  <c r="Z33" i="172"/>
  <c r="Y33" i="172"/>
  <c r="X33" i="172"/>
  <c r="W33" i="172"/>
  <c r="V33" i="172"/>
  <c r="U33" i="172"/>
  <c r="T33" i="172"/>
  <c r="S33" i="172"/>
  <c r="R33" i="172"/>
  <c r="Q33" i="172"/>
  <c r="P33" i="172"/>
  <c r="O33" i="172"/>
  <c r="N33" i="172"/>
  <c r="M33" i="172"/>
  <c r="L33" i="172"/>
  <c r="K33" i="172"/>
  <c r="J33" i="172"/>
  <c r="I33" i="172"/>
  <c r="H33" i="172"/>
  <c r="G33" i="172"/>
  <c r="AN21" i="172"/>
  <c r="AN34" i="172" s="1"/>
  <c r="AM21" i="172"/>
  <c r="AM34" i="172" s="1"/>
  <c r="AL21" i="172"/>
  <c r="AL35" i="172" s="1"/>
  <c r="AK21" i="172"/>
  <c r="AJ21" i="172"/>
  <c r="AI21" i="172"/>
  <c r="AI35" i="172" s="1"/>
  <c r="AH21" i="172"/>
  <c r="AH35" i="172" s="1"/>
  <c r="AG21" i="172"/>
  <c r="AG34" i="172" s="1"/>
  <c r="AF21" i="172"/>
  <c r="AF34" i="172" s="1"/>
  <c r="AE21" i="172"/>
  <c r="AE34" i="172" s="1"/>
  <c r="AD21" i="172"/>
  <c r="AD35" i="172" s="1"/>
  <c r="AC21" i="172"/>
  <c r="AB21" i="172"/>
  <c r="AB35" i="172" s="1"/>
  <c r="AA21" i="172"/>
  <c r="AA35" i="172" s="1"/>
  <c r="Z21" i="172"/>
  <c r="Z35" i="172" s="1"/>
  <c r="Y21" i="172"/>
  <c r="Y34" i="172" s="1"/>
  <c r="X21" i="172"/>
  <c r="X34" i="172" s="1"/>
  <c r="W21" i="172"/>
  <c r="W34" i="172" s="1"/>
  <c r="V21" i="172"/>
  <c r="U21" i="172"/>
  <c r="T21" i="172"/>
  <c r="T35" i="172" s="1"/>
  <c r="S21" i="172"/>
  <c r="S35" i="172" s="1"/>
  <c r="R21" i="172"/>
  <c r="Q21" i="172"/>
  <c r="Q34" i="172" s="1"/>
  <c r="P21" i="172"/>
  <c r="P34" i="172" s="1"/>
  <c r="O21" i="172"/>
  <c r="O34" i="172" s="1"/>
  <c r="N21" i="172"/>
  <c r="N35" i="172" s="1"/>
  <c r="M21" i="172"/>
  <c r="L21" i="172"/>
  <c r="K21" i="172"/>
  <c r="K35" i="172" s="1"/>
  <c r="J21" i="172"/>
  <c r="J35" i="172" s="1"/>
  <c r="I21" i="172"/>
  <c r="I34" i="172" s="1"/>
  <c r="H21" i="172"/>
  <c r="H34" i="172" s="1"/>
  <c r="G21" i="172"/>
  <c r="G34" i="172" s="1"/>
  <c r="F21" i="172"/>
  <c r="AN20" i="172"/>
  <c r="AM20" i="172"/>
  <c r="AL20" i="172"/>
  <c r="AK20" i="172"/>
  <c r="AJ20" i="172"/>
  <c r="AI20" i="172"/>
  <c r="AH20" i="172"/>
  <c r="AG20" i="172"/>
  <c r="AF20" i="172"/>
  <c r="AE20" i="172"/>
  <c r="AD20" i="172"/>
  <c r="AC20" i="172"/>
  <c r="AB20" i="172"/>
  <c r="AA20" i="172"/>
  <c r="Z20" i="172"/>
  <c r="Y20" i="172"/>
  <c r="X20" i="172"/>
  <c r="W20" i="172"/>
  <c r="V20" i="172"/>
  <c r="U20" i="172"/>
  <c r="T20" i="172"/>
  <c r="S20" i="172"/>
  <c r="R20" i="172"/>
  <c r="Q20" i="172"/>
  <c r="P20" i="172"/>
  <c r="O20" i="172"/>
  <c r="N20" i="172"/>
  <c r="M20" i="172"/>
  <c r="L20" i="172"/>
  <c r="K20" i="172"/>
  <c r="J20" i="172"/>
  <c r="I20" i="172"/>
  <c r="H20" i="172"/>
  <c r="G20" i="172"/>
  <c r="F20" i="172"/>
  <c r="AN6" i="172"/>
  <c r="AM6" i="172"/>
  <c r="AL6" i="172"/>
  <c r="AK6" i="172"/>
  <c r="AJ6" i="172"/>
  <c r="AI6" i="172"/>
  <c r="AH6" i="172"/>
  <c r="AG6" i="172"/>
  <c r="AF6" i="172"/>
  <c r="AE6" i="172"/>
  <c r="AD6" i="172"/>
  <c r="AC6" i="172"/>
  <c r="AB6" i="172"/>
  <c r="AA6" i="172"/>
  <c r="Z6" i="172"/>
  <c r="Y6" i="172"/>
  <c r="X6" i="172"/>
  <c r="W6" i="172"/>
  <c r="V6" i="172"/>
  <c r="U6" i="172"/>
  <c r="T6" i="172"/>
  <c r="S6" i="172"/>
  <c r="R6" i="172"/>
  <c r="Q6" i="172"/>
  <c r="P6" i="172"/>
  <c r="O6" i="172"/>
  <c r="N6" i="172"/>
  <c r="M6" i="172"/>
  <c r="L6" i="172"/>
  <c r="K6" i="172"/>
  <c r="J6" i="172"/>
  <c r="I6" i="172"/>
  <c r="H6" i="172"/>
  <c r="G6" i="172"/>
  <c r="F6" i="172"/>
  <c r="AN5" i="172"/>
  <c r="I41" i="127" s="1"/>
  <c r="AM5" i="172"/>
  <c r="I40" i="127" s="1"/>
  <c r="AL5" i="172"/>
  <c r="I39" i="127" s="1"/>
  <c r="AK5" i="172"/>
  <c r="I38" i="127" s="1"/>
  <c r="AJ5" i="172"/>
  <c r="I37" i="127" s="1"/>
  <c r="AI5" i="172"/>
  <c r="I36" i="127" s="1"/>
  <c r="AH5" i="172"/>
  <c r="I35" i="127" s="1"/>
  <c r="AG5" i="172"/>
  <c r="I34" i="127" s="1"/>
  <c r="AF5" i="172"/>
  <c r="I33" i="127" s="1"/>
  <c r="AE5" i="172"/>
  <c r="I32" i="127" s="1"/>
  <c r="AD5" i="172"/>
  <c r="I31" i="127" s="1"/>
  <c r="AC5" i="172"/>
  <c r="I30" i="127" s="1"/>
  <c r="AB5" i="172"/>
  <c r="I29" i="127" s="1"/>
  <c r="AA5" i="172"/>
  <c r="I28" i="127" s="1"/>
  <c r="Z5" i="172"/>
  <c r="I27" i="127" s="1"/>
  <c r="Y5" i="172"/>
  <c r="I26" i="127" s="1"/>
  <c r="X5" i="172"/>
  <c r="I25" i="127" s="1"/>
  <c r="W5" i="172"/>
  <c r="I24" i="127" s="1"/>
  <c r="V5" i="172"/>
  <c r="I23" i="127" s="1"/>
  <c r="U5" i="172"/>
  <c r="I22" i="127" s="1"/>
  <c r="T5" i="172"/>
  <c r="I21" i="127" s="1"/>
  <c r="S5" i="172"/>
  <c r="I20" i="127" s="1"/>
  <c r="R5" i="172"/>
  <c r="I19" i="127" s="1"/>
  <c r="Q5" i="172"/>
  <c r="I18" i="127" s="1"/>
  <c r="P5" i="172"/>
  <c r="I17" i="127" s="1"/>
  <c r="O5" i="172"/>
  <c r="I16" i="127" s="1"/>
  <c r="N5" i="172"/>
  <c r="I15" i="127" s="1"/>
  <c r="M5" i="172"/>
  <c r="I14" i="127" s="1"/>
  <c r="L5" i="172"/>
  <c r="I13" i="127" s="1"/>
  <c r="K5" i="172"/>
  <c r="I12" i="127" s="1"/>
  <c r="J5" i="172"/>
  <c r="I11" i="127" s="1"/>
  <c r="I5" i="172"/>
  <c r="I10" i="127" s="1"/>
  <c r="H5" i="172"/>
  <c r="I9" i="127" s="1"/>
  <c r="G5" i="172"/>
  <c r="I8" i="127" s="1"/>
  <c r="F5" i="172"/>
  <c r="I7" i="127" s="1"/>
  <c r="F22" i="172" l="1"/>
  <c r="AC35" i="172"/>
  <c r="M35" i="172"/>
  <c r="AE22" i="172"/>
  <c r="AE37" i="172" s="1"/>
  <c r="V35" i="172"/>
  <c r="R35" i="172"/>
  <c r="Q22" i="172"/>
  <c r="Q37" i="172" s="1"/>
  <c r="AG22" i="172"/>
  <c r="I22" i="172"/>
  <c r="Y22" i="172"/>
  <c r="W22" i="172"/>
  <c r="W37" i="172" s="1"/>
  <c r="X22" i="172"/>
  <c r="X37" i="172" s="1"/>
  <c r="Z22" i="172"/>
  <c r="Z37" i="172" s="1"/>
  <c r="S22" i="172"/>
  <c r="S37" i="172" s="1"/>
  <c r="AA22" i="172"/>
  <c r="AA37" i="172" s="1"/>
  <c r="L22" i="172"/>
  <c r="L37" i="172" s="1"/>
  <c r="T22" i="172"/>
  <c r="T37" i="172" s="1"/>
  <c r="AB22" i="172"/>
  <c r="U22" i="172"/>
  <c r="U37" i="172" s="1"/>
  <c r="AC22" i="172"/>
  <c r="V22" i="172"/>
  <c r="AD22" i="172"/>
  <c r="AD37" i="172" s="1"/>
  <c r="H22" i="172"/>
  <c r="H37" i="172" s="1"/>
  <c r="P22" i="172"/>
  <c r="P37" i="172" s="1"/>
  <c r="J22" i="172"/>
  <c r="J37" i="172" s="1"/>
  <c r="R22" i="172"/>
  <c r="K22" i="172"/>
  <c r="K37" i="172" s="1"/>
  <c r="M22" i="172"/>
  <c r="M37" i="172" s="1"/>
  <c r="G22" i="172"/>
  <c r="J20" i="173" s="1"/>
  <c r="O22" i="172"/>
  <c r="J31" i="173"/>
  <c r="AO22" i="172"/>
  <c r="AG37" i="172"/>
  <c r="Y37" i="172"/>
  <c r="J19" i="173"/>
  <c r="N22" i="172"/>
  <c r="N37" i="172" s="1"/>
  <c r="AL37" i="172"/>
  <c r="AK37" i="172"/>
  <c r="L35" i="172"/>
  <c r="AJ35" i="172"/>
  <c r="U35" i="172"/>
  <c r="AK35" i="172"/>
  <c r="AJ37" i="172"/>
  <c r="AI37" i="172"/>
  <c r="AH37" i="172"/>
  <c r="AO35" i="172"/>
  <c r="AO34" i="172"/>
  <c r="F35" i="172"/>
  <c r="J34" i="172"/>
  <c r="J36" i="172" s="1"/>
  <c r="R34" i="172"/>
  <c r="Z34" i="172"/>
  <c r="Z36" i="172" s="1"/>
  <c r="AH34" i="172"/>
  <c r="AH36" i="172" s="1"/>
  <c r="G35" i="172"/>
  <c r="G36" i="172" s="1"/>
  <c r="O35" i="172"/>
  <c r="O36" i="172" s="1"/>
  <c r="W35" i="172"/>
  <c r="W36" i="172" s="1"/>
  <c r="AE35" i="172"/>
  <c r="AE36" i="172" s="1"/>
  <c r="AM35" i="172"/>
  <c r="AM36" i="172" s="1"/>
  <c r="AM37" i="172" s="1"/>
  <c r="K34" i="172"/>
  <c r="K36" i="172" s="1"/>
  <c r="S34" i="172"/>
  <c r="S36" i="172" s="1"/>
  <c r="AA34" i="172"/>
  <c r="AA36" i="172" s="1"/>
  <c r="AI34" i="172"/>
  <c r="AI36" i="172" s="1"/>
  <c r="H35" i="172"/>
  <c r="H36" i="172" s="1"/>
  <c r="P35" i="172"/>
  <c r="P36" i="172" s="1"/>
  <c r="X35" i="172"/>
  <c r="X36" i="172" s="1"/>
  <c r="AF35" i="172"/>
  <c r="AF36" i="172" s="1"/>
  <c r="AN35" i="172"/>
  <c r="AN36" i="172" s="1"/>
  <c r="AN37" i="172" s="1"/>
  <c r="L34" i="172"/>
  <c r="T34" i="172"/>
  <c r="T36" i="172" s="1"/>
  <c r="AB34" i="172"/>
  <c r="AB36" i="172" s="1"/>
  <c r="AJ34" i="172"/>
  <c r="I35" i="172"/>
  <c r="I36" i="172" s="1"/>
  <c r="Q35" i="172"/>
  <c r="Q36" i="172" s="1"/>
  <c r="Y35" i="172"/>
  <c r="Y36" i="172" s="1"/>
  <c r="AG35" i="172"/>
  <c r="AG36" i="172" s="1"/>
  <c r="M34" i="172"/>
  <c r="M36" i="172" s="1"/>
  <c r="U34" i="172"/>
  <c r="AC34" i="172"/>
  <c r="AK34" i="172"/>
  <c r="F34" i="172"/>
  <c r="N34" i="172"/>
  <c r="N36" i="172" s="1"/>
  <c r="V34" i="172"/>
  <c r="AD34" i="172"/>
  <c r="AD36" i="172" s="1"/>
  <c r="AL34" i="172"/>
  <c r="AL36" i="172" s="1"/>
  <c r="AB37" i="172" l="1"/>
  <c r="R36" i="172"/>
  <c r="I37" i="172"/>
  <c r="AC36" i="172"/>
  <c r="AC37" i="172" s="1"/>
  <c r="V36" i="172"/>
  <c r="R37" i="172"/>
  <c r="V37" i="172"/>
  <c r="AO36" i="172"/>
  <c r="AO37" i="172" s="1"/>
  <c r="AK36" i="172"/>
  <c r="O37" i="172"/>
  <c r="G37" i="172"/>
  <c r="L36" i="172"/>
  <c r="AJ36" i="172"/>
  <c r="U36" i="172"/>
  <c r="F36" i="172"/>
  <c r="F37" i="172" s="1"/>
  <c r="B41" i="170"/>
  <c r="B40" i="170"/>
  <c r="B39" i="170"/>
  <c r="B38" i="170"/>
  <c r="B37" i="170"/>
  <c r="B36" i="170"/>
  <c r="B35" i="170"/>
  <c r="B34" i="170"/>
  <c r="B33" i="170"/>
  <c r="B32" i="170"/>
  <c r="B31" i="170"/>
  <c r="B30" i="170"/>
  <c r="B29" i="170"/>
  <c r="B28" i="170"/>
  <c r="B27" i="170"/>
  <c r="B26" i="170"/>
  <c r="B25" i="170"/>
  <c r="B24" i="170"/>
  <c r="B23" i="170"/>
  <c r="B22" i="170"/>
  <c r="B21" i="170"/>
  <c r="B20" i="170"/>
  <c r="B19" i="170"/>
  <c r="B18" i="170"/>
  <c r="B17" i="170"/>
  <c r="B16" i="170"/>
  <c r="B15" i="170"/>
  <c r="B14" i="170"/>
  <c r="B13" i="170"/>
  <c r="B12" i="170"/>
  <c r="B11" i="170"/>
  <c r="B10" i="170"/>
  <c r="B9" i="170"/>
  <c r="B8" i="170"/>
  <c r="B7" i="170"/>
  <c r="B6" i="170"/>
  <c r="Z3" i="170"/>
  <c r="Z2" i="170"/>
  <c r="H2" i="170"/>
  <c r="AA44" i="31"/>
  <c r="AD44" i="31" s="1"/>
  <c r="Z44" i="31"/>
  <c r="T44" i="31"/>
  <c r="AA43" i="31"/>
  <c r="AD43" i="31" s="1"/>
  <c r="Z43" i="31"/>
  <c r="T43" i="31"/>
  <c r="AA42" i="31"/>
  <c r="AD42" i="31" s="1"/>
  <c r="Z42" i="31"/>
  <c r="T42" i="31"/>
  <c r="AA41" i="31"/>
  <c r="AD41" i="31" s="1"/>
  <c r="Z41" i="31"/>
  <c r="T41" i="31"/>
  <c r="AA40" i="31"/>
  <c r="AD40" i="31" s="1"/>
  <c r="Z40" i="31"/>
  <c r="T40" i="31"/>
  <c r="AA39" i="31"/>
  <c r="AD39" i="31" s="1"/>
  <c r="Z39" i="31"/>
  <c r="T39" i="31"/>
  <c r="AA38" i="31"/>
  <c r="AD38" i="31" s="1"/>
  <c r="Z38" i="31"/>
  <c r="T38" i="31"/>
  <c r="AA37" i="31"/>
  <c r="Z37" i="31"/>
  <c r="T37" i="31"/>
  <c r="AA36" i="31"/>
  <c r="Z36" i="31"/>
  <c r="T36" i="31"/>
  <c r="AA35" i="31"/>
  <c r="Z35" i="31"/>
  <c r="T35" i="31"/>
  <c r="AA34" i="31"/>
  <c r="Z34" i="31"/>
  <c r="T34" i="31"/>
  <c r="AA33" i="31"/>
  <c r="Z33" i="31"/>
  <c r="T33" i="31"/>
  <c r="AA32" i="31"/>
  <c r="Z32" i="31"/>
  <c r="T32" i="31"/>
  <c r="AA31" i="31"/>
  <c r="Z31" i="31"/>
  <c r="T31" i="31"/>
  <c r="AA30" i="31"/>
  <c r="Z30" i="31"/>
  <c r="T30" i="31"/>
  <c r="AA29" i="31"/>
  <c r="Z29" i="31"/>
  <c r="T29" i="31"/>
  <c r="AA28" i="31"/>
  <c r="Z28" i="31"/>
  <c r="T28" i="31"/>
  <c r="AA27" i="31"/>
  <c r="Z27" i="31"/>
  <c r="T27" i="31"/>
  <c r="AA26" i="31"/>
  <c r="Z26" i="31"/>
  <c r="T26" i="31"/>
  <c r="AA25" i="31"/>
  <c r="Z25" i="31"/>
  <c r="T25" i="31"/>
  <c r="AA24" i="31"/>
  <c r="Z24" i="31"/>
  <c r="T24" i="31"/>
  <c r="AA23" i="31"/>
  <c r="Z23" i="31"/>
  <c r="T23" i="31"/>
  <c r="AA22" i="31"/>
  <c r="Z22" i="31"/>
  <c r="T22" i="31"/>
  <c r="AA21" i="31"/>
  <c r="Z21" i="31"/>
  <c r="T21" i="31"/>
  <c r="AA20" i="31"/>
  <c r="Z20" i="31"/>
  <c r="T20" i="31"/>
  <c r="AA19" i="31"/>
  <c r="Z19" i="31"/>
  <c r="T19" i="31"/>
  <c r="AA18" i="31"/>
  <c r="Z18" i="31"/>
  <c r="T18" i="31"/>
  <c r="AA17" i="31"/>
  <c r="Z17" i="31"/>
  <c r="T17" i="31"/>
  <c r="AA16" i="31"/>
  <c r="Z16" i="31"/>
  <c r="T16" i="31"/>
  <c r="AA15" i="31"/>
  <c r="Z15" i="31"/>
  <c r="T15" i="31"/>
  <c r="AA14" i="31"/>
  <c r="Z14" i="31"/>
  <c r="T14" i="31"/>
  <c r="AA13" i="31"/>
  <c r="Z13" i="31"/>
  <c r="T13" i="31"/>
  <c r="AA12" i="31"/>
  <c r="Z12" i="31"/>
  <c r="T12" i="31"/>
  <c r="AA11" i="31"/>
  <c r="Z11" i="31"/>
  <c r="T11" i="31"/>
  <c r="AA10" i="31"/>
  <c r="Z10" i="31"/>
  <c r="T10" i="31"/>
  <c r="AA9" i="31"/>
  <c r="Z9" i="31"/>
  <c r="T9" i="31"/>
  <c r="Y4" i="31"/>
  <c r="X4" i="31"/>
  <c r="W4" i="31"/>
  <c r="V4" i="31"/>
  <c r="U4" i="31"/>
  <c r="Y3" i="31"/>
  <c r="X3" i="31"/>
  <c r="W3" i="31"/>
  <c r="V3" i="31"/>
  <c r="U3" i="31"/>
  <c r="AB2" i="31"/>
  <c r="D2" i="31"/>
  <c r="AA44" i="55"/>
  <c r="AD44" i="55" s="1"/>
  <c r="Z44" i="55"/>
  <c r="T44" i="55"/>
  <c r="AA43" i="55"/>
  <c r="AD43" i="55" s="1"/>
  <c r="Z43" i="55"/>
  <c r="T43" i="55"/>
  <c r="AA42" i="55"/>
  <c r="AD42" i="55" s="1"/>
  <c r="Z42" i="55"/>
  <c r="T42" i="55"/>
  <c r="AA41" i="55"/>
  <c r="AC41" i="55" s="1"/>
  <c r="Z41" i="55"/>
  <c r="T41" i="55"/>
  <c r="AA40" i="55"/>
  <c r="AD40" i="55" s="1"/>
  <c r="Z40" i="55"/>
  <c r="T40" i="55"/>
  <c r="AA39" i="55"/>
  <c r="AD39" i="55" s="1"/>
  <c r="Z39" i="55"/>
  <c r="T39" i="55"/>
  <c r="AA38" i="55"/>
  <c r="AD38" i="55" s="1"/>
  <c r="Z38" i="55"/>
  <c r="T38" i="55"/>
  <c r="AA37" i="55"/>
  <c r="Z37" i="55"/>
  <c r="T37" i="55"/>
  <c r="AA36" i="55"/>
  <c r="Z36" i="55"/>
  <c r="T36" i="55"/>
  <c r="AA35" i="55"/>
  <c r="Z35" i="55"/>
  <c r="T35" i="55"/>
  <c r="AA34" i="55"/>
  <c r="Z34" i="55"/>
  <c r="T34" i="55"/>
  <c r="AA33" i="55"/>
  <c r="Z33" i="55"/>
  <c r="T33" i="55"/>
  <c r="AA32" i="55"/>
  <c r="Z32" i="55"/>
  <c r="T32" i="55"/>
  <c r="AA31" i="55"/>
  <c r="Z31" i="55"/>
  <c r="T31" i="55"/>
  <c r="AA30" i="55"/>
  <c r="Z30" i="55"/>
  <c r="T30" i="55"/>
  <c r="AA29" i="55"/>
  <c r="Z29" i="55"/>
  <c r="T29" i="55"/>
  <c r="AA28" i="55"/>
  <c r="Z28" i="55"/>
  <c r="T28" i="55"/>
  <c r="AA27" i="55"/>
  <c r="Z27" i="55"/>
  <c r="T27" i="55"/>
  <c r="AA26" i="55"/>
  <c r="Z26" i="55"/>
  <c r="T26" i="55"/>
  <c r="AA25" i="55"/>
  <c r="Z25" i="55"/>
  <c r="T25" i="55"/>
  <c r="AA24" i="55"/>
  <c r="Z24" i="55"/>
  <c r="T24" i="55"/>
  <c r="AA23" i="55"/>
  <c r="Z23" i="55"/>
  <c r="T23" i="55"/>
  <c r="AA22" i="55"/>
  <c r="Z22" i="55"/>
  <c r="T22" i="55"/>
  <c r="AA21" i="55"/>
  <c r="Z21" i="55"/>
  <c r="T21" i="55"/>
  <c r="AA20" i="55"/>
  <c r="Z20" i="55"/>
  <c r="T20" i="55"/>
  <c r="AA19" i="55"/>
  <c r="Z19" i="55"/>
  <c r="T19" i="55"/>
  <c r="AA18" i="55"/>
  <c r="Z18" i="55"/>
  <c r="T18" i="55"/>
  <c r="AA17" i="55"/>
  <c r="Z17" i="55"/>
  <c r="T17" i="55"/>
  <c r="AA16" i="55"/>
  <c r="Z16" i="55"/>
  <c r="T16" i="55"/>
  <c r="AA15" i="55"/>
  <c r="Z15" i="55"/>
  <c r="T15" i="55"/>
  <c r="AA14" i="55"/>
  <c r="Z14" i="55"/>
  <c r="T14" i="55"/>
  <c r="AA13" i="55"/>
  <c r="Z13" i="55"/>
  <c r="T13" i="55"/>
  <c r="AA12" i="55"/>
  <c r="Z12" i="55"/>
  <c r="T12" i="55"/>
  <c r="AA11" i="55"/>
  <c r="Z11" i="55"/>
  <c r="T11" i="55"/>
  <c r="AA10" i="55"/>
  <c r="Z10" i="55"/>
  <c r="T10" i="55"/>
  <c r="AA9" i="55"/>
  <c r="Z9" i="55"/>
  <c r="T9" i="55"/>
  <c r="Y4" i="55"/>
  <c r="X4" i="55"/>
  <c r="W4" i="55"/>
  <c r="V4" i="55"/>
  <c r="U4" i="55"/>
  <c r="Y3" i="55"/>
  <c r="X3" i="55"/>
  <c r="W3" i="55"/>
  <c r="V3" i="55"/>
  <c r="U3" i="55"/>
  <c r="AB2" i="55"/>
  <c r="D2" i="55"/>
  <c r="AA42" i="56"/>
  <c r="AC42" i="56" s="1"/>
  <c r="Z42" i="56"/>
  <c r="AB2" i="56"/>
  <c r="V4" i="56"/>
  <c r="W4" i="56"/>
  <c r="X4" i="56"/>
  <c r="Y4" i="56"/>
  <c r="V3" i="56"/>
  <c r="W3" i="56"/>
  <c r="X3" i="56"/>
  <c r="Y3" i="56"/>
  <c r="U4" i="56"/>
  <c r="U3" i="56"/>
  <c r="T10" i="56"/>
  <c r="T11" i="56"/>
  <c r="T12" i="56"/>
  <c r="T13" i="56"/>
  <c r="T14" i="56"/>
  <c r="T15" i="56"/>
  <c r="T16" i="56"/>
  <c r="T17" i="56"/>
  <c r="T18" i="56"/>
  <c r="T19" i="56"/>
  <c r="T20" i="56"/>
  <c r="T21" i="56"/>
  <c r="T22" i="56"/>
  <c r="T23" i="56"/>
  <c r="T24" i="56"/>
  <c r="T25" i="56"/>
  <c r="T26" i="56"/>
  <c r="T27" i="56"/>
  <c r="T28" i="56"/>
  <c r="T29" i="56"/>
  <c r="T30" i="56"/>
  <c r="T31" i="56"/>
  <c r="T32" i="56"/>
  <c r="T33" i="56"/>
  <c r="T34" i="56"/>
  <c r="T35" i="56"/>
  <c r="T36" i="56"/>
  <c r="T37" i="56"/>
  <c r="T38" i="56"/>
  <c r="T39" i="56"/>
  <c r="T40" i="56"/>
  <c r="T41" i="56"/>
  <c r="T42" i="56"/>
  <c r="T43" i="56"/>
  <c r="T44" i="56"/>
  <c r="T9" i="56"/>
  <c r="R10" i="56"/>
  <c r="R11" i="56"/>
  <c r="R12" i="56"/>
  <c r="R13" i="56"/>
  <c r="R14" i="56"/>
  <c r="R15" i="56"/>
  <c r="R16" i="56"/>
  <c r="R17" i="56"/>
  <c r="R18" i="56"/>
  <c r="R19" i="56"/>
  <c r="R20" i="56"/>
  <c r="R21" i="56"/>
  <c r="R22" i="56"/>
  <c r="R23" i="56"/>
  <c r="R24" i="56"/>
  <c r="R25" i="56"/>
  <c r="R26" i="56"/>
  <c r="R27" i="56"/>
  <c r="R28" i="56"/>
  <c r="R29" i="56"/>
  <c r="R30" i="56"/>
  <c r="R31" i="56"/>
  <c r="R32" i="56"/>
  <c r="R33" i="56"/>
  <c r="R34" i="56"/>
  <c r="R35" i="56"/>
  <c r="R36" i="56"/>
  <c r="R37" i="56"/>
  <c r="R38" i="56"/>
  <c r="R39" i="56"/>
  <c r="R40" i="56"/>
  <c r="R41" i="56"/>
  <c r="R42" i="56"/>
  <c r="R43" i="56"/>
  <c r="R44" i="56"/>
  <c r="R9" i="56"/>
  <c r="AA44" i="56"/>
  <c r="AD44" i="56" s="1"/>
  <c r="Z44" i="56"/>
  <c r="AA43" i="56"/>
  <c r="AC43" i="56" s="1"/>
  <c r="Z43" i="56"/>
  <c r="AA41" i="56"/>
  <c r="AD41" i="56" s="1"/>
  <c r="Z41" i="56"/>
  <c r="AA40" i="56"/>
  <c r="AD40" i="56" s="1"/>
  <c r="Z40" i="56"/>
  <c r="AA39" i="56"/>
  <c r="AD39" i="56" s="1"/>
  <c r="Z39" i="56"/>
  <c r="AA38" i="56"/>
  <c r="AC38" i="56" s="1"/>
  <c r="Z38" i="56"/>
  <c r="AA37" i="56"/>
  <c r="Z37" i="56"/>
  <c r="AA36" i="56"/>
  <c r="Z36" i="56"/>
  <c r="AA35" i="56"/>
  <c r="Z35" i="56"/>
  <c r="AA34" i="56"/>
  <c r="Z34" i="56"/>
  <c r="AA33" i="56"/>
  <c r="Z33" i="56"/>
  <c r="AA32" i="56"/>
  <c r="Z32" i="56"/>
  <c r="AA31" i="56"/>
  <c r="Z31" i="56"/>
  <c r="AA30" i="56"/>
  <c r="Z30" i="56"/>
  <c r="AA29" i="56"/>
  <c r="AC29" i="56" s="1"/>
  <c r="Z29" i="56"/>
  <c r="AA28" i="56"/>
  <c r="Z28" i="56"/>
  <c r="AA27" i="56"/>
  <c r="Z27" i="56"/>
  <c r="AA26" i="56"/>
  <c r="Z26" i="56"/>
  <c r="AA25" i="56"/>
  <c r="Z25" i="56"/>
  <c r="AA24" i="56"/>
  <c r="Z24" i="56"/>
  <c r="AA23" i="56"/>
  <c r="Z23" i="56"/>
  <c r="AA22" i="56"/>
  <c r="Z22" i="56"/>
  <c r="AA21" i="56"/>
  <c r="Z21" i="56"/>
  <c r="AA20" i="56"/>
  <c r="Z20" i="56"/>
  <c r="AA19" i="56"/>
  <c r="Z19" i="56"/>
  <c r="AA18" i="56"/>
  <c r="Z18" i="56"/>
  <c r="AA17" i="56"/>
  <c r="Z17" i="56"/>
  <c r="AA16" i="56"/>
  <c r="Z16" i="56"/>
  <c r="AA15" i="56"/>
  <c r="Z15" i="56"/>
  <c r="AA14" i="56"/>
  <c r="Z14" i="56"/>
  <c r="AA13" i="56"/>
  <c r="Z13" i="56"/>
  <c r="AA12" i="56"/>
  <c r="Z12" i="56"/>
  <c r="AA11" i="56"/>
  <c r="Z11" i="56"/>
  <c r="AA10" i="56"/>
  <c r="Z10" i="56"/>
  <c r="AA9" i="56"/>
  <c r="Z9" i="56"/>
  <c r="J32" i="173" l="1"/>
  <c r="AC40" i="56"/>
  <c r="AC43" i="55"/>
  <c r="AC19" i="31"/>
  <c r="AC44" i="56"/>
  <c r="AD43" i="56"/>
  <c r="AC35" i="55"/>
  <c r="AC41" i="56"/>
  <c r="AD38" i="56"/>
  <c r="AC23" i="31"/>
  <c r="AD23" i="31" s="1"/>
  <c r="AC27" i="31"/>
  <c r="AC35" i="31"/>
  <c r="AC39" i="31"/>
  <c r="AC26" i="31"/>
  <c r="AD29" i="56"/>
  <c r="AC43" i="31"/>
  <c r="AC39" i="56"/>
  <c r="AD42" i="56"/>
  <c r="AC30" i="55"/>
  <c r="AD30" i="55" s="1"/>
  <c r="AC39" i="55"/>
  <c r="AC38" i="55"/>
  <c r="AD26" i="31"/>
  <c r="AD19" i="31"/>
  <c r="AD27" i="31"/>
  <c r="AC18" i="31"/>
  <c r="AD18" i="31" s="1"/>
  <c r="AC14" i="31"/>
  <c r="AD14" i="31" s="1"/>
  <c r="AC11" i="31"/>
  <c r="AD11" i="31" s="1"/>
  <c r="AC10" i="31"/>
  <c r="AD10" i="31" s="1"/>
  <c r="AD35" i="31"/>
  <c r="AC31" i="31"/>
  <c r="AD31" i="31" s="1"/>
  <c r="AC22" i="31"/>
  <c r="AD22" i="31" s="1"/>
  <c r="AC15" i="31"/>
  <c r="AD15" i="31" s="1"/>
  <c r="AC34" i="55"/>
  <c r="AD34" i="55" s="1"/>
  <c r="AC29" i="55"/>
  <c r="AD29" i="55" s="1"/>
  <c r="AC12" i="55"/>
  <c r="AD12" i="55" s="1"/>
  <c r="AC20" i="55"/>
  <c r="AD20" i="55" s="1"/>
  <c r="AC11" i="55"/>
  <c r="AD11" i="55" s="1"/>
  <c r="AC17" i="55"/>
  <c r="AD17" i="55" s="1"/>
  <c r="AC25" i="55"/>
  <c r="AD25" i="55" s="1"/>
  <c r="AC31" i="55"/>
  <c r="AD31" i="55" s="1"/>
  <c r="AC42" i="55"/>
  <c r="AC14" i="55"/>
  <c r="AD14" i="55" s="1"/>
  <c r="AC18" i="55"/>
  <c r="AD18" i="55" s="1"/>
  <c r="AC22" i="55"/>
  <c r="AD22" i="55" s="1"/>
  <c r="AC26" i="55"/>
  <c r="AD26" i="55" s="1"/>
  <c r="AC13" i="55"/>
  <c r="AD13" i="55" s="1"/>
  <c r="AC21" i="55"/>
  <c r="AD21" i="55" s="1"/>
  <c r="AC33" i="55"/>
  <c r="AC37" i="55"/>
  <c r="AD37" i="55" s="1"/>
  <c r="AD41" i="55"/>
  <c r="AC19" i="55"/>
  <c r="AD19" i="55" s="1"/>
  <c r="AC10" i="55"/>
  <c r="AD10" i="55" s="1"/>
  <c r="AD33" i="55"/>
  <c r="AC30" i="31"/>
  <c r="AD30" i="31" s="1"/>
  <c r="AC34" i="31"/>
  <c r="AD34" i="31" s="1"/>
  <c r="AC38" i="31"/>
  <c r="AC42" i="31"/>
  <c r="AC9" i="31"/>
  <c r="AD9" i="31" s="1"/>
  <c r="AC13" i="31"/>
  <c r="AD13" i="31" s="1"/>
  <c r="AC17" i="31"/>
  <c r="AD17" i="31" s="1"/>
  <c r="AC21" i="31"/>
  <c r="AD21" i="31" s="1"/>
  <c r="AC25" i="31"/>
  <c r="AD25" i="31" s="1"/>
  <c r="AC29" i="31"/>
  <c r="AD29" i="31" s="1"/>
  <c r="AC33" i="31"/>
  <c r="AD33" i="31" s="1"/>
  <c r="AC37" i="31"/>
  <c r="AD37" i="31" s="1"/>
  <c r="AC41" i="31"/>
  <c r="AC12" i="31"/>
  <c r="AD12" i="31" s="1"/>
  <c r="AC16" i="31"/>
  <c r="AD16" i="31" s="1"/>
  <c r="AC20" i="31"/>
  <c r="AD20" i="31" s="1"/>
  <c r="AC24" i="31"/>
  <c r="AD24" i="31" s="1"/>
  <c r="AC28" i="31"/>
  <c r="AD28" i="31" s="1"/>
  <c r="AC32" i="31"/>
  <c r="AD32" i="31" s="1"/>
  <c r="AC36" i="31"/>
  <c r="AD36" i="31" s="1"/>
  <c r="AC40" i="31"/>
  <c r="AC44" i="31"/>
  <c r="AD35" i="55"/>
  <c r="AC15" i="55"/>
  <c r="AD15" i="55" s="1"/>
  <c r="AC23" i="55"/>
  <c r="AD23" i="55" s="1"/>
  <c r="AC27" i="55"/>
  <c r="AD27" i="55" s="1"/>
  <c r="AC9" i="55"/>
  <c r="AC16" i="55"/>
  <c r="AD16" i="55" s="1"/>
  <c r="AC24" i="55"/>
  <c r="AD24" i="55" s="1"/>
  <c r="AC28" i="55"/>
  <c r="AD28" i="55" s="1"/>
  <c r="AC32" i="55"/>
  <c r="AD32" i="55" s="1"/>
  <c r="AC36" i="55"/>
  <c r="AD36" i="55" s="1"/>
  <c r="AC40" i="55"/>
  <c r="AC44" i="55"/>
  <c r="AD32" i="56"/>
  <c r="AD27" i="56"/>
  <c r="AC19" i="56"/>
  <c r="AD19" i="56" s="1"/>
  <c r="AC31" i="56"/>
  <c r="AD31" i="56" s="1"/>
  <c r="AC15" i="56"/>
  <c r="AD15" i="56" s="1"/>
  <c r="AC35" i="56"/>
  <c r="AD35" i="56" s="1"/>
  <c r="AC11" i="56"/>
  <c r="AD11" i="56" s="1"/>
  <c r="AC27" i="56"/>
  <c r="AC25" i="56"/>
  <c r="AD25" i="56" s="1"/>
  <c r="AC18" i="56"/>
  <c r="AD18" i="56" s="1"/>
  <c r="AC26" i="56"/>
  <c r="AD26" i="56" s="1"/>
  <c r="AC34" i="56"/>
  <c r="AD34" i="56" s="1"/>
  <c r="AC24" i="56"/>
  <c r="AD24" i="56" s="1"/>
  <c r="AC28" i="56"/>
  <c r="AD28" i="56" s="1"/>
  <c r="AC32" i="56"/>
  <c r="AC16" i="56"/>
  <c r="AD16" i="56" s="1"/>
  <c r="AC13" i="56"/>
  <c r="AD13" i="56" s="1"/>
  <c r="AC33" i="56"/>
  <c r="AD33" i="56" s="1"/>
  <c r="AC30" i="56"/>
  <c r="AD30" i="56" s="1"/>
  <c r="AC23" i="56"/>
  <c r="AD23" i="56" s="1"/>
  <c r="AC10" i="56"/>
  <c r="AD10" i="56" s="1"/>
  <c r="AC21" i="56"/>
  <c r="AD21" i="56" s="1"/>
  <c r="AC36" i="56"/>
  <c r="AD36" i="56" s="1"/>
  <c r="AC12" i="56"/>
  <c r="AD12" i="56" s="1"/>
  <c r="AC14" i="56"/>
  <c r="AD14" i="56" s="1"/>
  <c r="AC17" i="56"/>
  <c r="AD17" i="56" s="1"/>
  <c r="AC20" i="56"/>
  <c r="AD20" i="56" s="1"/>
  <c r="AC22" i="56"/>
  <c r="AD22" i="56" s="1"/>
  <c r="AC37" i="56"/>
  <c r="AD37" i="56" s="1"/>
  <c r="AC9" i="56"/>
  <c r="AD9" i="56" s="1"/>
  <c r="AB13" i="170" l="1"/>
  <c r="AA13" i="170"/>
  <c r="AD9" i="55"/>
  <c r="K5" i="149"/>
  <c r="K6" i="149"/>
  <c r="K7" i="149"/>
  <c r="K8" i="149"/>
  <c r="K9" i="149"/>
  <c r="K10" i="149"/>
  <c r="K11" i="149"/>
  <c r="K12" i="149"/>
  <c r="K13" i="149"/>
  <c r="K14" i="149"/>
  <c r="K15" i="149"/>
  <c r="K16" i="149"/>
  <c r="K17" i="149"/>
  <c r="K18" i="149"/>
  <c r="K19" i="149"/>
  <c r="K20" i="149"/>
  <c r="K21" i="149"/>
  <c r="K22" i="149"/>
  <c r="K23" i="149"/>
  <c r="K24" i="149"/>
  <c r="K25" i="149"/>
  <c r="K26" i="149"/>
  <c r="K27" i="149"/>
  <c r="K28" i="149"/>
  <c r="K29" i="149"/>
  <c r="K30" i="149"/>
  <c r="K31" i="149"/>
  <c r="K32" i="149"/>
  <c r="K33" i="149"/>
  <c r="K34" i="149"/>
  <c r="K35" i="149"/>
  <c r="K36" i="149"/>
  <c r="K37" i="149"/>
  <c r="K38" i="149"/>
  <c r="K39" i="149"/>
  <c r="K40" i="149"/>
  <c r="AA3" i="123"/>
  <c r="F8" i="169"/>
  <c r="F9" i="169"/>
  <c r="F10" i="169"/>
  <c r="F11" i="169"/>
  <c r="F12" i="169"/>
  <c r="F13" i="169"/>
  <c r="F14" i="169"/>
  <c r="F15" i="169"/>
  <c r="F16" i="169"/>
  <c r="F17" i="169"/>
  <c r="F18" i="169"/>
  <c r="F19" i="169"/>
  <c r="F20" i="169"/>
  <c r="F21" i="169"/>
  <c r="F22" i="169"/>
  <c r="F23" i="169"/>
  <c r="F24" i="169"/>
  <c r="F25" i="169"/>
  <c r="F26" i="169"/>
  <c r="F27" i="169"/>
  <c r="F28" i="169"/>
  <c r="F29" i="169"/>
  <c r="F30" i="169"/>
  <c r="F31" i="169"/>
  <c r="F32" i="169"/>
  <c r="F33" i="169"/>
  <c r="F34" i="169"/>
  <c r="F35" i="169"/>
  <c r="F36" i="169"/>
  <c r="F37" i="169"/>
  <c r="F38" i="169"/>
  <c r="F39" i="169"/>
  <c r="F40" i="169"/>
  <c r="F41" i="169"/>
  <c r="F42" i="169"/>
  <c r="F7" i="169"/>
  <c r="G2" i="169"/>
  <c r="F2" i="169"/>
  <c r="C2" i="169"/>
  <c r="K1" i="169"/>
  <c r="D42" i="169"/>
  <c r="D41" i="169"/>
  <c r="D40" i="169"/>
  <c r="D39" i="169"/>
  <c r="D38" i="169"/>
  <c r="D37" i="169"/>
  <c r="D36" i="169"/>
  <c r="D35" i="169"/>
  <c r="D34" i="169"/>
  <c r="D33" i="169"/>
  <c r="D32" i="169"/>
  <c r="D31" i="169"/>
  <c r="D30" i="169"/>
  <c r="D29" i="169"/>
  <c r="D28" i="169"/>
  <c r="D27" i="169"/>
  <c r="D26" i="169"/>
  <c r="D25" i="169"/>
  <c r="D24" i="169"/>
  <c r="D23" i="169"/>
  <c r="D22" i="169"/>
  <c r="D21" i="169"/>
  <c r="D20" i="169"/>
  <c r="D19" i="169"/>
  <c r="D18" i="169"/>
  <c r="D17" i="169"/>
  <c r="D16" i="169"/>
  <c r="D15" i="169"/>
  <c r="D14" i="169"/>
  <c r="D13" i="169"/>
  <c r="D12" i="169"/>
  <c r="D11" i="169"/>
  <c r="D10" i="169"/>
  <c r="D9" i="169"/>
  <c r="D8" i="169"/>
  <c r="D7" i="169"/>
  <c r="Y13" i="170" l="1"/>
  <c r="H41" i="127" l="1"/>
  <c r="Z42" i="127" l="1"/>
  <c r="AA42" i="127" s="1"/>
  <c r="Z41" i="127"/>
  <c r="AA41" i="127" s="1"/>
  <c r="Z40" i="127"/>
  <c r="AA40" i="127" s="1"/>
  <c r="Z39" i="127"/>
  <c r="AA39" i="127" s="1"/>
  <c r="Z38" i="127"/>
  <c r="AA38" i="127" s="1"/>
  <c r="Z37" i="127"/>
  <c r="AA37" i="127" s="1"/>
  <c r="Z36" i="127"/>
  <c r="AA36" i="127" s="1"/>
  <c r="Z35" i="127"/>
  <c r="AA35" i="127" s="1"/>
  <c r="Z34" i="127"/>
  <c r="AA34" i="127" s="1"/>
  <c r="Z33" i="127"/>
  <c r="AA33" i="127" s="1"/>
  <c r="Z32" i="127"/>
  <c r="AA32" i="127" s="1"/>
  <c r="Z31" i="127"/>
  <c r="AA31" i="127" s="1"/>
  <c r="Z30" i="127"/>
  <c r="AA30" i="127" s="1"/>
  <c r="Z29" i="127"/>
  <c r="AA29" i="127" s="1"/>
  <c r="Z28" i="127"/>
  <c r="AA28" i="127" s="1"/>
  <c r="Z27" i="127"/>
  <c r="AA27" i="127" s="1"/>
  <c r="Z26" i="127"/>
  <c r="AA26" i="127" s="1"/>
  <c r="Z25" i="127"/>
  <c r="AA25" i="127" s="1"/>
  <c r="Z24" i="127"/>
  <c r="AA24" i="127" s="1"/>
  <c r="Z23" i="127"/>
  <c r="AA23" i="127" s="1"/>
  <c r="Z22" i="127"/>
  <c r="AA22" i="127" s="1"/>
  <c r="Z21" i="127"/>
  <c r="AA21" i="127" s="1"/>
  <c r="Z20" i="127"/>
  <c r="AA20" i="127" s="1"/>
  <c r="Z19" i="127"/>
  <c r="AA19" i="127" s="1"/>
  <c r="Z18" i="127"/>
  <c r="AA18" i="127" s="1"/>
  <c r="Z17" i="127"/>
  <c r="AA17" i="127" s="1"/>
  <c r="Z16" i="127"/>
  <c r="AA16" i="127" s="1"/>
  <c r="Z15" i="127"/>
  <c r="AA15" i="127" s="1"/>
  <c r="Z14" i="127"/>
  <c r="AA14" i="127" s="1"/>
  <c r="Z13" i="127"/>
  <c r="AA13" i="127" s="1"/>
  <c r="Z12" i="127"/>
  <c r="AA12" i="127" s="1"/>
  <c r="Z11" i="127"/>
  <c r="AA11" i="127" s="1"/>
  <c r="Z10" i="127"/>
  <c r="AA10" i="127" s="1"/>
  <c r="Z9" i="127"/>
  <c r="AA9" i="127" s="1"/>
  <c r="Z8" i="127"/>
  <c r="AA8" i="127" s="1"/>
  <c r="Z7" i="127"/>
  <c r="AA7" i="127" s="1"/>
  <c r="V42" i="127"/>
  <c r="W42" i="127" s="1"/>
  <c r="V41" i="127"/>
  <c r="W41" i="127" s="1"/>
  <c r="V40" i="127"/>
  <c r="W40" i="127" s="1"/>
  <c r="V39" i="127"/>
  <c r="W39" i="127" s="1"/>
  <c r="V38" i="127"/>
  <c r="W38" i="127" s="1"/>
  <c r="V37" i="127"/>
  <c r="W37" i="127" s="1"/>
  <c r="V36" i="127"/>
  <c r="W36" i="127" s="1"/>
  <c r="V35" i="127"/>
  <c r="W35" i="127" s="1"/>
  <c r="V34" i="127"/>
  <c r="W34" i="127" s="1"/>
  <c r="V33" i="127"/>
  <c r="W33" i="127" s="1"/>
  <c r="V32" i="127"/>
  <c r="W32" i="127" s="1"/>
  <c r="V31" i="127"/>
  <c r="W31" i="127" s="1"/>
  <c r="V30" i="127"/>
  <c r="W30" i="127" s="1"/>
  <c r="V29" i="127"/>
  <c r="W29" i="127" s="1"/>
  <c r="V28" i="127"/>
  <c r="W28" i="127" s="1"/>
  <c r="V27" i="127"/>
  <c r="W27" i="127" s="1"/>
  <c r="V26" i="127"/>
  <c r="W26" i="127" s="1"/>
  <c r="V25" i="127"/>
  <c r="W25" i="127" s="1"/>
  <c r="V24" i="127"/>
  <c r="W24" i="127" s="1"/>
  <c r="V23" i="127"/>
  <c r="W23" i="127" s="1"/>
  <c r="V22" i="127"/>
  <c r="W22" i="127" s="1"/>
  <c r="V21" i="127"/>
  <c r="W21" i="127" s="1"/>
  <c r="V20" i="127"/>
  <c r="W20" i="127" s="1"/>
  <c r="V19" i="127"/>
  <c r="W19" i="127" s="1"/>
  <c r="V18" i="127"/>
  <c r="W18" i="127" s="1"/>
  <c r="V17" i="127"/>
  <c r="W17" i="127" s="1"/>
  <c r="V16" i="127"/>
  <c r="W16" i="127" s="1"/>
  <c r="V15" i="127"/>
  <c r="W15" i="127" s="1"/>
  <c r="V14" i="127"/>
  <c r="W14" i="127" s="1"/>
  <c r="V13" i="127"/>
  <c r="W13" i="127" s="1"/>
  <c r="V12" i="127"/>
  <c r="W12" i="127" s="1"/>
  <c r="V11" i="127"/>
  <c r="W11" i="127" s="1"/>
  <c r="V10" i="127"/>
  <c r="W10" i="127" s="1"/>
  <c r="V9" i="127"/>
  <c r="W9" i="127" s="1"/>
  <c r="V8" i="127"/>
  <c r="W8" i="127" s="1"/>
  <c r="V7" i="127"/>
  <c r="W7" i="127" s="1"/>
  <c r="R42" i="127"/>
  <c r="S42" i="127" s="1"/>
  <c r="R41" i="127"/>
  <c r="S41" i="127" s="1"/>
  <c r="R40" i="127"/>
  <c r="S40" i="127" s="1"/>
  <c r="R39" i="127"/>
  <c r="S39" i="127" s="1"/>
  <c r="R38" i="127"/>
  <c r="S38" i="127" s="1"/>
  <c r="R37" i="127"/>
  <c r="S37" i="127" s="1"/>
  <c r="R36" i="127"/>
  <c r="S36" i="127" s="1"/>
  <c r="R35" i="127"/>
  <c r="S35" i="127" s="1"/>
  <c r="R34" i="127"/>
  <c r="S34" i="127" s="1"/>
  <c r="R33" i="127"/>
  <c r="S33" i="127" s="1"/>
  <c r="R32" i="127"/>
  <c r="S32" i="127" s="1"/>
  <c r="R31" i="127"/>
  <c r="S31" i="127" s="1"/>
  <c r="R30" i="127"/>
  <c r="S30" i="127" s="1"/>
  <c r="R29" i="127"/>
  <c r="S29" i="127" s="1"/>
  <c r="R28" i="127"/>
  <c r="S28" i="127" s="1"/>
  <c r="R27" i="127"/>
  <c r="S27" i="127" s="1"/>
  <c r="R26" i="127"/>
  <c r="S26" i="127" s="1"/>
  <c r="R25" i="127"/>
  <c r="S25" i="127" s="1"/>
  <c r="R24" i="127"/>
  <c r="S24" i="127" s="1"/>
  <c r="R23" i="127"/>
  <c r="S23" i="127" s="1"/>
  <c r="R22" i="127"/>
  <c r="S22" i="127" s="1"/>
  <c r="R21" i="127"/>
  <c r="S21" i="127" s="1"/>
  <c r="R20" i="127"/>
  <c r="S20" i="127" s="1"/>
  <c r="R19" i="127"/>
  <c r="S19" i="127" s="1"/>
  <c r="R18" i="127"/>
  <c r="S18" i="127" s="1"/>
  <c r="R17" i="127"/>
  <c r="S17" i="127" s="1"/>
  <c r="R16" i="127"/>
  <c r="S16" i="127" s="1"/>
  <c r="R15" i="127"/>
  <c r="S15" i="127" s="1"/>
  <c r="R14" i="127"/>
  <c r="S14" i="127" s="1"/>
  <c r="R13" i="127"/>
  <c r="S13" i="127" s="1"/>
  <c r="R12" i="127"/>
  <c r="S12" i="127" s="1"/>
  <c r="R11" i="127"/>
  <c r="S11" i="127" s="1"/>
  <c r="R10" i="127"/>
  <c r="S10" i="127" s="1"/>
  <c r="R9" i="127"/>
  <c r="S9" i="127" s="1"/>
  <c r="R8" i="127"/>
  <c r="S8" i="127" s="1"/>
  <c r="R7" i="127"/>
  <c r="S7" i="127" s="1"/>
  <c r="N42" i="127"/>
  <c r="O42" i="127" s="1"/>
  <c r="N41" i="127"/>
  <c r="O41" i="127" s="1"/>
  <c r="N40" i="127"/>
  <c r="O40" i="127" s="1"/>
  <c r="N39" i="127"/>
  <c r="O39" i="127" s="1"/>
  <c r="N38" i="127"/>
  <c r="O38" i="127" s="1"/>
  <c r="N37" i="127"/>
  <c r="O37" i="127" s="1"/>
  <c r="N36" i="127"/>
  <c r="O36" i="127" s="1"/>
  <c r="N35" i="127"/>
  <c r="O35" i="127" s="1"/>
  <c r="N34" i="127"/>
  <c r="O34" i="127" s="1"/>
  <c r="N33" i="127"/>
  <c r="O33" i="127" s="1"/>
  <c r="N32" i="127"/>
  <c r="O32" i="127" s="1"/>
  <c r="N31" i="127"/>
  <c r="O31" i="127" s="1"/>
  <c r="N30" i="127"/>
  <c r="O30" i="127" s="1"/>
  <c r="N29" i="127"/>
  <c r="O29" i="127" s="1"/>
  <c r="N28" i="127"/>
  <c r="O28" i="127" s="1"/>
  <c r="J8" i="127"/>
  <c r="K8" i="127" s="1"/>
  <c r="J9" i="127"/>
  <c r="K9" i="127" s="1"/>
  <c r="J10" i="127"/>
  <c r="K10" i="127" s="1"/>
  <c r="J11" i="127"/>
  <c r="K11" i="127" s="1"/>
  <c r="J12" i="127"/>
  <c r="K12" i="127" s="1"/>
  <c r="J13" i="127"/>
  <c r="K13" i="127" s="1"/>
  <c r="J14" i="127"/>
  <c r="K14" i="127" s="1"/>
  <c r="J15" i="127"/>
  <c r="K15" i="127" s="1"/>
  <c r="J16" i="127"/>
  <c r="K16" i="127" s="1"/>
  <c r="J17" i="127"/>
  <c r="K17" i="127" s="1"/>
  <c r="J18" i="127"/>
  <c r="K18" i="127" s="1"/>
  <c r="J19" i="127"/>
  <c r="K19" i="127" s="1"/>
  <c r="J20" i="127"/>
  <c r="K20" i="127" s="1"/>
  <c r="J21" i="127"/>
  <c r="K21" i="127" s="1"/>
  <c r="J22" i="127"/>
  <c r="K22" i="127" s="1"/>
  <c r="J23" i="127"/>
  <c r="K23" i="127" s="1"/>
  <c r="J24" i="127"/>
  <c r="K24" i="127" s="1"/>
  <c r="J25" i="127"/>
  <c r="K25" i="127" s="1"/>
  <c r="J26" i="127"/>
  <c r="K26" i="127" s="1"/>
  <c r="J27" i="127"/>
  <c r="K27" i="127" s="1"/>
  <c r="J28" i="127"/>
  <c r="K28" i="127" s="1"/>
  <c r="J29" i="127"/>
  <c r="K29" i="127" s="1"/>
  <c r="J30" i="127"/>
  <c r="K30" i="127" s="1"/>
  <c r="J31" i="127"/>
  <c r="K31" i="127" s="1"/>
  <c r="J32" i="127"/>
  <c r="K32" i="127" s="1"/>
  <c r="J33" i="127"/>
  <c r="K33" i="127" s="1"/>
  <c r="J34" i="127"/>
  <c r="K34" i="127" s="1"/>
  <c r="J35" i="127"/>
  <c r="K35" i="127" s="1"/>
  <c r="J36" i="127"/>
  <c r="K36" i="127" s="1"/>
  <c r="J37" i="127"/>
  <c r="K37" i="127" s="1"/>
  <c r="J38" i="127"/>
  <c r="K38" i="127" s="1"/>
  <c r="J39" i="127"/>
  <c r="K39" i="127" s="1"/>
  <c r="J40" i="127"/>
  <c r="K40" i="127" s="1"/>
  <c r="J41" i="127"/>
  <c r="K41" i="127" s="1"/>
  <c r="J42" i="127"/>
  <c r="K42" i="127" s="1"/>
  <c r="J7" i="127"/>
  <c r="K7" i="127" s="1"/>
  <c r="C41" i="127"/>
  <c r="C42" i="127"/>
  <c r="F8" i="127"/>
  <c r="F9" i="127"/>
  <c r="F10" i="127"/>
  <c r="F11" i="127"/>
  <c r="F12" i="127"/>
  <c r="F13" i="127"/>
  <c r="F14" i="127"/>
  <c r="F15" i="127"/>
  <c r="F16" i="127"/>
  <c r="F17" i="127"/>
  <c r="F18" i="127"/>
  <c r="F19" i="127"/>
  <c r="F20" i="127"/>
  <c r="F21" i="127"/>
  <c r="F22" i="127"/>
  <c r="F23" i="127"/>
  <c r="F24" i="127"/>
  <c r="F25" i="127"/>
  <c r="F26" i="127"/>
  <c r="F27" i="127"/>
  <c r="F28" i="127"/>
  <c r="F29" i="127"/>
  <c r="F30" i="127"/>
  <c r="F31" i="127"/>
  <c r="F32" i="127"/>
  <c r="F33" i="127"/>
  <c r="F34" i="127"/>
  <c r="F35" i="127"/>
  <c r="F36" i="127"/>
  <c r="F37" i="127"/>
  <c r="F38" i="127"/>
  <c r="F39" i="127"/>
  <c r="F40" i="127"/>
  <c r="F42" i="127"/>
  <c r="F7" i="127"/>
  <c r="Z13" i="170" s="1"/>
  <c r="G42" i="127"/>
  <c r="H42" i="127" s="1"/>
  <c r="G40" i="127"/>
  <c r="H40" i="127" s="1"/>
  <c r="G39" i="127"/>
  <c r="H39" i="127" s="1"/>
  <c r="G38" i="127"/>
  <c r="H38" i="127" s="1"/>
  <c r="G37" i="127"/>
  <c r="H37" i="127" s="1"/>
  <c r="G36" i="127"/>
  <c r="H36" i="127" s="1"/>
  <c r="G35" i="127"/>
  <c r="H35" i="127" s="1"/>
  <c r="G34" i="127"/>
  <c r="H34" i="127" s="1"/>
  <c r="G33" i="127"/>
  <c r="H33" i="127" s="1"/>
  <c r="G32" i="127"/>
  <c r="H32" i="127" s="1"/>
  <c r="G31" i="127"/>
  <c r="H31" i="127" s="1"/>
  <c r="G30" i="127"/>
  <c r="H30" i="127" s="1"/>
  <c r="G29" i="127"/>
  <c r="H29" i="127" s="1"/>
  <c r="G28" i="127"/>
  <c r="H28" i="127" s="1"/>
  <c r="G27" i="127"/>
  <c r="H27" i="127" s="1"/>
  <c r="G26" i="127"/>
  <c r="H26" i="127" s="1"/>
  <c r="G25" i="127"/>
  <c r="H25" i="127" s="1"/>
  <c r="G24" i="127"/>
  <c r="H24" i="127" s="1"/>
  <c r="G23" i="127"/>
  <c r="H23" i="127" s="1"/>
  <c r="G22" i="127"/>
  <c r="H22" i="127" s="1"/>
  <c r="G21" i="127"/>
  <c r="H21" i="127" s="1"/>
  <c r="G20" i="127"/>
  <c r="H20" i="127" s="1"/>
  <c r="G19" i="127"/>
  <c r="H19" i="127" s="1"/>
  <c r="G18" i="127"/>
  <c r="H18" i="127" s="1"/>
  <c r="G17" i="127"/>
  <c r="H17" i="127" s="1"/>
  <c r="G16" i="127"/>
  <c r="H16" i="127" s="1"/>
  <c r="G15" i="127"/>
  <c r="H15" i="127" s="1"/>
  <c r="G14" i="127"/>
  <c r="H14" i="127" s="1"/>
  <c r="G13" i="127"/>
  <c r="H13" i="127" s="1"/>
  <c r="G12" i="127"/>
  <c r="H12" i="127" s="1"/>
  <c r="G11" i="127"/>
  <c r="H11" i="127" s="1"/>
  <c r="G10" i="127"/>
  <c r="H10" i="127" s="1"/>
  <c r="G9" i="127"/>
  <c r="H9" i="127" s="1"/>
  <c r="G8" i="127"/>
  <c r="H8" i="127" s="1"/>
  <c r="G7" i="127"/>
  <c r="H7" i="127" s="1"/>
  <c r="W43" i="127" l="1"/>
  <c r="V43" i="127" s="1"/>
  <c r="H43" i="127"/>
  <c r="G43" i="127" s="1"/>
  <c r="AA43" i="127"/>
  <c r="Z43" i="127" s="1"/>
  <c r="K43" i="127"/>
  <c r="J43" i="127" s="1"/>
  <c r="O43" i="127"/>
  <c r="N43" i="127" s="1"/>
  <c r="S43" i="127"/>
  <c r="R43" i="127" s="1"/>
  <c r="AN14" i="166"/>
  <c r="AN13" i="166"/>
  <c r="AN12" i="166"/>
  <c r="AO12" i="166" s="1"/>
  <c r="AN11" i="166"/>
  <c r="AO11" i="166" s="1"/>
  <c r="AN10" i="166"/>
  <c r="AO10" i="166" s="1"/>
  <c r="AN9" i="166"/>
  <c r="AN8" i="166"/>
  <c r="AO8" i="166" s="1"/>
  <c r="AN7" i="166"/>
  <c r="AO7" i="166" s="1"/>
  <c r="AN6" i="166"/>
  <c r="AN5" i="166"/>
  <c r="AO5" i="166" s="1"/>
  <c r="C4" i="166"/>
  <c r="C5" i="166"/>
  <c r="C6" i="166"/>
  <c r="C7" i="166"/>
  <c r="C8" i="166"/>
  <c r="C9" i="166"/>
  <c r="C10" i="166"/>
  <c r="C11" i="166"/>
  <c r="C12" i="166"/>
  <c r="C13" i="166"/>
  <c r="C14" i="166"/>
  <c r="C15" i="166"/>
  <c r="C16" i="166"/>
  <c r="C17" i="166"/>
  <c r="C18" i="166"/>
  <c r="C19" i="166"/>
  <c r="C20" i="166"/>
  <c r="C21" i="166"/>
  <c r="C22" i="166"/>
  <c r="C23" i="166"/>
  <c r="C24" i="166"/>
  <c r="C25" i="166"/>
  <c r="C26" i="166"/>
  <c r="C27" i="166"/>
  <c r="C28" i="166"/>
  <c r="C29" i="166"/>
  <c r="C30" i="166"/>
  <c r="C31" i="166"/>
  <c r="C32" i="166"/>
  <c r="C33" i="166"/>
  <c r="C34" i="166"/>
  <c r="C35" i="166"/>
  <c r="C36" i="166"/>
  <c r="C37" i="166"/>
  <c r="C38" i="166"/>
  <c r="C39" i="166"/>
  <c r="O78" i="166"/>
  <c r="P42" i="166"/>
  <c r="P41" i="166"/>
  <c r="S77" i="166"/>
  <c r="R39" i="166"/>
  <c r="R77" i="166" s="1"/>
  <c r="M39" i="166"/>
  <c r="L39" i="166"/>
  <c r="I39" i="166"/>
  <c r="H39" i="166"/>
  <c r="S76" i="166"/>
  <c r="R38" i="166"/>
  <c r="R76" i="166" s="1"/>
  <c r="M38" i="166"/>
  <c r="L38" i="166"/>
  <c r="I38" i="166"/>
  <c r="H38" i="166"/>
  <c r="S75" i="166"/>
  <c r="R37" i="166"/>
  <c r="R75" i="166" s="1"/>
  <c r="M37" i="166"/>
  <c r="L37" i="166"/>
  <c r="I37" i="166"/>
  <c r="H37" i="166"/>
  <c r="S74" i="166"/>
  <c r="R36" i="166"/>
  <c r="R74" i="166" s="1"/>
  <c r="M36" i="166"/>
  <c r="L36" i="166"/>
  <c r="I36" i="166"/>
  <c r="H36" i="166"/>
  <c r="S73" i="166"/>
  <c r="R35" i="166"/>
  <c r="R73" i="166" s="1"/>
  <c r="M35" i="166"/>
  <c r="L35" i="166"/>
  <c r="I35" i="166"/>
  <c r="H35" i="166"/>
  <c r="S72" i="166"/>
  <c r="R34" i="166"/>
  <c r="R72" i="166" s="1"/>
  <c r="M34" i="166"/>
  <c r="L34" i="166"/>
  <c r="I34" i="166"/>
  <c r="H34" i="166"/>
  <c r="S71" i="166"/>
  <c r="R33" i="166"/>
  <c r="R71" i="166" s="1"/>
  <c r="M33" i="166"/>
  <c r="L33" i="166"/>
  <c r="I33" i="166"/>
  <c r="H33" i="166"/>
  <c r="S70" i="166"/>
  <c r="R32" i="166"/>
  <c r="R70" i="166" s="1"/>
  <c r="M32" i="166"/>
  <c r="L32" i="166"/>
  <c r="I32" i="166"/>
  <c r="H32" i="166"/>
  <c r="S69" i="166"/>
  <c r="R31" i="166"/>
  <c r="R69" i="166" s="1"/>
  <c r="M31" i="166"/>
  <c r="L31" i="166"/>
  <c r="I31" i="166"/>
  <c r="H31" i="166"/>
  <c r="S68" i="166"/>
  <c r="R30" i="166"/>
  <c r="R68" i="166" s="1"/>
  <c r="M30" i="166"/>
  <c r="L30" i="166"/>
  <c r="I30" i="166"/>
  <c r="H30" i="166"/>
  <c r="S67" i="166"/>
  <c r="R29" i="166"/>
  <c r="R67" i="166" s="1"/>
  <c r="M29" i="166"/>
  <c r="L29" i="166"/>
  <c r="I29" i="166"/>
  <c r="H29" i="166"/>
  <c r="S66" i="166"/>
  <c r="R28" i="166"/>
  <c r="R66" i="166" s="1"/>
  <c r="M28" i="166"/>
  <c r="L28" i="166"/>
  <c r="I28" i="166"/>
  <c r="H28" i="166"/>
  <c r="S65" i="166"/>
  <c r="R27" i="166"/>
  <c r="R65" i="166" s="1"/>
  <c r="M27" i="166"/>
  <c r="L27" i="166"/>
  <c r="I27" i="166"/>
  <c r="H27" i="166"/>
  <c r="S64" i="166"/>
  <c r="R26" i="166"/>
  <c r="R64" i="166" s="1"/>
  <c r="M26" i="166"/>
  <c r="L26" i="166"/>
  <c r="I26" i="166"/>
  <c r="H26" i="166"/>
  <c r="S63" i="166"/>
  <c r="R25" i="166"/>
  <c r="R63" i="166" s="1"/>
  <c r="M25" i="166"/>
  <c r="L25" i="166"/>
  <c r="I25" i="166"/>
  <c r="H25" i="166"/>
  <c r="S62" i="166"/>
  <c r="R24" i="166"/>
  <c r="R62" i="166" s="1"/>
  <c r="M24" i="166"/>
  <c r="L24" i="166"/>
  <c r="I24" i="166"/>
  <c r="H24" i="166"/>
  <c r="S61" i="166"/>
  <c r="R23" i="166"/>
  <c r="R61" i="166" s="1"/>
  <c r="M23" i="166"/>
  <c r="L23" i="166"/>
  <c r="I23" i="166"/>
  <c r="H23" i="166"/>
  <c r="S60" i="166"/>
  <c r="R22" i="166"/>
  <c r="R60" i="166" s="1"/>
  <c r="M22" i="166"/>
  <c r="L22" i="166"/>
  <c r="I22" i="166"/>
  <c r="H22" i="166"/>
  <c r="S59" i="166"/>
  <c r="R21" i="166"/>
  <c r="R59" i="166" s="1"/>
  <c r="M21" i="166"/>
  <c r="L21" i="166"/>
  <c r="I21" i="166"/>
  <c r="H21" i="166"/>
  <c r="S58" i="166"/>
  <c r="R20" i="166"/>
  <c r="R58" i="166" s="1"/>
  <c r="M20" i="166"/>
  <c r="L20" i="166"/>
  <c r="I20" i="166"/>
  <c r="H20" i="166"/>
  <c r="S57" i="166"/>
  <c r="R19" i="166"/>
  <c r="R57" i="166" s="1"/>
  <c r="M19" i="166"/>
  <c r="L19" i="166"/>
  <c r="I19" i="166"/>
  <c r="H19" i="166"/>
  <c r="S56" i="166"/>
  <c r="R18" i="166"/>
  <c r="R56" i="166" s="1"/>
  <c r="M18" i="166"/>
  <c r="L18" i="166"/>
  <c r="I18" i="166"/>
  <c r="H18" i="166"/>
  <c r="R17" i="166"/>
  <c r="R55" i="166" s="1"/>
  <c r="L17" i="166"/>
  <c r="S55" i="166" s="1"/>
  <c r="H17" i="166"/>
  <c r="S54" i="166"/>
  <c r="R16" i="166"/>
  <c r="R54" i="166" s="1"/>
  <c r="M16" i="166"/>
  <c r="L16" i="166"/>
  <c r="I16" i="166"/>
  <c r="H16" i="166"/>
  <c r="S53" i="166"/>
  <c r="R15" i="166"/>
  <c r="R53" i="166" s="1"/>
  <c r="M15" i="166"/>
  <c r="L15" i="166"/>
  <c r="I15" i="166"/>
  <c r="H15" i="166"/>
  <c r="S52" i="166"/>
  <c r="R14" i="166"/>
  <c r="R52" i="166" s="1"/>
  <c r="M14" i="166"/>
  <c r="L14" i="166"/>
  <c r="I14" i="166"/>
  <c r="H14" i="166"/>
  <c r="AR13" i="166"/>
  <c r="S51" i="166"/>
  <c r="R13" i="166"/>
  <c r="R51" i="166" s="1"/>
  <c r="M13" i="166"/>
  <c r="L13" i="166"/>
  <c r="I13" i="166"/>
  <c r="H13" i="166"/>
  <c r="S50" i="166"/>
  <c r="R12" i="166"/>
  <c r="R50" i="166" s="1"/>
  <c r="M12" i="166"/>
  <c r="L12" i="166"/>
  <c r="I12" i="166"/>
  <c r="H12" i="166"/>
  <c r="AR11" i="166"/>
  <c r="S49" i="166"/>
  <c r="R11" i="166"/>
  <c r="R49" i="166" s="1"/>
  <c r="M11" i="166"/>
  <c r="L11" i="166"/>
  <c r="I11" i="166"/>
  <c r="H11" i="166"/>
  <c r="S48" i="166"/>
  <c r="R10" i="166"/>
  <c r="R48" i="166" s="1"/>
  <c r="M10" i="166"/>
  <c r="L10" i="166"/>
  <c r="I10" i="166"/>
  <c r="H10" i="166"/>
  <c r="AR9" i="166"/>
  <c r="S47" i="166"/>
  <c r="R9" i="166"/>
  <c r="R47" i="166" s="1"/>
  <c r="M9" i="166"/>
  <c r="L9" i="166"/>
  <c r="I9" i="166"/>
  <c r="H9" i="166"/>
  <c r="S46" i="166"/>
  <c r="R8" i="166"/>
  <c r="R46" i="166" s="1"/>
  <c r="M8" i="166"/>
  <c r="L8" i="166"/>
  <c r="I8" i="166"/>
  <c r="H8" i="166"/>
  <c r="AR7" i="166"/>
  <c r="S45" i="166"/>
  <c r="R7" i="166"/>
  <c r="R45" i="166" s="1"/>
  <c r="M7" i="166"/>
  <c r="L7" i="166"/>
  <c r="I7" i="166"/>
  <c r="H7" i="166"/>
  <c r="S44" i="166"/>
  <c r="R6" i="166"/>
  <c r="R44" i="166" s="1"/>
  <c r="M6" i="166"/>
  <c r="L6" i="166"/>
  <c r="I6" i="166"/>
  <c r="H6" i="166"/>
  <c r="AR5" i="166"/>
  <c r="R5" i="166"/>
  <c r="M5" i="166"/>
  <c r="L5" i="166"/>
  <c r="I5" i="166"/>
  <c r="H5" i="166"/>
  <c r="M4" i="166"/>
  <c r="L4" i="166"/>
  <c r="I4" i="166"/>
  <c r="H4" i="166"/>
  <c r="AO6" i="166" l="1"/>
  <c r="AP5" i="166" s="1"/>
  <c r="AN16" i="166"/>
  <c r="AO16" i="166" s="1"/>
  <c r="AO14" i="166"/>
  <c r="AR16" i="166"/>
  <c r="S78" i="166"/>
  <c r="M41" i="166"/>
  <c r="P40" i="166"/>
  <c r="H42" i="166"/>
  <c r="I42" i="166"/>
  <c r="L42" i="166"/>
  <c r="M42" i="166"/>
  <c r="H41" i="166"/>
  <c r="R78" i="166"/>
  <c r="I41" i="166"/>
  <c r="L41" i="166"/>
  <c r="AO9" i="166" l="1"/>
  <c r="AO13" i="166"/>
  <c r="AP13" i="166" s="1"/>
  <c r="L40" i="166"/>
  <c r="H40" i="166"/>
  <c r="M40" i="166"/>
  <c r="I40" i="166"/>
  <c r="AP11" i="166" l="1"/>
  <c r="AP9" i="166"/>
  <c r="AP7" i="166"/>
  <c r="P17" i="149" l="1"/>
  <c r="P26" i="149"/>
  <c r="P28" i="149"/>
  <c r="F2" i="153"/>
  <c r="F2" i="151"/>
  <c r="F2" i="149"/>
  <c r="F2" i="144"/>
  <c r="F2" i="137"/>
  <c r="C2" i="153"/>
  <c r="C2" i="151"/>
  <c r="C2" i="149"/>
  <c r="C2" i="144"/>
  <c r="C2" i="137"/>
  <c r="G35" i="152" l="1"/>
  <c r="G36" i="152"/>
  <c r="G37" i="152"/>
  <c r="G38" i="152"/>
  <c r="G39" i="152"/>
  <c r="G40" i="152"/>
  <c r="H37" i="152"/>
  <c r="H38" i="152"/>
  <c r="H39" i="152"/>
  <c r="H40" i="152"/>
  <c r="G36" i="153"/>
  <c r="G37" i="153"/>
  <c r="G38" i="153"/>
  <c r="G39" i="153"/>
  <c r="G40" i="153"/>
  <c r="H36" i="153"/>
  <c r="H37" i="153"/>
  <c r="H38" i="153"/>
  <c r="H39" i="153"/>
  <c r="H40" i="153"/>
  <c r="K35" i="151"/>
  <c r="K36" i="151"/>
  <c r="K37" i="151"/>
  <c r="K38" i="151"/>
  <c r="K39" i="151"/>
  <c r="K40" i="151"/>
  <c r="L37" i="151"/>
  <c r="L38" i="151"/>
  <c r="L39" i="151"/>
  <c r="L40" i="151"/>
  <c r="G37" i="151"/>
  <c r="G38" i="151"/>
  <c r="G39" i="151"/>
  <c r="G40" i="151"/>
  <c r="H37" i="151"/>
  <c r="H38" i="151"/>
  <c r="H39" i="151"/>
  <c r="G36" i="150"/>
  <c r="G37" i="150"/>
  <c r="G38" i="150"/>
  <c r="G39" i="150"/>
  <c r="G40" i="150"/>
  <c r="H37" i="150"/>
  <c r="H38" i="150"/>
  <c r="H39" i="150"/>
  <c r="H40" i="150"/>
  <c r="K36" i="150"/>
  <c r="K37" i="150"/>
  <c r="K38" i="150"/>
  <c r="K39" i="150"/>
  <c r="K40" i="150"/>
  <c r="H37" i="149"/>
  <c r="H38" i="149"/>
  <c r="H39" i="149"/>
  <c r="H40" i="149"/>
  <c r="G37" i="149"/>
  <c r="G38" i="149"/>
  <c r="G39" i="149"/>
  <c r="G40" i="149"/>
  <c r="H37" i="148"/>
  <c r="H38" i="148"/>
  <c r="H39" i="148"/>
  <c r="H40" i="148"/>
  <c r="G38" i="144"/>
  <c r="G39" i="144"/>
  <c r="G40" i="144"/>
  <c r="H37" i="144"/>
  <c r="H38" i="144"/>
  <c r="H39" i="144"/>
  <c r="H40" i="144"/>
  <c r="H37" i="141"/>
  <c r="H38" i="141"/>
  <c r="H39" i="141"/>
  <c r="H40" i="141"/>
  <c r="G37" i="141"/>
  <c r="G38" i="141"/>
  <c r="G39" i="141"/>
  <c r="G40" i="141"/>
  <c r="H36" i="137"/>
  <c r="H37" i="137"/>
  <c r="H38" i="137"/>
  <c r="H39" i="137"/>
  <c r="H40" i="137"/>
  <c r="G36" i="137"/>
  <c r="G37" i="137"/>
  <c r="G38" i="137"/>
  <c r="G39" i="137"/>
  <c r="G40" i="137"/>
  <c r="G36" i="126"/>
  <c r="G37" i="126"/>
  <c r="G38" i="126"/>
  <c r="G39" i="126"/>
  <c r="G40" i="126"/>
  <c r="H37" i="126"/>
  <c r="H38" i="126"/>
  <c r="H39" i="126"/>
  <c r="H40" i="126"/>
  <c r="G3" i="30" l="1"/>
  <c r="F3" i="30"/>
  <c r="T37" i="153" l="1"/>
  <c r="T39" i="153"/>
  <c r="T26" i="153"/>
  <c r="T28" i="153"/>
  <c r="T17" i="153"/>
  <c r="F39" i="153"/>
  <c r="F40" i="153"/>
  <c r="T37" i="152"/>
  <c r="T39" i="152"/>
  <c r="T26" i="152"/>
  <c r="T28" i="152"/>
  <c r="T15" i="152"/>
  <c r="T17" i="152"/>
  <c r="F39" i="152" l="1"/>
  <c r="F40" i="152"/>
  <c r="F39" i="151"/>
  <c r="F40" i="151"/>
  <c r="F39" i="150"/>
  <c r="F40" i="150"/>
  <c r="F39" i="149"/>
  <c r="F40" i="149"/>
  <c r="F39" i="148"/>
  <c r="F40" i="148"/>
  <c r="F39" i="144"/>
  <c r="F40" i="144"/>
  <c r="F39" i="141"/>
  <c r="F40" i="141"/>
  <c r="F39" i="137"/>
  <c r="F40" i="137"/>
  <c r="F39" i="126"/>
  <c r="F40" i="126"/>
  <c r="B41" i="123"/>
  <c r="F2" i="134"/>
  <c r="B39" i="134"/>
  <c r="F2" i="136"/>
  <c r="B39" i="136"/>
  <c r="F2" i="135"/>
  <c r="B39" i="135"/>
  <c r="C42" i="31"/>
  <c r="C43" i="31"/>
  <c r="C44" i="31"/>
  <c r="C40" i="56"/>
  <c r="C41" i="56"/>
  <c r="C42" i="56"/>
  <c r="C43" i="56"/>
  <c r="C44" i="56"/>
  <c r="C42" i="55"/>
  <c r="C43" i="55"/>
  <c r="C44" i="55"/>
  <c r="D40" i="30"/>
  <c r="H5" i="153"/>
  <c r="H6" i="153"/>
  <c r="H7" i="153"/>
  <c r="H8" i="153"/>
  <c r="H9" i="153"/>
  <c r="H10" i="153"/>
  <c r="H11" i="153"/>
  <c r="H12" i="153"/>
  <c r="H13" i="153"/>
  <c r="H14" i="153"/>
  <c r="H15" i="153"/>
  <c r="H16" i="153"/>
  <c r="H17" i="153"/>
  <c r="H18" i="153"/>
  <c r="I18" i="153" s="1"/>
  <c r="H19" i="153"/>
  <c r="I19" i="153" s="1"/>
  <c r="H20" i="153"/>
  <c r="I20" i="153" s="1"/>
  <c r="H21" i="153"/>
  <c r="H22" i="153"/>
  <c r="H23" i="153"/>
  <c r="H24" i="153"/>
  <c r="H25" i="153"/>
  <c r="H26" i="153"/>
  <c r="H27" i="153"/>
  <c r="H28" i="153"/>
  <c r="H29" i="153"/>
  <c r="H30" i="153"/>
  <c r="H31" i="153"/>
  <c r="H32" i="153"/>
  <c r="H33" i="153"/>
  <c r="H34" i="153"/>
  <c r="H35" i="153"/>
  <c r="G5" i="153"/>
  <c r="G6" i="153"/>
  <c r="G7" i="153"/>
  <c r="G8" i="153"/>
  <c r="G9" i="153"/>
  <c r="G10" i="153"/>
  <c r="G11" i="153"/>
  <c r="G12" i="153"/>
  <c r="G13" i="153"/>
  <c r="G14" i="153"/>
  <c r="G15" i="153"/>
  <c r="G16" i="153"/>
  <c r="G17" i="153"/>
  <c r="G18" i="153"/>
  <c r="G19" i="153"/>
  <c r="G20" i="153"/>
  <c r="G21" i="153"/>
  <c r="G22" i="153"/>
  <c r="G23" i="153"/>
  <c r="G24" i="153"/>
  <c r="G25" i="153"/>
  <c r="G26" i="153"/>
  <c r="G27" i="153"/>
  <c r="G28" i="153"/>
  <c r="G29" i="153"/>
  <c r="G30" i="153"/>
  <c r="G31" i="153"/>
  <c r="G32" i="153"/>
  <c r="G33" i="153"/>
  <c r="G34" i="153"/>
  <c r="G35" i="153"/>
  <c r="H5" i="152"/>
  <c r="I5" i="152" s="1"/>
  <c r="H6" i="152"/>
  <c r="I6" i="152" s="1"/>
  <c r="H7" i="152"/>
  <c r="I7" i="152" s="1"/>
  <c r="H8" i="152"/>
  <c r="I8" i="152" s="1"/>
  <c r="H9" i="152"/>
  <c r="I9" i="152" s="1"/>
  <c r="H10" i="152"/>
  <c r="I10" i="152" s="1"/>
  <c r="H11" i="152"/>
  <c r="I11" i="152" s="1"/>
  <c r="H12" i="152"/>
  <c r="I12" i="152" s="1"/>
  <c r="H13" i="152"/>
  <c r="H14" i="152"/>
  <c r="I14" i="152" s="1"/>
  <c r="H15" i="152"/>
  <c r="I15" i="152" s="1"/>
  <c r="H16" i="152"/>
  <c r="I16" i="152" s="1"/>
  <c r="H17" i="152"/>
  <c r="I17" i="152" s="1"/>
  <c r="H18" i="152"/>
  <c r="I18" i="152" s="1"/>
  <c r="H19" i="152"/>
  <c r="I19" i="152" s="1"/>
  <c r="H20" i="152"/>
  <c r="I20" i="152" s="1"/>
  <c r="H21" i="152"/>
  <c r="I21" i="152" s="1"/>
  <c r="H22" i="152"/>
  <c r="H23" i="152"/>
  <c r="H24" i="152"/>
  <c r="H25" i="152"/>
  <c r="H26" i="152"/>
  <c r="H27" i="152"/>
  <c r="H28" i="152"/>
  <c r="H29" i="152"/>
  <c r="H30" i="152"/>
  <c r="H31" i="152"/>
  <c r="H32" i="152"/>
  <c r="H33" i="152"/>
  <c r="H34" i="152"/>
  <c r="H35" i="152"/>
  <c r="H36" i="152"/>
  <c r="G5" i="152"/>
  <c r="G6" i="152"/>
  <c r="G7" i="152"/>
  <c r="G8" i="152"/>
  <c r="G9" i="152"/>
  <c r="G10" i="152"/>
  <c r="G11" i="152"/>
  <c r="G12" i="152"/>
  <c r="G13" i="152"/>
  <c r="G14" i="152"/>
  <c r="G15" i="152"/>
  <c r="G16" i="152"/>
  <c r="G17" i="152"/>
  <c r="G18" i="152"/>
  <c r="G19" i="152"/>
  <c r="G20" i="152"/>
  <c r="G21" i="152"/>
  <c r="G22" i="152"/>
  <c r="G23" i="152"/>
  <c r="G24" i="152"/>
  <c r="G25" i="152"/>
  <c r="G26" i="152"/>
  <c r="G27" i="152"/>
  <c r="G28" i="152"/>
  <c r="G29" i="152"/>
  <c r="G30" i="152"/>
  <c r="G31" i="152"/>
  <c r="G32" i="152"/>
  <c r="G33" i="152"/>
  <c r="G34" i="152"/>
  <c r="C53" i="180" l="1"/>
  <c r="C47" i="56"/>
  <c r="C47" i="55"/>
  <c r="E21" i="178"/>
  <c r="E26" i="178"/>
  <c r="E31" i="178"/>
  <c r="E36" i="178"/>
  <c r="E11" i="178"/>
  <c r="E16" i="178"/>
  <c r="D49" i="152"/>
  <c r="D49" i="153"/>
  <c r="D48" i="150"/>
  <c r="D48" i="137"/>
  <c r="D48" i="144"/>
  <c r="D48" i="126"/>
  <c r="D48" i="153"/>
  <c r="D48" i="152"/>
  <c r="D48" i="151"/>
  <c r="D48" i="148"/>
  <c r="D48" i="149"/>
  <c r="D48" i="141"/>
  <c r="J39" i="153"/>
  <c r="J38" i="153"/>
  <c r="F38" i="153"/>
  <c r="J37" i="153"/>
  <c r="F37" i="153"/>
  <c r="J36" i="153"/>
  <c r="F36" i="153"/>
  <c r="J35" i="153"/>
  <c r="F35" i="153"/>
  <c r="J34" i="153"/>
  <c r="F34" i="153"/>
  <c r="J33" i="153"/>
  <c r="F33" i="153"/>
  <c r="J32" i="153"/>
  <c r="F32" i="153"/>
  <c r="J31" i="153"/>
  <c r="F31" i="153"/>
  <c r="J30" i="153"/>
  <c r="F30" i="153"/>
  <c r="J29" i="153"/>
  <c r="F29" i="153"/>
  <c r="J28" i="153"/>
  <c r="F28" i="153"/>
  <c r="J27" i="153"/>
  <c r="F27" i="153"/>
  <c r="J26" i="153"/>
  <c r="F26" i="153"/>
  <c r="J25" i="153"/>
  <c r="F25" i="153"/>
  <c r="J24" i="153"/>
  <c r="F24" i="153"/>
  <c r="J23" i="153"/>
  <c r="F23" i="153"/>
  <c r="J22" i="153"/>
  <c r="F22" i="153"/>
  <c r="J21" i="153"/>
  <c r="F21" i="153"/>
  <c r="J20" i="153"/>
  <c r="F20" i="153"/>
  <c r="J19" i="153"/>
  <c r="F19" i="153"/>
  <c r="J18" i="153"/>
  <c r="F18" i="153"/>
  <c r="J17" i="153"/>
  <c r="F17" i="153"/>
  <c r="J16" i="153"/>
  <c r="F16" i="153"/>
  <c r="J15" i="153"/>
  <c r="F15" i="153"/>
  <c r="J14" i="153"/>
  <c r="F14" i="153"/>
  <c r="J13" i="153"/>
  <c r="F13" i="153"/>
  <c r="J12" i="153"/>
  <c r="F12" i="153"/>
  <c r="J11" i="153"/>
  <c r="F11" i="153"/>
  <c r="J10" i="153"/>
  <c r="F10" i="153"/>
  <c r="J9" i="153"/>
  <c r="F9" i="153"/>
  <c r="J8" i="153"/>
  <c r="F8" i="153"/>
  <c r="J7" i="153"/>
  <c r="F7" i="153"/>
  <c r="J6" i="153"/>
  <c r="F6" i="153"/>
  <c r="J5" i="153"/>
  <c r="F5" i="153"/>
  <c r="G2" i="153"/>
  <c r="K1" i="153"/>
  <c r="J39" i="152"/>
  <c r="J38" i="152"/>
  <c r="F38" i="152"/>
  <c r="J37" i="152"/>
  <c r="F37" i="152"/>
  <c r="J36" i="152"/>
  <c r="F36" i="152"/>
  <c r="J35" i="152"/>
  <c r="F35" i="152"/>
  <c r="J34" i="152"/>
  <c r="F34" i="152"/>
  <c r="J33" i="152"/>
  <c r="F33" i="152"/>
  <c r="J32" i="152"/>
  <c r="F32" i="152"/>
  <c r="J31" i="152"/>
  <c r="F31" i="152"/>
  <c r="J30" i="152"/>
  <c r="F30" i="152"/>
  <c r="J29" i="152"/>
  <c r="F29" i="152"/>
  <c r="J28" i="152"/>
  <c r="F28" i="152"/>
  <c r="J27" i="152"/>
  <c r="F27" i="152"/>
  <c r="J26" i="152"/>
  <c r="F26" i="152"/>
  <c r="J25" i="152"/>
  <c r="F25" i="152"/>
  <c r="F24" i="152"/>
  <c r="J23" i="152"/>
  <c r="F23" i="152"/>
  <c r="J22" i="152"/>
  <c r="F22" i="152"/>
  <c r="J21" i="152"/>
  <c r="F21" i="152"/>
  <c r="J20" i="152"/>
  <c r="F20" i="152"/>
  <c r="J19" i="152"/>
  <c r="F19" i="152"/>
  <c r="J18" i="152"/>
  <c r="F18" i="152"/>
  <c r="F17" i="152"/>
  <c r="J16" i="152"/>
  <c r="F16" i="152"/>
  <c r="J15" i="152"/>
  <c r="F15" i="152"/>
  <c r="J14" i="152"/>
  <c r="F14" i="152"/>
  <c r="J13" i="152"/>
  <c r="F13" i="152"/>
  <c r="J12" i="152"/>
  <c r="F12" i="152"/>
  <c r="J11" i="152"/>
  <c r="F11" i="152"/>
  <c r="F10" i="152"/>
  <c r="J9" i="152"/>
  <c r="F9" i="152"/>
  <c r="J8" i="152"/>
  <c r="F8" i="152"/>
  <c r="J7" i="152"/>
  <c r="F7" i="152"/>
  <c r="F6" i="152"/>
  <c r="J5" i="152"/>
  <c r="F5" i="152"/>
  <c r="G2" i="152"/>
  <c r="F2" i="152"/>
  <c r="C2" i="152"/>
  <c r="K1" i="152"/>
  <c r="P26" i="151"/>
  <c r="P28" i="151"/>
  <c r="P15" i="151"/>
  <c r="P17" i="151"/>
  <c r="P37" i="150"/>
  <c r="P39" i="150"/>
  <c r="P26" i="150"/>
  <c r="P28" i="150"/>
  <c r="P17" i="150"/>
  <c r="J10" i="152" l="1"/>
  <c r="J17" i="152"/>
  <c r="J24" i="152"/>
  <c r="J6" i="152"/>
  <c r="L5" i="151"/>
  <c r="L6" i="151"/>
  <c r="L7" i="151"/>
  <c r="L8" i="151"/>
  <c r="L9" i="151"/>
  <c r="L10" i="151"/>
  <c r="L11" i="151"/>
  <c r="L12" i="151"/>
  <c r="L13" i="151"/>
  <c r="L14" i="151"/>
  <c r="L15" i="151"/>
  <c r="L16" i="151"/>
  <c r="L17" i="151"/>
  <c r="L18" i="151"/>
  <c r="M18" i="151" s="1"/>
  <c r="L19" i="151"/>
  <c r="M19" i="151" s="1"/>
  <c r="L20" i="151"/>
  <c r="M20" i="151" s="1"/>
  <c r="L21" i="151"/>
  <c r="L22" i="151"/>
  <c r="L23" i="151"/>
  <c r="L24" i="151"/>
  <c r="L25" i="151"/>
  <c r="L26" i="151"/>
  <c r="L27" i="151"/>
  <c r="L28" i="151"/>
  <c r="L29" i="151"/>
  <c r="L30" i="151"/>
  <c r="L31" i="151"/>
  <c r="N31" i="151" s="1"/>
  <c r="L32" i="151"/>
  <c r="L33" i="151"/>
  <c r="L34" i="151"/>
  <c r="N34" i="151" s="1"/>
  <c r="L35" i="151"/>
  <c r="N35" i="151" s="1"/>
  <c r="L36" i="151"/>
  <c r="N36" i="151" s="1"/>
  <c r="N37" i="151"/>
  <c r="N39" i="151"/>
  <c r="K5" i="151"/>
  <c r="K6" i="151"/>
  <c r="K7" i="151"/>
  <c r="K8" i="151"/>
  <c r="K9" i="151"/>
  <c r="K10" i="151"/>
  <c r="K11" i="151"/>
  <c r="K12" i="151"/>
  <c r="K13" i="151"/>
  <c r="K14" i="151"/>
  <c r="K15" i="151"/>
  <c r="K16" i="151"/>
  <c r="K17" i="151"/>
  <c r="K18" i="151"/>
  <c r="K19" i="151"/>
  <c r="K20" i="151"/>
  <c r="K21" i="151"/>
  <c r="K22" i="151"/>
  <c r="K23" i="151"/>
  <c r="K24" i="151"/>
  <c r="K25" i="151"/>
  <c r="K26" i="151"/>
  <c r="K27" i="151"/>
  <c r="K28" i="151"/>
  <c r="K29" i="151"/>
  <c r="K30" i="151"/>
  <c r="K31" i="151"/>
  <c r="K32" i="151"/>
  <c r="K33" i="151"/>
  <c r="K34" i="151"/>
  <c r="L5" i="150"/>
  <c r="M5" i="150" s="1"/>
  <c r="M6" i="150"/>
  <c r="M7" i="150"/>
  <c r="M8" i="150"/>
  <c r="M9" i="150"/>
  <c r="M10" i="150"/>
  <c r="M11" i="150"/>
  <c r="M12" i="150"/>
  <c r="M14" i="150"/>
  <c r="M15" i="150"/>
  <c r="M16" i="150"/>
  <c r="M18" i="150"/>
  <c r="M19" i="150"/>
  <c r="N31" i="150"/>
  <c r="N35" i="150"/>
  <c r="K5" i="150"/>
  <c r="K6" i="150"/>
  <c r="K7" i="150"/>
  <c r="K8" i="150"/>
  <c r="K9" i="150"/>
  <c r="K10" i="150"/>
  <c r="K11" i="150"/>
  <c r="K12" i="150"/>
  <c r="K13" i="150"/>
  <c r="K14" i="150"/>
  <c r="K15" i="150"/>
  <c r="K16" i="150"/>
  <c r="K17" i="150"/>
  <c r="K18" i="150"/>
  <c r="K19" i="150"/>
  <c r="K20" i="150"/>
  <c r="K21" i="150"/>
  <c r="K22" i="150"/>
  <c r="K23" i="150"/>
  <c r="K24" i="150"/>
  <c r="K25" i="150"/>
  <c r="K26" i="150"/>
  <c r="K27" i="150"/>
  <c r="K28" i="150"/>
  <c r="K29" i="150"/>
  <c r="K30" i="150"/>
  <c r="K31" i="150"/>
  <c r="K32" i="150"/>
  <c r="K33" i="150"/>
  <c r="K34" i="150"/>
  <c r="K35" i="150"/>
  <c r="H5" i="151"/>
  <c r="H6" i="151"/>
  <c r="H7" i="151"/>
  <c r="H8" i="151"/>
  <c r="H9" i="151"/>
  <c r="H10" i="151"/>
  <c r="H11" i="151"/>
  <c r="H12" i="151"/>
  <c r="H13" i="151"/>
  <c r="H14" i="151"/>
  <c r="H15" i="151"/>
  <c r="H16" i="151"/>
  <c r="H17" i="151"/>
  <c r="H18" i="151"/>
  <c r="I18" i="151" s="1"/>
  <c r="H19" i="151"/>
  <c r="I19" i="151" s="1"/>
  <c r="H20" i="151"/>
  <c r="I20" i="151" s="1"/>
  <c r="H21" i="151"/>
  <c r="H22" i="151"/>
  <c r="H23" i="151"/>
  <c r="H24" i="151"/>
  <c r="H25" i="151"/>
  <c r="H26" i="151"/>
  <c r="H27" i="151"/>
  <c r="H28" i="151"/>
  <c r="H29" i="151"/>
  <c r="H30" i="151"/>
  <c r="H31" i="151"/>
  <c r="H32" i="151"/>
  <c r="H33" i="151"/>
  <c r="H34" i="151"/>
  <c r="H35" i="151"/>
  <c r="J35" i="151" s="1"/>
  <c r="H36" i="151"/>
  <c r="J36" i="151" s="1"/>
  <c r="J37" i="151"/>
  <c r="J38" i="151"/>
  <c r="G5" i="151"/>
  <c r="G6" i="151"/>
  <c r="G7" i="151"/>
  <c r="G8" i="151"/>
  <c r="G9" i="151"/>
  <c r="G10" i="151"/>
  <c r="G11" i="151"/>
  <c r="G12" i="151"/>
  <c r="G13" i="151"/>
  <c r="G14" i="151"/>
  <c r="G15" i="151"/>
  <c r="G16" i="151"/>
  <c r="G17" i="151"/>
  <c r="G18" i="151"/>
  <c r="G19" i="151"/>
  <c r="G20" i="151"/>
  <c r="G21" i="151"/>
  <c r="G22" i="151"/>
  <c r="G23" i="151"/>
  <c r="G24" i="151"/>
  <c r="G25" i="151"/>
  <c r="G26" i="151"/>
  <c r="G27" i="151"/>
  <c r="G28" i="151"/>
  <c r="G29" i="151"/>
  <c r="G30" i="151"/>
  <c r="G31" i="151"/>
  <c r="G32" i="151"/>
  <c r="G33" i="151"/>
  <c r="G34" i="151"/>
  <c r="G35" i="151"/>
  <c r="G36" i="151"/>
  <c r="H5" i="150"/>
  <c r="I5" i="150" s="1"/>
  <c r="H6" i="150"/>
  <c r="I6" i="150" s="1"/>
  <c r="H7" i="150"/>
  <c r="I7" i="150" s="1"/>
  <c r="H8" i="150"/>
  <c r="I8" i="150" s="1"/>
  <c r="H9" i="150"/>
  <c r="I9" i="150" s="1"/>
  <c r="H10" i="150"/>
  <c r="I10" i="150" s="1"/>
  <c r="H11" i="150"/>
  <c r="I11" i="150" s="1"/>
  <c r="H12" i="150"/>
  <c r="I12" i="150" s="1"/>
  <c r="H13" i="150"/>
  <c r="H14" i="150"/>
  <c r="I14" i="150" s="1"/>
  <c r="H15" i="150"/>
  <c r="I15" i="150" s="1"/>
  <c r="H16" i="150"/>
  <c r="I16" i="150" s="1"/>
  <c r="H17" i="150"/>
  <c r="I17" i="150" s="1"/>
  <c r="H18" i="150"/>
  <c r="I18" i="150" s="1"/>
  <c r="H19" i="150"/>
  <c r="I19" i="150" s="1"/>
  <c r="H20" i="150"/>
  <c r="I20" i="150" s="1"/>
  <c r="H21" i="150"/>
  <c r="I21" i="150" s="1"/>
  <c r="H22" i="150"/>
  <c r="H23" i="150"/>
  <c r="H24" i="150"/>
  <c r="H25" i="150"/>
  <c r="H26" i="150"/>
  <c r="H27" i="150"/>
  <c r="H28" i="150"/>
  <c r="H29" i="150"/>
  <c r="H30" i="150"/>
  <c r="H31" i="150"/>
  <c r="H32" i="150"/>
  <c r="H33" i="150"/>
  <c r="H34" i="150"/>
  <c r="J34" i="150" s="1"/>
  <c r="H35" i="150"/>
  <c r="J35" i="150" s="1"/>
  <c r="H36" i="150"/>
  <c r="J36" i="150" s="1"/>
  <c r="J37" i="150"/>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29" i="150"/>
  <c r="G30" i="150"/>
  <c r="G31" i="150"/>
  <c r="G32" i="150"/>
  <c r="G33" i="150"/>
  <c r="G34" i="150"/>
  <c r="G35" i="150"/>
  <c r="J40" i="151"/>
  <c r="J39" i="151"/>
  <c r="N38" i="151"/>
  <c r="F38" i="151"/>
  <c r="F37" i="151"/>
  <c r="F36" i="151"/>
  <c r="F35" i="151"/>
  <c r="F34" i="151"/>
  <c r="F33" i="151"/>
  <c r="F32" i="151"/>
  <c r="F31" i="151"/>
  <c r="F30" i="151"/>
  <c r="F29" i="151"/>
  <c r="F28" i="151"/>
  <c r="F27" i="151"/>
  <c r="F26" i="151"/>
  <c r="F25" i="151"/>
  <c r="F24" i="151"/>
  <c r="F23" i="151"/>
  <c r="F22" i="151"/>
  <c r="F21" i="151"/>
  <c r="F20" i="151"/>
  <c r="F19" i="151"/>
  <c r="F18" i="151"/>
  <c r="F17" i="151"/>
  <c r="F16" i="151"/>
  <c r="F15" i="151"/>
  <c r="F14" i="151"/>
  <c r="F13" i="151"/>
  <c r="F12" i="151"/>
  <c r="F11" i="151"/>
  <c r="F10" i="151"/>
  <c r="F9" i="151"/>
  <c r="F8" i="151"/>
  <c r="F7" i="151"/>
  <c r="F6" i="151"/>
  <c r="F5" i="151"/>
  <c r="G2" i="151"/>
  <c r="K1" i="151"/>
  <c r="J40" i="150"/>
  <c r="N39" i="150"/>
  <c r="J39" i="150"/>
  <c r="N38" i="150"/>
  <c r="J38" i="150"/>
  <c r="F38" i="150"/>
  <c r="N37" i="150"/>
  <c r="F37" i="150"/>
  <c r="F36" i="150"/>
  <c r="F35" i="150"/>
  <c r="F34" i="150"/>
  <c r="F33" i="150"/>
  <c r="F32" i="150"/>
  <c r="F31" i="150"/>
  <c r="F30" i="150"/>
  <c r="F29" i="150"/>
  <c r="F28" i="150"/>
  <c r="F27" i="150"/>
  <c r="F26" i="150"/>
  <c r="F25" i="150"/>
  <c r="F24" i="150"/>
  <c r="F23" i="150"/>
  <c r="F22" i="150"/>
  <c r="F21" i="150"/>
  <c r="F20" i="150"/>
  <c r="F19" i="150"/>
  <c r="F18" i="150"/>
  <c r="F17" i="150"/>
  <c r="F16" i="150"/>
  <c r="F15" i="150"/>
  <c r="F14" i="150"/>
  <c r="F13" i="150"/>
  <c r="F12" i="150"/>
  <c r="F11" i="150"/>
  <c r="F10" i="150"/>
  <c r="F9" i="150"/>
  <c r="F8" i="150"/>
  <c r="F7" i="150"/>
  <c r="F6" i="150"/>
  <c r="F5" i="150"/>
  <c r="G2" i="150"/>
  <c r="F2" i="150"/>
  <c r="C2" i="150"/>
  <c r="K1" i="150"/>
  <c r="P37" i="149"/>
  <c r="P39" i="149"/>
  <c r="H5" i="149"/>
  <c r="H6" i="149"/>
  <c r="H7" i="149"/>
  <c r="H8" i="149"/>
  <c r="H9" i="149"/>
  <c r="H10" i="149"/>
  <c r="H11" i="149"/>
  <c r="H12" i="149"/>
  <c r="H13" i="149"/>
  <c r="H14" i="149"/>
  <c r="H15" i="149"/>
  <c r="H16" i="149"/>
  <c r="H17" i="149"/>
  <c r="H18" i="149"/>
  <c r="I18" i="149" s="1"/>
  <c r="H19" i="149"/>
  <c r="I19" i="149" s="1"/>
  <c r="H20" i="149"/>
  <c r="I20" i="149" s="1"/>
  <c r="H21" i="149"/>
  <c r="H22" i="149"/>
  <c r="H23" i="149"/>
  <c r="H24" i="149"/>
  <c r="H25" i="149"/>
  <c r="H26" i="149"/>
  <c r="H27" i="149"/>
  <c r="H28" i="149"/>
  <c r="H29" i="149"/>
  <c r="H30" i="149"/>
  <c r="H31" i="149"/>
  <c r="H32" i="149"/>
  <c r="H33" i="149"/>
  <c r="H34" i="149"/>
  <c r="J34" i="149" s="1"/>
  <c r="H35" i="149"/>
  <c r="H36" i="149"/>
  <c r="J36" i="149" s="1"/>
  <c r="J38" i="149"/>
  <c r="G5" i="149"/>
  <c r="G6" i="149"/>
  <c r="G7" i="149"/>
  <c r="G8" i="149"/>
  <c r="G9" i="149"/>
  <c r="G10" i="149"/>
  <c r="G11" i="149"/>
  <c r="G12" i="149"/>
  <c r="G13" i="149"/>
  <c r="G14" i="149"/>
  <c r="G15" i="149"/>
  <c r="G16" i="149"/>
  <c r="G17" i="149"/>
  <c r="G18" i="149"/>
  <c r="G19" i="149"/>
  <c r="G20" i="149"/>
  <c r="G21" i="149"/>
  <c r="G22" i="149"/>
  <c r="G23" i="149"/>
  <c r="G24" i="149"/>
  <c r="G25" i="149"/>
  <c r="G26" i="149"/>
  <c r="G27" i="149"/>
  <c r="G28" i="149"/>
  <c r="G29" i="149"/>
  <c r="G30" i="149"/>
  <c r="G31" i="149"/>
  <c r="G32" i="149"/>
  <c r="G33" i="149"/>
  <c r="G34" i="149"/>
  <c r="G35" i="149"/>
  <c r="G36" i="149"/>
  <c r="P37" i="148"/>
  <c r="P39" i="148"/>
  <c r="P26" i="148"/>
  <c r="P28" i="148"/>
  <c r="P15" i="148"/>
  <c r="P17" i="148"/>
  <c r="H5" i="148"/>
  <c r="I5" i="148" s="1"/>
  <c r="H6" i="148"/>
  <c r="I6" i="148" s="1"/>
  <c r="H7" i="148"/>
  <c r="I7" i="148" s="1"/>
  <c r="H8" i="148"/>
  <c r="I8" i="148" s="1"/>
  <c r="H9" i="148"/>
  <c r="I9" i="148" s="1"/>
  <c r="H10" i="148"/>
  <c r="I10" i="148" s="1"/>
  <c r="H11" i="148"/>
  <c r="I11" i="148" s="1"/>
  <c r="H12" i="148"/>
  <c r="I12" i="148" s="1"/>
  <c r="H13" i="148"/>
  <c r="H14" i="148"/>
  <c r="I14" i="148" s="1"/>
  <c r="H15" i="148"/>
  <c r="I15" i="148" s="1"/>
  <c r="H16" i="148"/>
  <c r="I16" i="148" s="1"/>
  <c r="H17" i="148"/>
  <c r="I17" i="148" s="1"/>
  <c r="H18" i="148"/>
  <c r="I18" i="148" s="1"/>
  <c r="H19" i="148"/>
  <c r="I19" i="148" s="1"/>
  <c r="H20" i="148"/>
  <c r="I20" i="148" s="1"/>
  <c r="H21" i="148"/>
  <c r="I21" i="148" s="1"/>
  <c r="H22" i="148"/>
  <c r="H23" i="148"/>
  <c r="H24" i="148"/>
  <c r="H25" i="148"/>
  <c r="H26" i="148"/>
  <c r="H27" i="148"/>
  <c r="H28" i="148"/>
  <c r="H29" i="148"/>
  <c r="H30" i="148"/>
  <c r="H31" i="148"/>
  <c r="H32" i="148"/>
  <c r="H33" i="148"/>
  <c r="H34" i="148"/>
  <c r="J34" i="148" s="1"/>
  <c r="H35" i="148"/>
  <c r="H36" i="148"/>
  <c r="J36" i="148" s="1"/>
  <c r="J39" i="148"/>
  <c r="N40" i="149"/>
  <c r="N39" i="149"/>
  <c r="J39" i="149"/>
  <c r="N38" i="149"/>
  <c r="F38" i="149"/>
  <c r="N37" i="149"/>
  <c r="F37" i="149"/>
  <c r="N36" i="149"/>
  <c r="F36" i="149"/>
  <c r="N35" i="149"/>
  <c r="F35" i="149"/>
  <c r="N34" i="149"/>
  <c r="F34" i="149"/>
  <c r="N33" i="149"/>
  <c r="F33" i="149"/>
  <c r="N32" i="149"/>
  <c r="F32" i="149"/>
  <c r="N31" i="149"/>
  <c r="F31" i="149"/>
  <c r="N30" i="149"/>
  <c r="F30" i="149"/>
  <c r="N29" i="149"/>
  <c r="F29" i="149"/>
  <c r="N28" i="149"/>
  <c r="F28" i="149"/>
  <c r="N27" i="149"/>
  <c r="F27" i="149"/>
  <c r="N26" i="149"/>
  <c r="F26" i="149"/>
  <c r="N25" i="149"/>
  <c r="F25" i="149"/>
  <c r="N24" i="149"/>
  <c r="F24" i="149"/>
  <c r="N23" i="149"/>
  <c r="F23" i="149"/>
  <c r="N22" i="149"/>
  <c r="F22" i="149"/>
  <c r="N21" i="149"/>
  <c r="F21" i="149"/>
  <c r="N20" i="149"/>
  <c r="F20" i="149"/>
  <c r="N19" i="149"/>
  <c r="F19" i="149"/>
  <c r="N18" i="149"/>
  <c r="F18" i="149"/>
  <c r="N17" i="149"/>
  <c r="F17" i="149"/>
  <c r="N16" i="149"/>
  <c r="F16" i="149"/>
  <c r="N15" i="149"/>
  <c r="F15" i="149"/>
  <c r="N14" i="149"/>
  <c r="F14" i="149"/>
  <c r="N13" i="149"/>
  <c r="F13" i="149"/>
  <c r="N12" i="149"/>
  <c r="F12" i="149"/>
  <c r="N11" i="149"/>
  <c r="F11" i="149"/>
  <c r="N10" i="149"/>
  <c r="F10" i="149"/>
  <c r="N9" i="149"/>
  <c r="F9" i="149"/>
  <c r="N8" i="149"/>
  <c r="F8" i="149"/>
  <c r="N7" i="149"/>
  <c r="F7" i="149"/>
  <c r="N6" i="149"/>
  <c r="F6" i="149"/>
  <c r="N5" i="149"/>
  <c r="F5" i="149"/>
  <c r="G2" i="149"/>
  <c r="K1" i="149"/>
  <c r="N40" i="148"/>
  <c r="N39" i="148"/>
  <c r="N38" i="148"/>
  <c r="J38" i="148"/>
  <c r="F38" i="148"/>
  <c r="N37" i="148"/>
  <c r="J37" i="148"/>
  <c r="F37" i="148"/>
  <c r="N36" i="148"/>
  <c r="F36" i="148"/>
  <c r="N35" i="148"/>
  <c r="F35" i="148"/>
  <c r="N34" i="148"/>
  <c r="F34" i="148"/>
  <c r="N33" i="148"/>
  <c r="F33" i="148"/>
  <c r="N32" i="148"/>
  <c r="F32" i="148"/>
  <c r="N31" i="148"/>
  <c r="F31" i="148"/>
  <c r="N30" i="148"/>
  <c r="F30" i="148"/>
  <c r="N29" i="148"/>
  <c r="F29" i="148"/>
  <c r="N28" i="148"/>
  <c r="F28" i="148"/>
  <c r="N27" i="148"/>
  <c r="F27" i="148"/>
  <c r="N26" i="148"/>
  <c r="F26" i="148"/>
  <c r="N25" i="148"/>
  <c r="F25" i="148"/>
  <c r="N24" i="148"/>
  <c r="F24" i="148"/>
  <c r="N23" i="148"/>
  <c r="F23" i="148"/>
  <c r="N22" i="148"/>
  <c r="F22" i="148"/>
  <c r="N21" i="148"/>
  <c r="F21" i="148"/>
  <c r="N20" i="148"/>
  <c r="F20" i="148"/>
  <c r="N19" i="148"/>
  <c r="F19" i="148"/>
  <c r="N18" i="148"/>
  <c r="F18" i="148"/>
  <c r="N17" i="148"/>
  <c r="F17" i="148"/>
  <c r="N16" i="148"/>
  <c r="F16" i="148"/>
  <c r="N15" i="148"/>
  <c r="F15" i="148"/>
  <c r="N14" i="148"/>
  <c r="F14" i="148"/>
  <c r="N13" i="148"/>
  <c r="F13" i="148"/>
  <c r="N12" i="148"/>
  <c r="F12" i="148"/>
  <c r="N11" i="148"/>
  <c r="F11" i="148"/>
  <c r="N10" i="148"/>
  <c r="F10" i="148"/>
  <c r="N9" i="148"/>
  <c r="F9" i="148"/>
  <c r="N8" i="148"/>
  <c r="F8" i="148"/>
  <c r="N7" i="148"/>
  <c r="F7" i="148"/>
  <c r="N6" i="148"/>
  <c r="F6" i="148"/>
  <c r="N5" i="148"/>
  <c r="F5" i="148"/>
  <c r="G2" i="148"/>
  <c r="F2" i="148"/>
  <c r="C2" i="148"/>
  <c r="K1" i="148"/>
  <c r="P37" i="144"/>
  <c r="P39" i="144"/>
  <c r="P26" i="144"/>
  <c r="P28" i="144"/>
  <c r="P17" i="144"/>
  <c r="H5" i="144"/>
  <c r="H6" i="144"/>
  <c r="H7" i="144"/>
  <c r="H8" i="144"/>
  <c r="H9" i="144"/>
  <c r="H10" i="144"/>
  <c r="H11" i="144"/>
  <c r="H12" i="144"/>
  <c r="H13" i="144"/>
  <c r="H14" i="144"/>
  <c r="H15" i="144"/>
  <c r="H16" i="144"/>
  <c r="H17" i="144"/>
  <c r="H18" i="144"/>
  <c r="I18" i="144" s="1"/>
  <c r="H19" i="144"/>
  <c r="I19" i="144" s="1"/>
  <c r="H20" i="144"/>
  <c r="I20" i="144" s="1"/>
  <c r="H21" i="144"/>
  <c r="H22" i="144"/>
  <c r="H23" i="144"/>
  <c r="H24" i="144"/>
  <c r="H25" i="144"/>
  <c r="H26" i="144"/>
  <c r="H27" i="144"/>
  <c r="H28" i="144"/>
  <c r="H29" i="144"/>
  <c r="H30" i="144"/>
  <c r="H31" i="144"/>
  <c r="H32" i="144"/>
  <c r="H33" i="144"/>
  <c r="H34" i="144"/>
  <c r="H35" i="144"/>
  <c r="H36" i="144"/>
  <c r="G5" i="144"/>
  <c r="G6" i="144"/>
  <c r="G7" i="144"/>
  <c r="G8" i="144"/>
  <c r="G9" i="144"/>
  <c r="G10" i="144"/>
  <c r="G11" i="144"/>
  <c r="G12" i="144"/>
  <c r="G13" i="144"/>
  <c r="G14" i="144"/>
  <c r="G15" i="144"/>
  <c r="G16" i="144"/>
  <c r="G17" i="144"/>
  <c r="G18" i="144"/>
  <c r="G19" i="144"/>
  <c r="G20" i="144"/>
  <c r="G21" i="144"/>
  <c r="G22" i="144"/>
  <c r="G23" i="144"/>
  <c r="G24" i="144"/>
  <c r="G25" i="144"/>
  <c r="G26" i="144"/>
  <c r="G27" i="144"/>
  <c r="G28" i="144"/>
  <c r="G29" i="144"/>
  <c r="G30" i="144"/>
  <c r="G31" i="144"/>
  <c r="G32" i="144"/>
  <c r="G33" i="144"/>
  <c r="G34" i="144"/>
  <c r="G35" i="144"/>
  <c r="G36" i="144"/>
  <c r="G37" i="144"/>
  <c r="P37" i="141"/>
  <c r="P39" i="141"/>
  <c r="P26" i="141"/>
  <c r="P28" i="141"/>
  <c r="P15" i="141"/>
  <c r="P17" i="141"/>
  <c r="N8" i="151" l="1"/>
  <c r="N16" i="151"/>
  <c r="N17" i="150"/>
  <c r="N9" i="151"/>
  <c r="J35" i="149"/>
  <c r="N10" i="151"/>
  <c r="N34" i="150"/>
  <c r="N27" i="151"/>
  <c r="J31" i="151"/>
  <c r="J32" i="150"/>
  <c r="D49" i="144"/>
  <c r="D49" i="148"/>
  <c r="D49" i="150"/>
  <c r="D49" i="151"/>
  <c r="D49" i="149"/>
  <c r="J33" i="150"/>
  <c r="J17" i="150"/>
  <c r="J9" i="150"/>
  <c r="J30" i="148"/>
  <c r="J30" i="149"/>
  <c r="J29" i="151"/>
  <c r="N30" i="151"/>
  <c r="J27" i="149"/>
  <c r="J7" i="148"/>
  <c r="J28" i="149"/>
  <c r="J35" i="148"/>
  <c r="J33" i="149"/>
  <c r="J27" i="151"/>
  <c r="N28" i="151"/>
  <c r="J32" i="148"/>
  <c r="N29" i="151"/>
  <c r="J31" i="149"/>
  <c r="J30" i="150"/>
  <c r="J33" i="151"/>
  <c r="J32" i="151"/>
  <c r="N33" i="151"/>
  <c r="N32" i="151"/>
  <c r="N30" i="150"/>
  <c r="J31" i="150"/>
  <c r="N33" i="150"/>
  <c r="N32" i="150"/>
  <c r="N36" i="150"/>
  <c r="J31" i="148"/>
  <c r="N13" i="150"/>
  <c r="N18" i="150"/>
  <c r="N10" i="150"/>
  <c r="N21" i="150"/>
  <c r="N5" i="150"/>
  <c r="J15" i="148"/>
  <c r="J14" i="148"/>
  <c r="N27" i="150"/>
  <c r="N18" i="151"/>
  <c r="N19" i="150"/>
  <c r="N15" i="150"/>
  <c r="N11" i="150"/>
  <c r="N7" i="150"/>
  <c r="N19" i="151"/>
  <c r="N11" i="151"/>
  <c r="J30" i="151"/>
  <c r="J15" i="150"/>
  <c r="N26" i="150"/>
  <c r="J17" i="151"/>
  <c r="J13" i="151"/>
  <c r="J9" i="151"/>
  <c r="J5" i="151"/>
  <c r="N28" i="150"/>
  <c r="N24" i="150"/>
  <c r="N16" i="150"/>
  <c r="J28" i="148"/>
  <c r="J27" i="150"/>
  <c r="J23" i="149"/>
  <c r="J15" i="149"/>
  <c r="J7" i="149"/>
  <c r="J23" i="151"/>
  <c r="J15" i="151"/>
  <c r="J7" i="151"/>
  <c r="J34" i="151"/>
  <c r="N9" i="150"/>
  <c r="J29" i="150"/>
  <c r="N29" i="150"/>
  <c r="N22" i="151"/>
  <c r="N6" i="151"/>
  <c r="J23" i="150"/>
  <c r="J7" i="150"/>
  <c r="J29" i="148"/>
  <c r="J27" i="148"/>
  <c r="J24" i="149"/>
  <c r="J26" i="151"/>
  <c r="J5" i="149"/>
  <c r="N14" i="151"/>
  <c r="J32" i="149"/>
  <c r="J25" i="149"/>
  <c r="N15" i="151"/>
  <c r="J19" i="151"/>
  <c r="J33" i="148"/>
  <c r="N13" i="151"/>
  <c r="J5" i="150"/>
  <c r="N26" i="151"/>
  <c r="J6" i="149"/>
  <c r="N25" i="150"/>
  <c r="N6" i="150"/>
  <c r="J22" i="150"/>
  <c r="J14" i="150"/>
  <c r="J13" i="150"/>
  <c r="J18" i="151"/>
  <c r="J11" i="149"/>
  <c r="J11" i="150"/>
  <c r="J25" i="151"/>
  <c r="J18" i="149"/>
  <c r="J26" i="150"/>
  <c r="J18" i="150"/>
  <c r="J24" i="150"/>
  <c r="J16" i="150"/>
  <c r="J22" i="151"/>
  <c r="J6" i="151"/>
  <c r="J19" i="149"/>
  <c r="J11" i="151"/>
  <c r="N23" i="151"/>
  <c r="N7" i="151"/>
  <c r="J10" i="151"/>
  <c r="J21" i="148"/>
  <c r="J13" i="148"/>
  <c r="J5" i="148"/>
  <c r="J16" i="148"/>
  <c r="J17" i="148"/>
  <c r="N23" i="150"/>
  <c r="J19" i="148"/>
  <c r="J11" i="148"/>
  <c r="J22" i="148"/>
  <c r="J6" i="148"/>
  <c r="J10" i="148"/>
  <c r="N8" i="150"/>
  <c r="N14" i="150"/>
  <c r="J23" i="148"/>
  <c r="N22" i="150"/>
  <c r="J10" i="150"/>
  <c r="J26" i="149"/>
  <c r="J10" i="149"/>
  <c r="J16" i="149"/>
  <c r="J8" i="149"/>
  <c r="J14" i="151"/>
  <c r="J22" i="149"/>
  <c r="J14" i="149"/>
  <c r="N5" i="151"/>
  <c r="N20" i="151"/>
  <c r="N12" i="151"/>
  <c r="J12" i="148"/>
  <c r="J6" i="150"/>
  <c r="N25" i="151"/>
  <c r="N17" i="151"/>
  <c r="N24" i="151"/>
  <c r="J8" i="150"/>
  <c r="N21" i="151"/>
  <c r="N20" i="150"/>
  <c r="N12" i="150"/>
  <c r="J20" i="148"/>
  <c r="J21" i="149"/>
  <c r="J24" i="151"/>
  <c r="J16" i="151"/>
  <c r="J28" i="151"/>
  <c r="J20" i="151"/>
  <c r="J8" i="151"/>
  <c r="J21" i="151"/>
  <c r="J12" i="151"/>
  <c r="J28" i="150"/>
  <c r="J19" i="150"/>
  <c r="J25" i="150"/>
  <c r="J20" i="150"/>
  <c r="J21" i="150"/>
  <c r="J12" i="150"/>
  <c r="J9" i="149"/>
  <c r="J37" i="149"/>
  <c r="J29" i="149"/>
  <c r="J13" i="149"/>
  <c r="J20" i="149"/>
  <c r="J17" i="149"/>
  <c r="J12" i="149"/>
  <c r="J25" i="148"/>
  <c r="J8" i="148"/>
  <c r="J24" i="148"/>
  <c r="J9" i="148"/>
  <c r="J18" i="148"/>
  <c r="J26" i="148"/>
  <c r="H5" i="141"/>
  <c r="I5" i="141" s="1"/>
  <c r="H6" i="141"/>
  <c r="I6" i="141" s="1"/>
  <c r="H7" i="141"/>
  <c r="I7" i="141" s="1"/>
  <c r="H8" i="141"/>
  <c r="I8" i="141" s="1"/>
  <c r="H9" i="141"/>
  <c r="I9" i="141" s="1"/>
  <c r="H10" i="141"/>
  <c r="I10" i="141" s="1"/>
  <c r="H11" i="141"/>
  <c r="I11" i="141" s="1"/>
  <c r="H12" i="141"/>
  <c r="I12" i="141" s="1"/>
  <c r="H13" i="141"/>
  <c r="H14" i="141"/>
  <c r="I14" i="141" s="1"/>
  <c r="H15" i="141"/>
  <c r="I15" i="141" s="1"/>
  <c r="H16" i="141"/>
  <c r="I16" i="141" s="1"/>
  <c r="H17" i="141"/>
  <c r="I17" i="141" s="1"/>
  <c r="H18" i="141"/>
  <c r="I18" i="141" s="1"/>
  <c r="H19" i="141"/>
  <c r="I19" i="141" s="1"/>
  <c r="H20" i="141"/>
  <c r="I20" i="141" s="1"/>
  <c r="H21" i="141"/>
  <c r="I21" i="141" s="1"/>
  <c r="H22" i="141"/>
  <c r="H23" i="141"/>
  <c r="H24" i="141"/>
  <c r="H25" i="141"/>
  <c r="H26" i="141"/>
  <c r="H27" i="141"/>
  <c r="H28" i="141"/>
  <c r="H29" i="141"/>
  <c r="H30" i="141"/>
  <c r="H31" i="141"/>
  <c r="H32" i="141"/>
  <c r="H33" i="141"/>
  <c r="H34" i="141"/>
  <c r="H35" i="141"/>
  <c r="H36" i="141"/>
  <c r="G5" i="141"/>
  <c r="G6" i="141"/>
  <c r="G7" i="141"/>
  <c r="G8" i="141"/>
  <c r="G9" i="141"/>
  <c r="G10" i="141"/>
  <c r="G11" i="141"/>
  <c r="G12" i="141"/>
  <c r="G13" i="141"/>
  <c r="G14" i="141"/>
  <c r="G15" i="141"/>
  <c r="G16" i="141"/>
  <c r="G17" i="141"/>
  <c r="G18" i="141"/>
  <c r="G19" i="141"/>
  <c r="G20" i="141"/>
  <c r="G21" i="141"/>
  <c r="G22" i="141"/>
  <c r="G23" i="141"/>
  <c r="G24" i="141"/>
  <c r="G25" i="141"/>
  <c r="G26" i="141"/>
  <c r="G27" i="141"/>
  <c r="G28" i="141"/>
  <c r="G29" i="141"/>
  <c r="G30" i="141"/>
  <c r="G31" i="141"/>
  <c r="G32" i="141"/>
  <c r="G33" i="141"/>
  <c r="G34" i="141"/>
  <c r="G35" i="141"/>
  <c r="G36" i="141"/>
  <c r="G2" i="144"/>
  <c r="G2" i="141"/>
  <c r="F2" i="141"/>
  <c r="C2" i="141"/>
  <c r="P37" i="137"/>
  <c r="P39" i="137"/>
  <c r="P26" i="137"/>
  <c r="P28" i="137"/>
  <c r="P17" i="137"/>
  <c r="G2" i="137"/>
  <c r="G2" i="126"/>
  <c r="F2" i="126"/>
  <c r="C2" i="126"/>
  <c r="G5" i="137"/>
  <c r="G6" i="137"/>
  <c r="G7" i="137"/>
  <c r="G8" i="137"/>
  <c r="G9" i="137"/>
  <c r="G10" i="137"/>
  <c r="G11" i="137"/>
  <c r="G12" i="137"/>
  <c r="G13" i="137"/>
  <c r="G14" i="137"/>
  <c r="G15" i="137"/>
  <c r="G16" i="137"/>
  <c r="G17" i="137"/>
  <c r="G18" i="137"/>
  <c r="G19" i="137"/>
  <c r="G20" i="137"/>
  <c r="G21" i="137"/>
  <c r="G22" i="137"/>
  <c r="G23" i="137"/>
  <c r="G24" i="137"/>
  <c r="G25" i="137"/>
  <c r="G26" i="137"/>
  <c r="G27" i="137"/>
  <c r="G28" i="137"/>
  <c r="G29" i="137"/>
  <c r="G30" i="137"/>
  <c r="G31" i="137"/>
  <c r="G32" i="137"/>
  <c r="G33" i="137"/>
  <c r="G34" i="137"/>
  <c r="G35" i="137"/>
  <c r="N40" i="144"/>
  <c r="N39" i="144"/>
  <c r="J39" i="144"/>
  <c r="N38" i="144"/>
  <c r="J38" i="144"/>
  <c r="F38" i="144"/>
  <c r="N37" i="144"/>
  <c r="J37" i="144"/>
  <c r="F37" i="144"/>
  <c r="N36" i="144"/>
  <c r="J36" i="144"/>
  <c r="F36" i="144"/>
  <c r="N35" i="144"/>
  <c r="J35" i="144"/>
  <c r="F35" i="144"/>
  <c r="N34" i="144"/>
  <c r="J34" i="144"/>
  <c r="F34" i="144"/>
  <c r="N33" i="144"/>
  <c r="J33" i="144"/>
  <c r="F33" i="144"/>
  <c r="N32" i="144"/>
  <c r="J32" i="144"/>
  <c r="F32" i="144"/>
  <c r="N31" i="144"/>
  <c r="J31" i="144"/>
  <c r="F31" i="144"/>
  <c r="N30" i="144"/>
  <c r="J30" i="144"/>
  <c r="F30" i="144"/>
  <c r="N29" i="144"/>
  <c r="J29" i="144"/>
  <c r="F29" i="144"/>
  <c r="N28" i="144"/>
  <c r="J28" i="144"/>
  <c r="F28" i="144"/>
  <c r="N27" i="144"/>
  <c r="J27" i="144"/>
  <c r="F27" i="144"/>
  <c r="N26" i="144"/>
  <c r="J26" i="144"/>
  <c r="F26" i="144"/>
  <c r="N25" i="144"/>
  <c r="J25" i="144"/>
  <c r="F25" i="144"/>
  <c r="N24" i="144"/>
  <c r="J24" i="144"/>
  <c r="F24" i="144"/>
  <c r="N23" i="144"/>
  <c r="J23" i="144"/>
  <c r="F23" i="144"/>
  <c r="N22" i="144"/>
  <c r="J22" i="144"/>
  <c r="F22" i="144"/>
  <c r="N21" i="144"/>
  <c r="J21" i="144"/>
  <c r="F21" i="144"/>
  <c r="N20" i="144"/>
  <c r="J20" i="144"/>
  <c r="F20" i="144"/>
  <c r="N19" i="144"/>
  <c r="J19" i="144"/>
  <c r="F19" i="144"/>
  <c r="N18" i="144"/>
  <c r="J18" i="144"/>
  <c r="F18" i="144"/>
  <c r="N17" i="144"/>
  <c r="J17" i="144"/>
  <c r="F17" i="144"/>
  <c r="N16" i="144"/>
  <c r="J16" i="144"/>
  <c r="F16" i="144"/>
  <c r="N15" i="144"/>
  <c r="J15" i="144"/>
  <c r="F15" i="144"/>
  <c r="N14" i="144"/>
  <c r="J14" i="144"/>
  <c r="F14" i="144"/>
  <c r="N13" i="144"/>
  <c r="J13" i="144"/>
  <c r="F13" i="144"/>
  <c r="N12" i="144"/>
  <c r="J12" i="144"/>
  <c r="F12" i="144"/>
  <c r="N11" i="144"/>
  <c r="J11" i="144"/>
  <c r="F11" i="144"/>
  <c r="N10" i="144"/>
  <c r="J10" i="144"/>
  <c r="F10" i="144"/>
  <c r="N9" i="144"/>
  <c r="J9" i="144"/>
  <c r="F9" i="144"/>
  <c r="N8" i="144"/>
  <c r="J8" i="144"/>
  <c r="F8" i="144"/>
  <c r="N7" i="144"/>
  <c r="J7" i="144"/>
  <c r="F7" i="144"/>
  <c r="N6" i="144"/>
  <c r="J6" i="144"/>
  <c r="F6" i="144"/>
  <c r="N5" i="144"/>
  <c r="J5" i="144"/>
  <c r="F5" i="144"/>
  <c r="K1" i="144"/>
  <c r="H48" i="150" l="1"/>
  <c r="G48" i="150" s="1"/>
  <c r="H49" i="150"/>
  <c r="G49" i="150" s="1"/>
  <c r="H55" i="150"/>
  <c r="H49" i="151"/>
  <c r="G49" i="151" s="1"/>
  <c r="H52" i="151"/>
  <c r="G52" i="151" s="1"/>
  <c r="H57" i="151"/>
  <c r="G57" i="151" s="1"/>
  <c r="H55" i="151"/>
  <c r="H48" i="151"/>
  <c r="G48" i="151" s="1"/>
  <c r="H54" i="151"/>
  <c r="G54" i="151" s="1"/>
  <c r="H53" i="151"/>
  <c r="G53" i="151" s="1"/>
  <c r="H51" i="151"/>
  <c r="G51" i="151" s="1"/>
  <c r="H50" i="151"/>
  <c r="H57" i="150"/>
  <c r="G57" i="150" s="1"/>
  <c r="H50" i="150"/>
  <c r="H54" i="150"/>
  <c r="G54" i="150" s="1"/>
  <c r="H51" i="150"/>
  <c r="G51" i="150" s="1"/>
  <c r="D49" i="141"/>
  <c r="H52" i="150"/>
  <c r="G52" i="150" s="1"/>
  <c r="H53" i="150"/>
  <c r="G53" i="150" s="1"/>
  <c r="I55" i="150"/>
  <c r="I50" i="150"/>
  <c r="I55" i="151"/>
  <c r="I50" i="151"/>
  <c r="G55" i="151" l="1"/>
  <c r="G50" i="150"/>
  <c r="G50" i="151"/>
  <c r="G55" i="150"/>
  <c r="H58" i="151"/>
  <c r="H58" i="150"/>
  <c r="I58" i="150"/>
  <c r="I58" i="151"/>
  <c r="G58" i="151" l="1"/>
  <c r="G58" i="150"/>
  <c r="H59" i="150"/>
  <c r="H59" i="151"/>
  <c r="N40" i="141"/>
  <c r="N39" i="141"/>
  <c r="N38" i="141"/>
  <c r="N37" i="141"/>
  <c r="N36" i="141"/>
  <c r="N35" i="141"/>
  <c r="N34" i="141"/>
  <c r="N33" i="141"/>
  <c r="N32" i="141"/>
  <c r="N31" i="141"/>
  <c r="N30" i="141"/>
  <c r="N29" i="141"/>
  <c r="N28" i="141"/>
  <c r="N27" i="141"/>
  <c r="N26" i="141"/>
  <c r="N25" i="141"/>
  <c r="N24" i="141"/>
  <c r="N23" i="141"/>
  <c r="N22" i="141"/>
  <c r="N21" i="141"/>
  <c r="N20" i="141"/>
  <c r="N19" i="141"/>
  <c r="N18" i="141"/>
  <c r="N17" i="141"/>
  <c r="N16" i="141"/>
  <c r="N15" i="141"/>
  <c r="N14" i="141"/>
  <c r="N13" i="141"/>
  <c r="N12" i="141"/>
  <c r="N11" i="141"/>
  <c r="N10" i="141"/>
  <c r="N9" i="141"/>
  <c r="N8" i="141"/>
  <c r="N7" i="141"/>
  <c r="N6" i="141"/>
  <c r="N5" i="141"/>
  <c r="J39" i="141"/>
  <c r="J38" i="141"/>
  <c r="J37" i="141"/>
  <c r="J36" i="141"/>
  <c r="J35" i="141"/>
  <c r="J34" i="141"/>
  <c r="J33" i="141"/>
  <c r="J32" i="141"/>
  <c r="J31" i="141"/>
  <c r="J30" i="141"/>
  <c r="J29" i="141"/>
  <c r="J28" i="141"/>
  <c r="J27" i="141"/>
  <c r="J26" i="141"/>
  <c r="J25" i="141"/>
  <c r="J24" i="141"/>
  <c r="J23" i="141"/>
  <c r="J22" i="141"/>
  <c r="J21" i="141"/>
  <c r="J20" i="141"/>
  <c r="J19" i="141"/>
  <c r="J18" i="141"/>
  <c r="J17" i="141"/>
  <c r="J16" i="141"/>
  <c r="J15" i="141"/>
  <c r="J14" i="141"/>
  <c r="J13" i="141"/>
  <c r="J12" i="141"/>
  <c r="J11" i="141"/>
  <c r="J10" i="141"/>
  <c r="J9" i="141"/>
  <c r="J8" i="141"/>
  <c r="J7" i="141"/>
  <c r="J6" i="141"/>
  <c r="J5" i="141"/>
  <c r="F38" i="141" l="1"/>
  <c r="F37" i="141"/>
  <c r="F36" i="141"/>
  <c r="F35" i="141"/>
  <c r="F34" i="141"/>
  <c r="F33" i="141"/>
  <c r="F32" i="141"/>
  <c r="F31" i="141"/>
  <c r="F30" i="141"/>
  <c r="F29" i="141"/>
  <c r="F28" i="141"/>
  <c r="F27" i="141"/>
  <c r="F26" i="141"/>
  <c r="F25" i="141"/>
  <c r="F24" i="141"/>
  <c r="F23" i="141"/>
  <c r="F22" i="141"/>
  <c r="F21" i="141"/>
  <c r="F20" i="141"/>
  <c r="F19" i="141"/>
  <c r="F18" i="141"/>
  <c r="F17" i="141"/>
  <c r="F16" i="141"/>
  <c r="F15" i="141"/>
  <c r="F14" i="141"/>
  <c r="F13" i="141"/>
  <c r="F12" i="141"/>
  <c r="F11" i="141"/>
  <c r="F10" i="141"/>
  <c r="F9" i="141"/>
  <c r="F8" i="141"/>
  <c r="F7" i="141"/>
  <c r="F6" i="141"/>
  <c r="F5" i="141"/>
  <c r="K1" i="141"/>
  <c r="P37" i="126" l="1"/>
  <c r="P39" i="126"/>
  <c r="P26" i="126"/>
  <c r="P28" i="126"/>
  <c r="P17" i="126"/>
  <c r="K1" i="137"/>
  <c r="K1" i="126"/>
  <c r="H5" i="126"/>
  <c r="I5" i="126" s="1"/>
  <c r="H5" i="137"/>
  <c r="H35" i="137"/>
  <c r="H34" i="137"/>
  <c r="H33" i="137"/>
  <c r="H32" i="137"/>
  <c r="H31" i="137"/>
  <c r="H30" i="137"/>
  <c r="H29" i="137"/>
  <c r="H28" i="137"/>
  <c r="H27" i="137"/>
  <c r="H26" i="137"/>
  <c r="H25" i="137"/>
  <c r="H24" i="137"/>
  <c r="H23" i="137"/>
  <c r="H22" i="137"/>
  <c r="H21" i="137"/>
  <c r="H20" i="137"/>
  <c r="I20" i="137" s="1"/>
  <c r="H19" i="137"/>
  <c r="I19" i="137" s="1"/>
  <c r="H18" i="137"/>
  <c r="I18" i="137" s="1"/>
  <c r="H17" i="137"/>
  <c r="H16" i="137"/>
  <c r="H15" i="137"/>
  <c r="H14" i="137"/>
  <c r="H13" i="137"/>
  <c r="H12" i="137"/>
  <c r="H11" i="137"/>
  <c r="H10" i="137"/>
  <c r="H9" i="137"/>
  <c r="H8" i="137"/>
  <c r="H7" i="137"/>
  <c r="H6" i="137"/>
  <c r="F38" i="137"/>
  <c r="F37" i="137"/>
  <c r="F36" i="137"/>
  <c r="F35" i="137"/>
  <c r="F34" i="137"/>
  <c r="F33" i="137"/>
  <c r="F32" i="137"/>
  <c r="F31" i="137"/>
  <c r="F30" i="137"/>
  <c r="F29" i="137"/>
  <c r="F28" i="137"/>
  <c r="F27" i="137"/>
  <c r="F26" i="137"/>
  <c r="F25" i="137"/>
  <c r="F24" i="137"/>
  <c r="F23" i="137"/>
  <c r="F22" i="137"/>
  <c r="F21" i="137"/>
  <c r="F20" i="137"/>
  <c r="F19" i="137"/>
  <c r="F18" i="137"/>
  <c r="F17" i="137"/>
  <c r="F16" i="137"/>
  <c r="F15" i="137"/>
  <c r="F14" i="137"/>
  <c r="F13" i="137"/>
  <c r="F12" i="137"/>
  <c r="F11" i="137"/>
  <c r="F10" i="137"/>
  <c r="F9" i="137"/>
  <c r="F8" i="137"/>
  <c r="F7" i="137"/>
  <c r="F6" i="137"/>
  <c r="F5" i="137"/>
  <c r="D49" i="137" l="1"/>
  <c r="B38" i="136"/>
  <c r="B37" i="136"/>
  <c r="B36" i="136"/>
  <c r="B35" i="136"/>
  <c r="B34" i="136"/>
  <c r="B33" i="136"/>
  <c r="B32" i="136"/>
  <c r="B31" i="136"/>
  <c r="B30" i="136"/>
  <c r="B29" i="136"/>
  <c r="B28" i="136"/>
  <c r="B27" i="136"/>
  <c r="B26" i="136"/>
  <c r="B25" i="136"/>
  <c r="B24" i="136"/>
  <c r="B23" i="136"/>
  <c r="B22" i="136"/>
  <c r="B21" i="136"/>
  <c r="B20" i="136"/>
  <c r="B19" i="136"/>
  <c r="B18" i="136"/>
  <c r="B17" i="136"/>
  <c r="B16" i="136"/>
  <c r="B15" i="136"/>
  <c r="B14" i="136"/>
  <c r="B13" i="136"/>
  <c r="V14" i="136"/>
  <c r="S14" i="136"/>
  <c r="P14" i="136"/>
  <c r="M14" i="136"/>
  <c r="J14" i="136"/>
  <c r="B12" i="136"/>
  <c r="U13" i="136"/>
  <c r="U14" i="136" s="1"/>
  <c r="T13" i="136"/>
  <c r="T14" i="136" s="1"/>
  <c r="R13" i="136"/>
  <c r="R14" i="136" s="1"/>
  <c r="Q13" i="136"/>
  <c r="Q14" i="136" s="1"/>
  <c r="O13" i="136"/>
  <c r="O14" i="136" s="1"/>
  <c r="N13" i="136"/>
  <c r="N14" i="136" s="1"/>
  <c r="L13" i="136"/>
  <c r="L14" i="136" s="1"/>
  <c r="K13" i="136"/>
  <c r="K14" i="136" s="1"/>
  <c r="I13" i="136"/>
  <c r="I14" i="136" s="1"/>
  <c r="H13" i="136"/>
  <c r="B11" i="136"/>
  <c r="B10" i="136"/>
  <c r="B9" i="136"/>
  <c r="B8" i="136"/>
  <c r="B7" i="136"/>
  <c r="B6" i="136"/>
  <c r="B5" i="136"/>
  <c r="B4" i="136"/>
  <c r="K14" i="135"/>
  <c r="B38" i="135"/>
  <c r="B37" i="135"/>
  <c r="B36" i="135"/>
  <c r="B35" i="135"/>
  <c r="B34" i="135"/>
  <c r="B33" i="135"/>
  <c r="B32" i="135"/>
  <c r="B31" i="135"/>
  <c r="B30" i="135"/>
  <c r="B29" i="135"/>
  <c r="B28" i="135"/>
  <c r="B27" i="135"/>
  <c r="B26" i="135"/>
  <c r="B25" i="135"/>
  <c r="B24" i="135"/>
  <c r="B23" i="135"/>
  <c r="B22" i="135"/>
  <c r="B21" i="135"/>
  <c r="B20" i="135"/>
  <c r="B19" i="135"/>
  <c r="B18" i="135"/>
  <c r="B17" i="135"/>
  <c r="B16" i="135"/>
  <c r="B15" i="135"/>
  <c r="B14" i="135"/>
  <c r="B13" i="135"/>
  <c r="Q14" i="135"/>
  <c r="O14" i="135"/>
  <c r="M14" i="135"/>
  <c r="I14" i="135"/>
  <c r="B12" i="135"/>
  <c r="P13" i="135"/>
  <c r="P14" i="135" s="1"/>
  <c r="N13" i="135"/>
  <c r="N14" i="135" s="1"/>
  <c r="L13" i="135"/>
  <c r="L14" i="135" s="1"/>
  <c r="J13" i="135"/>
  <c r="J14" i="135" s="1"/>
  <c r="H13" i="135"/>
  <c r="H14" i="135" s="1"/>
  <c r="B11" i="135"/>
  <c r="B10" i="135"/>
  <c r="B9" i="135"/>
  <c r="B8" i="135"/>
  <c r="B7" i="135"/>
  <c r="B6" i="135"/>
  <c r="B5" i="135"/>
  <c r="B4" i="135"/>
  <c r="Y13" i="136" l="1"/>
  <c r="T13" i="135"/>
  <c r="H14" i="136"/>
  <c r="X13" i="136"/>
  <c r="S13" i="135"/>
  <c r="K14" i="134"/>
  <c r="O14" i="134"/>
  <c r="S14" i="134"/>
  <c r="W14" i="134"/>
  <c r="AA14" i="134"/>
  <c r="H13" i="134"/>
  <c r="H14" i="134" s="1"/>
  <c r="R13" i="135" l="1"/>
  <c r="R14" i="135" s="1"/>
  <c r="W13" i="136"/>
  <c r="W14" i="136" s="1"/>
  <c r="B38" i="134"/>
  <c r="B37" i="134"/>
  <c r="B36" i="134"/>
  <c r="B35" i="134"/>
  <c r="B34" i="134"/>
  <c r="B33" i="134"/>
  <c r="B32" i="134"/>
  <c r="B31" i="134"/>
  <c r="B30" i="134"/>
  <c r="B29" i="134"/>
  <c r="B28" i="134"/>
  <c r="B27" i="134"/>
  <c r="B26" i="134"/>
  <c r="B25" i="134"/>
  <c r="B24" i="134"/>
  <c r="B23" i="134"/>
  <c r="B22" i="134"/>
  <c r="B21" i="134"/>
  <c r="B20" i="134"/>
  <c r="B19" i="134"/>
  <c r="B18" i="134"/>
  <c r="B17" i="134"/>
  <c r="B16" i="134"/>
  <c r="B15" i="134"/>
  <c r="B14" i="134"/>
  <c r="B13" i="134"/>
  <c r="B12" i="134"/>
  <c r="Z13" i="134"/>
  <c r="Z14" i="134" s="1"/>
  <c r="Y13" i="134"/>
  <c r="Y14" i="134" s="1"/>
  <c r="X13" i="134"/>
  <c r="X14" i="134" s="1"/>
  <c r="V13" i="134"/>
  <c r="V14" i="134" s="1"/>
  <c r="U13" i="134"/>
  <c r="U14" i="134" s="1"/>
  <c r="T13" i="134"/>
  <c r="T14" i="134" s="1"/>
  <c r="R13" i="134"/>
  <c r="R14" i="134" s="1"/>
  <c r="Q13" i="134"/>
  <c r="Q14" i="134" s="1"/>
  <c r="P13" i="134"/>
  <c r="P14" i="134" s="1"/>
  <c r="N13" i="134"/>
  <c r="N14" i="134" s="1"/>
  <c r="M13" i="134"/>
  <c r="M14" i="134" s="1"/>
  <c r="L13" i="134"/>
  <c r="L14" i="134" s="1"/>
  <c r="J13" i="134"/>
  <c r="J14" i="134" s="1"/>
  <c r="I13" i="134"/>
  <c r="I14" i="134" s="1"/>
  <c r="B11" i="134"/>
  <c r="B10" i="134"/>
  <c r="B9" i="134"/>
  <c r="B8" i="134"/>
  <c r="B7" i="134"/>
  <c r="B6" i="134"/>
  <c r="B5" i="134"/>
  <c r="B4" i="134"/>
  <c r="C7" i="127"/>
  <c r="C8" i="127"/>
  <c r="C9" i="127"/>
  <c r="C10" i="127"/>
  <c r="C11" i="127"/>
  <c r="C12" i="127"/>
  <c r="C13" i="127"/>
  <c r="C14" i="127"/>
  <c r="C15" i="127"/>
  <c r="C16" i="127"/>
  <c r="C17" i="127"/>
  <c r="C18" i="127"/>
  <c r="C19" i="127"/>
  <c r="C20" i="127"/>
  <c r="C21" i="127"/>
  <c r="C22" i="127"/>
  <c r="C23" i="127"/>
  <c r="C24" i="127"/>
  <c r="C25" i="127"/>
  <c r="C26" i="127"/>
  <c r="C27" i="127"/>
  <c r="C28" i="127"/>
  <c r="C29" i="127"/>
  <c r="C30" i="127"/>
  <c r="C31" i="127"/>
  <c r="C32" i="127"/>
  <c r="C33" i="127"/>
  <c r="C34" i="127"/>
  <c r="C35" i="127"/>
  <c r="C36" i="127"/>
  <c r="C37" i="127"/>
  <c r="C38" i="127"/>
  <c r="C39" i="127"/>
  <c r="C40" i="127"/>
  <c r="AC13" i="134" l="1"/>
  <c r="AD13" i="134"/>
  <c r="W13" i="123"/>
  <c r="X13" i="123"/>
  <c r="Y13" i="123"/>
  <c r="AB13" i="134" l="1"/>
  <c r="AB14" i="134" s="1"/>
  <c r="AA13" i="123" l="1"/>
  <c r="F5" i="126"/>
  <c r="F6" i="126"/>
  <c r="F7" i="126"/>
  <c r="F8" i="126"/>
  <c r="F9" i="126"/>
  <c r="F10" i="126"/>
  <c r="F11" i="126"/>
  <c r="F12" i="126"/>
  <c r="F13" i="126"/>
  <c r="F14" i="126"/>
  <c r="F15" i="126"/>
  <c r="F16" i="126"/>
  <c r="F17" i="126"/>
  <c r="F18" i="126"/>
  <c r="F19" i="126"/>
  <c r="F20" i="126"/>
  <c r="F21" i="126"/>
  <c r="F22" i="126"/>
  <c r="F23" i="126"/>
  <c r="F24" i="126"/>
  <c r="F25" i="126"/>
  <c r="F26" i="126"/>
  <c r="F27" i="126"/>
  <c r="F28" i="126"/>
  <c r="F29" i="126"/>
  <c r="F30" i="126"/>
  <c r="F31" i="126"/>
  <c r="F32" i="126"/>
  <c r="F33" i="126"/>
  <c r="F34" i="126"/>
  <c r="F35" i="126"/>
  <c r="F36" i="126"/>
  <c r="F37" i="126"/>
  <c r="F38" i="126"/>
  <c r="H6" i="126" l="1"/>
  <c r="I6" i="126" s="1"/>
  <c r="H7" i="126"/>
  <c r="I7" i="126" s="1"/>
  <c r="H8" i="126"/>
  <c r="I8" i="126" s="1"/>
  <c r="H9" i="126"/>
  <c r="I9" i="126" s="1"/>
  <c r="H10" i="126"/>
  <c r="I10" i="126" s="1"/>
  <c r="H11" i="126"/>
  <c r="I11" i="126" s="1"/>
  <c r="H12" i="126"/>
  <c r="I12" i="126" s="1"/>
  <c r="H13" i="126"/>
  <c r="H14" i="126"/>
  <c r="I14" i="126" s="1"/>
  <c r="H15" i="126"/>
  <c r="I15" i="126" s="1"/>
  <c r="H16" i="126"/>
  <c r="I16" i="126" s="1"/>
  <c r="H17" i="126"/>
  <c r="I17" i="126" s="1"/>
  <c r="H18" i="126"/>
  <c r="I18" i="126" s="1"/>
  <c r="H19" i="126"/>
  <c r="I19" i="126" s="1"/>
  <c r="H20" i="126"/>
  <c r="I20" i="126" s="1"/>
  <c r="H21" i="126"/>
  <c r="I21" i="126" s="1"/>
  <c r="H22" i="126"/>
  <c r="H23" i="126"/>
  <c r="H24" i="126"/>
  <c r="H25" i="126"/>
  <c r="H26" i="126"/>
  <c r="H27" i="126"/>
  <c r="H28" i="126"/>
  <c r="H29" i="126"/>
  <c r="H30" i="126"/>
  <c r="H31" i="126"/>
  <c r="H32" i="126"/>
  <c r="H33" i="126"/>
  <c r="H34" i="126"/>
  <c r="H35" i="126"/>
  <c r="H36" i="126"/>
  <c r="G5" i="126"/>
  <c r="G6" i="126"/>
  <c r="G7" i="126"/>
  <c r="G8" i="126"/>
  <c r="G9" i="126"/>
  <c r="G10" i="126"/>
  <c r="G11" i="126"/>
  <c r="G12" i="126"/>
  <c r="G13" i="126"/>
  <c r="G14" i="126"/>
  <c r="G15" i="126"/>
  <c r="G16" i="126"/>
  <c r="G17" i="126"/>
  <c r="G18" i="126"/>
  <c r="G19" i="126"/>
  <c r="G20" i="126"/>
  <c r="G21" i="126"/>
  <c r="G22" i="126"/>
  <c r="G23" i="126"/>
  <c r="G24" i="126"/>
  <c r="G25" i="126"/>
  <c r="G26" i="126"/>
  <c r="G27" i="126"/>
  <c r="G28" i="126"/>
  <c r="G29" i="126"/>
  <c r="G30" i="126"/>
  <c r="G31" i="126"/>
  <c r="G32" i="126"/>
  <c r="G33" i="126"/>
  <c r="G34" i="126"/>
  <c r="G35" i="126"/>
  <c r="D49" i="126" l="1"/>
  <c r="V13" i="123" l="1"/>
  <c r="S13" i="123"/>
  <c r="P13" i="123"/>
  <c r="M13" i="123"/>
  <c r="U13" i="123"/>
  <c r="R13" i="123"/>
  <c r="O13" i="123"/>
  <c r="L13" i="123"/>
  <c r="T13" i="123"/>
  <c r="Q13" i="123"/>
  <c r="N13" i="123"/>
  <c r="K13" i="123"/>
  <c r="B6" i="123"/>
  <c r="B7" i="123"/>
  <c r="B8" i="123"/>
  <c r="B9" i="123"/>
  <c r="B10" i="123"/>
  <c r="B11" i="123"/>
  <c r="B12" i="123"/>
  <c r="B13" i="123"/>
  <c r="B14" i="123"/>
  <c r="B15" i="123"/>
  <c r="B16" i="123"/>
  <c r="B17" i="123"/>
  <c r="B18" i="123"/>
  <c r="B19" i="123"/>
  <c r="B20" i="123"/>
  <c r="B21" i="123"/>
  <c r="B22" i="123"/>
  <c r="B23" i="123"/>
  <c r="B24" i="123"/>
  <c r="B25" i="123"/>
  <c r="B26" i="123"/>
  <c r="B27" i="123"/>
  <c r="B28" i="123"/>
  <c r="B29" i="123"/>
  <c r="B30" i="123"/>
  <c r="B31" i="123"/>
  <c r="B32" i="123"/>
  <c r="B33" i="123"/>
  <c r="B34" i="123"/>
  <c r="B35" i="123"/>
  <c r="B36" i="123"/>
  <c r="B37" i="123"/>
  <c r="B38" i="123"/>
  <c r="B39" i="123"/>
  <c r="B40" i="123"/>
  <c r="AC13" i="123" l="1"/>
  <c r="AB13" i="123"/>
  <c r="A44" i="31" l="1"/>
  <c r="A43" i="31"/>
  <c r="A41" i="31"/>
  <c r="A40" i="31"/>
  <c r="A39" i="31"/>
  <c r="A38" i="31"/>
  <c r="A37" i="31"/>
  <c r="A36" i="31"/>
  <c r="A35" i="31"/>
  <c r="A34" i="31"/>
  <c r="A33" i="31"/>
  <c r="A32" i="31"/>
  <c r="A31" i="31"/>
  <c r="A30" i="31"/>
  <c r="A29" i="31"/>
  <c r="A28" i="31"/>
  <c r="A27" i="31"/>
  <c r="A26" i="31"/>
  <c r="A25" i="31"/>
  <c r="A24" i="31"/>
  <c r="A23" i="31"/>
  <c r="A22" i="31"/>
  <c r="A21" i="31"/>
  <c r="A20" i="31"/>
  <c r="A19" i="31"/>
  <c r="A18" i="31"/>
  <c r="A17" i="31"/>
  <c r="A16" i="31"/>
  <c r="A15" i="31"/>
  <c r="A14" i="31"/>
  <c r="A13" i="31"/>
  <c r="A12" i="31"/>
  <c r="A11" i="31"/>
  <c r="A10" i="31"/>
  <c r="A9" i="31"/>
  <c r="A44" i="55"/>
  <c r="A43"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9" i="56"/>
  <c r="A10" i="56"/>
  <c r="A11" i="56"/>
  <c r="A12" i="56"/>
  <c r="A13" i="56"/>
  <c r="A14" i="56"/>
  <c r="A15" i="56"/>
  <c r="A16" i="56"/>
  <c r="A17" i="56"/>
  <c r="A18" i="56"/>
  <c r="A19" i="56"/>
  <c r="A20" i="56"/>
  <c r="A21" i="56"/>
  <c r="A22" i="56"/>
  <c r="A23" i="56"/>
  <c r="A24" i="56"/>
  <c r="A25" i="56"/>
  <c r="A26" i="56"/>
  <c r="A27" i="56"/>
  <c r="A28" i="56"/>
  <c r="A29" i="56"/>
  <c r="A30" i="56"/>
  <c r="A31" i="56"/>
  <c r="A32" i="56"/>
  <c r="A33" i="56"/>
  <c r="A34" i="56"/>
  <c r="A35" i="56"/>
  <c r="A36" i="56"/>
  <c r="A37" i="56"/>
  <c r="A38" i="56"/>
  <c r="A39" i="56"/>
  <c r="A40" i="56"/>
  <c r="A41" i="56"/>
  <c r="A43" i="56"/>
  <c r="A44" i="56"/>
  <c r="O20" i="31" l="1"/>
  <c r="P20" i="31"/>
  <c r="Q20" i="31"/>
  <c r="Q24" i="55"/>
  <c r="P24" i="55"/>
  <c r="O24" i="55"/>
  <c r="Q21" i="31"/>
  <c r="P21" i="31"/>
  <c r="O21" i="31"/>
  <c r="Q18" i="55"/>
  <c r="P18" i="55"/>
  <c r="O18" i="55"/>
  <c r="P23" i="31"/>
  <c r="Q23" i="31"/>
  <c r="O23" i="31"/>
  <c r="Q19" i="55"/>
  <c r="P19" i="55"/>
  <c r="O19" i="55"/>
  <c r="P24" i="31"/>
  <c r="Q24" i="31"/>
  <c r="O24" i="31"/>
  <c r="P22" i="31"/>
  <c r="O22" i="31"/>
  <c r="Q22" i="31"/>
  <c r="O20" i="55"/>
  <c r="Q20" i="55"/>
  <c r="P20" i="55"/>
  <c r="O25" i="31"/>
  <c r="Q25" i="31"/>
  <c r="P25" i="31"/>
  <c r="Q23" i="55"/>
  <c r="O23" i="55"/>
  <c r="P23" i="55"/>
  <c r="Q21" i="55"/>
  <c r="P21" i="55"/>
  <c r="O21" i="55"/>
  <c r="O18" i="31"/>
  <c r="Q18" i="31"/>
  <c r="P18" i="31"/>
  <c r="P25" i="55"/>
  <c r="O25" i="55"/>
  <c r="Q25" i="55"/>
  <c r="Q22" i="55"/>
  <c r="P22" i="55"/>
  <c r="O22" i="55"/>
  <c r="Q19" i="31"/>
  <c r="P19" i="31"/>
  <c r="O19" i="31"/>
  <c r="Q9" i="55"/>
  <c r="P9" i="55"/>
  <c r="O9" i="55"/>
  <c r="O9" i="31"/>
  <c r="Q9" i="31"/>
  <c r="P9" i="31"/>
  <c r="Q27" i="56"/>
  <c r="O27" i="56"/>
  <c r="P27" i="56"/>
  <c r="Q9" i="56"/>
  <c r="P9" i="56"/>
  <c r="O9" i="56"/>
  <c r="Q35" i="56"/>
  <c r="O35" i="56"/>
  <c r="P35" i="56"/>
  <c r="O34" i="56"/>
  <c r="P34" i="56"/>
  <c r="Q34" i="56"/>
  <c r="P10" i="56"/>
  <c r="Q10" i="56"/>
  <c r="O10" i="56"/>
  <c r="P32" i="56"/>
  <c r="Q32" i="56"/>
  <c r="O32" i="56"/>
  <c r="P14" i="56"/>
  <c r="Q14" i="56"/>
  <c r="O14" i="56"/>
  <c r="Q44" i="56"/>
  <c r="O44" i="56"/>
  <c r="P44" i="56"/>
  <c r="Q11" i="56"/>
  <c r="O11" i="56"/>
  <c r="P11" i="56"/>
  <c r="Q43" i="56"/>
  <c r="O43" i="56"/>
  <c r="P43" i="56"/>
  <c r="O18" i="56"/>
  <c r="P18" i="56"/>
  <c r="Q18" i="56"/>
  <c r="P33" i="56"/>
  <c r="Q33" i="56"/>
  <c r="O33" i="56"/>
  <c r="P17" i="56"/>
  <c r="Q17" i="56"/>
  <c r="O17" i="56"/>
  <c r="P24" i="56"/>
  <c r="Q24" i="56"/>
  <c r="O24" i="56"/>
  <c r="P31" i="56"/>
  <c r="Q31" i="56"/>
  <c r="O31" i="56"/>
  <c r="P15" i="56"/>
  <c r="Q15" i="56"/>
  <c r="O15" i="56"/>
  <c r="P13" i="56"/>
  <c r="Q13" i="56"/>
  <c r="O13" i="56"/>
  <c r="Q19" i="56"/>
  <c r="O19" i="56"/>
  <c r="P19" i="56"/>
  <c r="Q26" i="56"/>
  <c r="P26" i="56"/>
  <c r="O26" i="56"/>
  <c r="P41" i="56"/>
  <c r="Q41" i="56"/>
  <c r="O41" i="56"/>
  <c r="P25" i="56"/>
  <c r="Q25" i="56"/>
  <c r="O25" i="56"/>
  <c r="P40" i="56"/>
  <c r="Q40" i="56"/>
  <c r="O40" i="56"/>
  <c r="P16" i="56"/>
  <c r="Q16" i="56"/>
  <c r="O16" i="56"/>
  <c r="P39" i="56"/>
  <c r="Q39" i="56"/>
  <c r="O39" i="56"/>
  <c r="P23" i="56"/>
  <c r="Q23" i="56"/>
  <c r="O23" i="56"/>
  <c r="P38" i="56"/>
  <c r="Q38" i="56"/>
  <c r="O38" i="56"/>
  <c r="P30" i="56"/>
  <c r="Q30" i="56"/>
  <c r="O30" i="56"/>
  <c r="P22" i="56"/>
  <c r="Q22" i="56"/>
  <c r="O22" i="56"/>
  <c r="Q37" i="56"/>
  <c r="O37" i="56"/>
  <c r="P37" i="56"/>
  <c r="Q29" i="56"/>
  <c r="O29" i="56"/>
  <c r="P29" i="56"/>
  <c r="Q21" i="56"/>
  <c r="O21" i="56"/>
  <c r="P21" i="56"/>
  <c r="Q36" i="56"/>
  <c r="O36" i="56"/>
  <c r="P36" i="56"/>
  <c r="Q28" i="56"/>
  <c r="O28" i="56"/>
  <c r="P28" i="56"/>
  <c r="Q20" i="56"/>
  <c r="O20" i="56"/>
  <c r="P20" i="56"/>
  <c r="Q12" i="56"/>
  <c r="O12" i="56"/>
  <c r="P12" i="56"/>
  <c r="C39" i="56"/>
  <c r="C38" i="56"/>
  <c r="C37" i="56"/>
  <c r="C36" i="56"/>
  <c r="C35" i="56"/>
  <c r="C34"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D2" i="56"/>
  <c r="C41" i="55"/>
  <c r="C40" i="55"/>
  <c r="C39" i="55"/>
  <c r="C38" i="55"/>
  <c r="C37" i="55"/>
  <c r="C36" i="55"/>
  <c r="C35" i="55"/>
  <c r="C34"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C38" i="31"/>
  <c r="C39" i="31"/>
  <c r="C40" i="31"/>
  <c r="C41" i="31"/>
  <c r="J40" i="149" l="1"/>
  <c r="D43" i="127"/>
  <c r="C47" i="31"/>
  <c r="E15" i="178" l="1"/>
  <c r="E34" i="178"/>
  <c r="E29" i="178"/>
  <c r="I50" i="126"/>
  <c r="H52" i="126"/>
  <c r="G52" i="126" s="1"/>
  <c r="H48" i="126"/>
  <c r="H54" i="126"/>
  <c r="G54" i="126" s="1"/>
  <c r="H53" i="126"/>
  <c r="G53" i="126" s="1"/>
  <c r="H51" i="126"/>
  <c r="G51" i="126" s="1"/>
  <c r="H57" i="126"/>
  <c r="G57" i="126" s="1"/>
  <c r="H49" i="126"/>
  <c r="G49" i="126" s="1"/>
  <c r="H50" i="126"/>
  <c r="I55" i="126"/>
  <c r="H55" i="126"/>
  <c r="H55" i="137"/>
  <c r="H54" i="137"/>
  <c r="G54" i="137" s="1"/>
  <c r="H48" i="137"/>
  <c r="H53" i="137"/>
  <c r="G53" i="137" s="1"/>
  <c r="H57" i="137"/>
  <c r="G57" i="137" s="1"/>
  <c r="H52" i="137"/>
  <c r="G52" i="137" s="1"/>
  <c r="H49" i="137"/>
  <c r="G49" i="137" s="1"/>
  <c r="H51" i="137"/>
  <c r="G51" i="137" s="1"/>
  <c r="H50" i="137"/>
  <c r="H57" i="149"/>
  <c r="G57" i="149" s="1"/>
  <c r="H49" i="149"/>
  <c r="G49" i="149" s="1"/>
  <c r="H55" i="149"/>
  <c r="H52" i="149"/>
  <c r="G52" i="149" s="1"/>
  <c r="H48" i="149"/>
  <c r="H53" i="149"/>
  <c r="G53" i="149" s="1"/>
  <c r="H54" i="149"/>
  <c r="G54" i="149" s="1"/>
  <c r="H51" i="149"/>
  <c r="G51" i="149" s="1"/>
  <c r="H50" i="149"/>
  <c r="H54" i="144"/>
  <c r="G54" i="144" s="1"/>
  <c r="H50" i="144"/>
  <c r="H53" i="144"/>
  <c r="G53" i="144" s="1"/>
  <c r="H51" i="144"/>
  <c r="G51" i="144" s="1"/>
  <c r="H52" i="144"/>
  <c r="G52" i="144" s="1"/>
  <c r="H48" i="144"/>
  <c r="H55" i="144"/>
  <c r="H49" i="144"/>
  <c r="G49" i="144" s="1"/>
  <c r="H57" i="144"/>
  <c r="G57" i="144" s="1"/>
  <c r="H50" i="153"/>
  <c r="H49" i="153"/>
  <c r="G49" i="153" s="1"/>
  <c r="H55" i="153"/>
  <c r="H52" i="153"/>
  <c r="G52" i="153" s="1"/>
  <c r="H48" i="153"/>
  <c r="H53" i="153"/>
  <c r="G53" i="153" s="1"/>
  <c r="H54" i="153"/>
  <c r="G54" i="153" s="1"/>
  <c r="H51" i="153"/>
  <c r="G51" i="153" s="1"/>
  <c r="H57" i="153"/>
  <c r="G57" i="153" s="1"/>
  <c r="N40" i="151"/>
  <c r="I50" i="137"/>
  <c r="I55" i="137"/>
  <c r="I55" i="153"/>
  <c r="I50" i="153"/>
  <c r="I55" i="144"/>
  <c r="I50" i="144"/>
  <c r="J40" i="144"/>
  <c r="J40" i="153"/>
  <c r="I50" i="149"/>
  <c r="I55" i="149"/>
  <c r="J40" i="152"/>
  <c r="N40" i="150"/>
  <c r="J40" i="141"/>
  <c r="J40" i="148"/>
  <c r="Z13" i="123"/>
  <c r="E20" i="178" l="1"/>
  <c r="E30" i="178"/>
  <c r="E24" i="178"/>
  <c r="E10" i="178"/>
  <c r="E19" i="178"/>
  <c r="E9" i="178"/>
  <c r="E14" i="178"/>
  <c r="E25" i="178"/>
  <c r="E35" i="178"/>
  <c r="E33" i="178"/>
  <c r="E13" i="178"/>
  <c r="E23" i="178"/>
  <c r="I58" i="149"/>
  <c r="G50" i="126"/>
  <c r="G50" i="153"/>
  <c r="G50" i="144"/>
  <c r="G55" i="149"/>
  <c r="M52" i="149" s="1"/>
  <c r="H58" i="137"/>
  <c r="G48" i="137"/>
  <c r="G50" i="149"/>
  <c r="G55" i="144"/>
  <c r="M52" i="144" s="1"/>
  <c r="G50" i="137"/>
  <c r="G55" i="137"/>
  <c r="M52" i="137" s="1"/>
  <c r="H53" i="152"/>
  <c r="G53" i="152" s="1"/>
  <c r="H57" i="152"/>
  <c r="G57" i="152" s="1"/>
  <c r="H49" i="152"/>
  <c r="G49" i="152" s="1"/>
  <c r="H55" i="152"/>
  <c r="H51" i="152"/>
  <c r="G51" i="152" s="1"/>
  <c r="H54" i="152"/>
  <c r="G54" i="152" s="1"/>
  <c r="H48" i="152"/>
  <c r="H52" i="152"/>
  <c r="G52" i="152" s="1"/>
  <c r="H50" i="152"/>
  <c r="H58" i="153"/>
  <c r="G48" i="153"/>
  <c r="H58" i="144"/>
  <c r="G48" i="144"/>
  <c r="G55" i="126"/>
  <c r="M52" i="126" s="1"/>
  <c r="G48" i="126"/>
  <c r="M48" i="126" s="1"/>
  <c r="H58" i="126"/>
  <c r="H51" i="141"/>
  <c r="G51" i="141" s="1"/>
  <c r="H52" i="141"/>
  <c r="G52" i="141" s="1"/>
  <c r="H50" i="141"/>
  <c r="H49" i="141"/>
  <c r="G49" i="141" s="1"/>
  <c r="H55" i="141"/>
  <c r="H57" i="141"/>
  <c r="G57" i="141" s="1"/>
  <c r="H54" i="141"/>
  <c r="G54" i="141" s="1"/>
  <c r="H48" i="141"/>
  <c r="H53" i="141"/>
  <c r="G53" i="141" s="1"/>
  <c r="H51" i="148"/>
  <c r="G51" i="148" s="1"/>
  <c r="H49" i="148"/>
  <c r="G49" i="148" s="1"/>
  <c r="H50" i="148"/>
  <c r="H54" i="148"/>
  <c r="G54" i="148" s="1"/>
  <c r="H55" i="148"/>
  <c r="H57" i="148"/>
  <c r="G57" i="148" s="1"/>
  <c r="H48" i="148"/>
  <c r="H53" i="148"/>
  <c r="G53" i="148" s="1"/>
  <c r="H52" i="148"/>
  <c r="G52" i="148" s="1"/>
  <c r="G55" i="153"/>
  <c r="Q52" i="153" s="1"/>
  <c r="H58" i="149"/>
  <c r="G48" i="149"/>
  <c r="I58" i="126"/>
  <c r="I58" i="153"/>
  <c r="I58" i="144"/>
  <c r="I58" i="137"/>
  <c r="I50" i="152"/>
  <c r="I55" i="152"/>
  <c r="I50" i="148"/>
  <c r="I55" i="148"/>
  <c r="I50" i="141"/>
  <c r="I55" i="141"/>
  <c r="M52" i="150"/>
  <c r="M48" i="151"/>
  <c r="M48" i="150"/>
  <c r="M52" i="151"/>
  <c r="G58" i="144" l="1"/>
  <c r="H59" i="149"/>
  <c r="G58" i="149"/>
  <c r="M48" i="149"/>
  <c r="N51" i="149" s="1"/>
  <c r="G58" i="126"/>
  <c r="M48" i="137"/>
  <c r="M56" i="137" s="1"/>
  <c r="M48" i="144"/>
  <c r="N51" i="144" s="1"/>
  <c r="G50" i="152"/>
  <c r="H58" i="148"/>
  <c r="G48" i="148"/>
  <c r="H58" i="141"/>
  <c r="G48" i="141"/>
  <c r="H59" i="126"/>
  <c r="M56" i="126"/>
  <c r="H58" i="152"/>
  <c r="G48" i="152"/>
  <c r="G55" i="148"/>
  <c r="M52" i="148" s="1"/>
  <c r="G55" i="141"/>
  <c r="M52" i="141" s="1"/>
  <c r="G50" i="148"/>
  <c r="H59" i="144"/>
  <c r="G55" i="152"/>
  <c r="Q52" i="152" s="1"/>
  <c r="G50" i="141"/>
  <c r="G58" i="153"/>
  <c r="G58" i="137"/>
  <c r="H59" i="153"/>
  <c r="H59" i="137"/>
  <c r="I58" i="141"/>
  <c r="Q48" i="153"/>
  <c r="R51" i="153" s="1"/>
  <c r="I58" i="152"/>
  <c r="I58" i="148"/>
  <c r="N51" i="151"/>
  <c r="M56" i="151"/>
  <c r="N51" i="150"/>
  <c r="M56" i="150"/>
  <c r="N51" i="126"/>
  <c r="N51" i="137" l="1"/>
  <c r="M56" i="149"/>
  <c r="M56" i="144"/>
  <c r="G58" i="152"/>
  <c r="G58" i="141"/>
  <c r="H59" i="141"/>
  <c r="H59" i="152"/>
  <c r="G58" i="148"/>
  <c r="H59" i="148"/>
  <c r="Q56" i="153"/>
  <c r="Q48" i="152"/>
  <c r="R51" i="152" s="1"/>
  <c r="M48" i="141"/>
  <c r="M48" i="148"/>
  <c r="Q56" i="152" l="1"/>
  <c r="M56" i="148"/>
  <c r="N51" i="148"/>
  <c r="N51" i="141"/>
  <c r="M56" i="141"/>
  <c r="E8" i="178"/>
  <c r="E28" i="178"/>
  <c r="E18" i="1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E5" authorId="0" shapeId="0" xr:uid="{00000000-0006-0000-2000-000001000000}">
      <text>
        <r>
          <rPr>
            <b/>
            <sz val="10"/>
            <color indexed="81"/>
            <rFont val="Tahoma"/>
            <family val="2"/>
          </rPr>
          <t xml:space="preserve">Wat kunnen we van de leerling verwachten?
</t>
        </r>
        <r>
          <rPr>
            <sz val="10"/>
            <color indexed="81"/>
            <rFont val="Tahoma"/>
            <family val="2"/>
          </rPr>
          <t>Zeer goed           = 4,75
Goed                  = 4,00
Boven gemiddeld = 3,25
Gemiddeld          = 2,50
Onder gemiddeld = 1,75
Zwak                  = 1,00
Zeer zwak           = 0,25</t>
        </r>
      </text>
    </comment>
    <comment ref="I5" authorId="0" shapeId="0" xr:uid="{00000000-0006-0000-2000-000002000000}">
      <text>
        <r>
          <rPr>
            <b/>
            <sz val="10"/>
            <color indexed="81"/>
            <rFont val="Tahoma"/>
            <family val="2"/>
          </rPr>
          <t xml:space="preserve">Wat kunnen we van de leerling verwachten?
</t>
        </r>
        <r>
          <rPr>
            <sz val="10"/>
            <color indexed="81"/>
            <rFont val="Tahoma"/>
            <family val="2"/>
          </rPr>
          <t>Zeer goed           = 4,75
Goed                  = 4,00
Boven gemiddeld = 3,25
Gemiddeld          = 2,50
Onder gemiddeld = 1,75
Zwak                  = 1,00
Zeer zwak           = 0,25</t>
        </r>
      </text>
    </comment>
    <comment ref="L5" authorId="0" shapeId="0" xr:uid="{00000000-0006-0000-2000-000003000000}">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P5" authorId="0" shapeId="0" xr:uid="{ADA8797F-B09D-40AF-8310-293363DA3CA4}">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T5" authorId="0" shapeId="0" xr:uid="{2BC271FF-5A50-4A9D-82B2-2B57F98481A2}">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X5" authorId="0" shapeId="0" xr:uid="{54B6D528-266D-41BF-84AC-22577F809D87}">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E6" authorId="1" shapeId="0" xr:uid="{00000000-0006-0000-2000-000007000000}">
      <text>
        <r>
          <rPr>
            <sz val="9"/>
            <color indexed="81"/>
            <rFont val="Tahoma"/>
            <family val="2"/>
          </rPr>
          <t>De uiteindelijke beslissing wordt meegenomen in het tabblad Ontwikkelingsperspectief</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900-000001000000}">
      <text>
        <r>
          <rPr>
            <sz val="10"/>
            <color indexed="81"/>
            <rFont val="Arial"/>
            <family val="2"/>
          </rPr>
          <t>Hier kunt u zelf een toets invoeren
Vul in: scores / leerrendement / niveauwaarde</t>
        </r>
      </text>
    </comment>
    <comment ref="O26" authorId="1" shapeId="0" xr:uid="{00000000-0006-0000-29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A00-000001000000}">
      <text>
        <r>
          <rPr>
            <sz val="10"/>
            <color indexed="81"/>
            <rFont val="Arial"/>
            <family val="2"/>
          </rPr>
          <t>Hier kunt u zelf een toets invoeren
Vul in: scores / leerrendement / niveauwaarde</t>
        </r>
      </text>
    </comment>
    <comment ref="O26" authorId="1" shapeId="0" xr:uid="{00000000-0006-0000-2A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K4" authorId="0" shapeId="0" xr:uid="{406F2C46-D347-4A8E-BC93-32283AECE50F}">
      <text>
        <r>
          <rPr>
            <sz val="10"/>
            <color indexed="81"/>
            <rFont val="Arial"/>
            <family val="2"/>
          </rPr>
          <t>Hier kunt u zelf een toets invoeren
Vul in: 
g = goed 
v = voldoende 
m = matig 
o = onvoldoende</t>
        </r>
      </text>
    </comment>
    <comment ref="L4" authorId="0" shapeId="0" xr:uid="{16AA470D-F349-4321-8CF6-1B21A970C59C}">
      <text>
        <r>
          <rPr>
            <sz val="10"/>
            <color indexed="81"/>
            <rFont val="Arial"/>
            <family val="2"/>
          </rPr>
          <t>Hier kunt u zelf een toets invoeren
Vul in: 
g = goed 
v = voldoende 
m = matig 
o = onvoldoende</t>
        </r>
      </text>
    </comment>
    <comment ref="M4" authorId="0" shapeId="0" xr:uid="{EFD2B217-A270-42B9-BBDE-C655517C567F}">
      <text>
        <r>
          <rPr>
            <sz val="10"/>
            <color indexed="81"/>
            <rFont val="Arial"/>
            <family val="2"/>
          </rPr>
          <t>Hier kunt u zelf een toets invoeren
Vul in: 
g = goed 
v = voldoende 
m = matig 
o = onvoldoende</t>
        </r>
      </text>
    </comment>
    <comment ref="N4" authorId="0" shapeId="0" xr:uid="{52419A44-4971-4C95-921A-2BC925732A12}">
      <text>
        <r>
          <rPr>
            <sz val="10"/>
            <color indexed="81"/>
            <rFont val="Arial"/>
            <family val="2"/>
          </rPr>
          <t>Hier kunt u zelf een toets invoeren
Vul in: 
g = goed 
v = voldoende 
m = matig 
o = onvoldoende</t>
        </r>
      </text>
    </comment>
    <comment ref="O4" authorId="0" shapeId="0" xr:uid="{7F44D805-2A8F-418E-AF40-6AF2117AC810}">
      <text>
        <r>
          <rPr>
            <sz val="10"/>
            <color indexed="81"/>
            <rFont val="Arial"/>
            <family val="2"/>
          </rPr>
          <t>Hier kunt u zelf een toets invoeren
Vul in: 
g = goed 
v = voldoende 
m = matig 
o = onvoldoende</t>
        </r>
      </text>
    </comment>
    <comment ref="P4" authorId="0" shapeId="0" xr:uid="{C0A4B70B-F765-43B2-A01E-CFFD3F35881E}">
      <text>
        <r>
          <rPr>
            <sz val="10"/>
            <color indexed="81"/>
            <rFont val="Arial"/>
            <family val="2"/>
          </rPr>
          <t>Hier kunt u zelf een toets invoeren
Vul in: 
g = goed 
v = voldoende 
m = matig 
o = onvoldoende</t>
        </r>
      </text>
    </comment>
    <comment ref="Q4" authorId="0" shapeId="0" xr:uid="{57FD9C15-B3F3-45AE-85DC-4DA1F12E7527}">
      <text>
        <r>
          <rPr>
            <sz val="10"/>
            <color indexed="81"/>
            <rFont val="Tahoma"/>
            <family val="2"/>
          </rPr>
          <t>Hier kunt u zelf een toets invoeren
Vul in: 
g = goed 
v = voldoende 
m = matig 
o = onvoldoende</t>
        </r>
      </text>
    </comment>
    <comment ref="S26" authorId="1" shapeId="0" xr:uid="{00000000-0006-0000-2B00-000008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K4" authorId="0" shapeId="0" xr:uid="{50D2E1B3-C067-4B60-99D0-9F18A94C01E7}">
      <text>
        <r>
          <rPr>
            <sz val="10"/>
            <color indexed="81"/>
            <rFont val="Arial"/>
            <family val="2"/>
          </rPr>
          <t>Hier kunt u zelf een toets invoeren
Vul in: 
g = goed 
v = voldoende 
m = matig 
o = onvoldoende</t>
        </r>
      </text>
    </comment>
    <comment ref="L4" authorId="0" shapeId="0" xr:uid="{25DFCA1C-200B-437C-AAFF-4B09C514A24A}">
      <text>
        <r>
          <rPr>
            <sz val="10"/>
            <color indexed="81"/>
            <rFont val="Arial"/>
            <family val="2"/>
          </rPr>
          <t>Hier kunt u zelf een toets invoeren
Vul in: 
g = goed 
v = voldoende 
m = matig 
o = onvoldoende</t>
        </r>
      </text>
    </comment>
    <comment ref="M4" authorId="0" shapeId="0" xr:uid="{730A9791-D9A7-42F4-8D6C-545C32431279}">
      <text>
        <r>
          <rPr>
            <sz val="10"/>
            <color indexed="81"/>
            <rFont val="Arial"/>
            <family val="2"/>
          </rPr>
          <t>Hier kunt u zelf een toets invoeren
Vul in: 
g = goed 
v = voldoende 
m = matig 
o = onvoldoende</t>
        </r>
      </text>
    </comment>
    <comment ref="N4" authorId="0" shapeId="0" xr:uid="{50812207-0FA2-49A2-988F-D656A86BC2EA}">
      <text>
        <r>
          <rPr>
            <sz val="10"/>
            <color indexed="81"/>
            <rFont val="Arial"/>
            <family val="2"/>
          </rPr>
          <t>Hier kunt u zelf een toets invoeren
Vul in: 
g = goed 
v = voldoende 
m = matig 
o = onvoldoende</t>
        </r>
      </text>
    </comment>
    <comment ref="O4" authorId="0" shapeId="0" xr:uid="{D4033CE2-D548-4749-A0FE-9057AEC93B38}">
      <text>
        <r>
          <rPr>
            <sz val="10"/>
            <color indexed="81"/>
            <rFont val="Arial"/>
            <family val="2"/>
          </rPr>
          <t>Hier kunt u zelf een toets invoeren
Vul in: 
g = goed 
v = voldoende 
m = matig 
o = onvoldoende</t>
        </r>
      </text>
    </comment>
    <comment ref="P4" authorId="0" shapeId="0" xr:uid="{6D57FCEC-B263-4023-A1DE-8B7CEC7DB75E}">
      <text>
        <r>
          <rPr>
            <sz val="10"/>
            <color indexed="81"/>
            <rFont val="Arial"/>
            <family val="2"/>
          </rPr>
          <t>Hier kunt u zelf een toets invoeren
Vul in: 
g = goed 
v = voldoende 
m = matig 
o = onvoldoende</t>
        </r>
      </text>
    </comment>
    <comment ref="Q4" authorId="0" shapeId="0" xr:uid="{1B6554AA-68A7-4873-B5BA-475DD727DF33}">
      <text>
        <r>
          <rPr>
            <sz val="10"/>
            <color indexed="81"/>
            <rFont val="Tahoma"/>
            <family val="2"/>
          </rPr>
          <t>Hier kunt u zelf een toets invoeren
Vul in: 
g = goed 
v = voldoende 
m = matig 
o = onvoldoende</t>
        </r>
      </text>
    </comment>
    <comment ref="S26" authorId="1" shapeId="0" xr:uid="{00000000-0006-0000-2C00-000008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Meinen</author>
  </authors>
  <commentList>
    <comment ref="P14" authorId="0" shapeId="0" xr:uid="{026E7372-6EF7-4506-AFB5-6B29F9D34095}">
      <text>
        <r>
          <rPr>
            <b/>
            <u/>
            <sz val="12"/>
            <color indexed="81"/>
            <rFont val="Arial"/>
            <family val="2"/>
          </rPr>
          <t>1. Leerlingen met een onderwijsvraag.</t>
        </r>
        <r>
          <rPr>
            <sz val="12"/>
            <color indexed="81"/>
            <rFont val="Arial"/>
            <family val="2"/>
          </rPr>
          <t xml:space="preserve">
Ze worden binnen de basisondersteuning begeleid.
Getallen worden automatisch ingevoerd.</t>
        </r>
      </text>
    </comment>
    <comment ref="P17" authorId="0" shapeId="0" xr:uid="{0A1EE149-0EC1-4B80-9039-C5AA8191AD52}">
      <text>
        <r>
          <rPr>
            <b/>
            <u/>
            <sz val="12"/>
            <color indexed="81"/>
            <rFont val="Arial"/>
            <family val="2"/>
          </rPr>
          <t>2. Leerlingen met een onderwijsvraag voor extra aandacht.</t>
        </r>
        <r>
          <rPr>
            <sz val="12"/>
            <color indexed="81"/>
            <rFont val="Arial"/>
            <family val="2"/>
          </rPr>
          <t xml:space="preserve">
Ze zijn besproken in het ondersteuningsteam.
Zo mogelijk extern gediagnosticeerd.</t>
        </r>
      </text>
    </comment>
    <comment ref="P18" authorId="0" shapeId="0" xr:uid="{E4B7F858-DCF8-4947-BAEC-EFF0C8378F37}">
      <text>
        <r>
          <rPr>
            <sz val="12"/>
            <color indexed="81"/>
            <rFont val="Arial"/>
            <family val="2"/>
          </rPr>
          <t>Vraag leergebieden: Een leerling heeft extra aandacht nodig bij taal / dictee. 
Basisondersteuning plus leergebieden: Een korte gerichte individuele begeleiding (remedial teaching) van een leerling die extra aandacht krijgt bij taal / dictee.</t>
        </r>
      </text>
    </comment>
    <comment ref="P19" authorId="0" shapeId="0" xr:uid="{8F807E25-B810-43BD-AC62-D0C5EA6431F6}">
      <text>
        <r>
          <rPr>
            <sz val="12"/>
            <color indexed="81"/>
            <rFont val="Arial"/>
            <family val="2"/>
          </rPr>
          <t>Vraag thuissituatie: Een leerling heeft tijdelijk problemen in zijn thuissituatie. 
Basisondersteuning plus thuissituatie: Met de leerling wordt een aantal gesprekken gevoerd door b.v. de intern begeleider, orthopedagoog en/of maatschappelijk werker. Deze vinden onder schooltijd plaats.</t>
        </r>
      </text>
    </comment>
    <comment ref="P20" authorId="0" shapeId="0" xr:uid="{7C5809E7-6BA6-4CD4-9B2E-2504EA9D7E7B}">
      <text>
        <r>
          <rPr>
            <sz val="12"/>
            <color indexed="81"/>
            <rFont val="Arial"/>
            <family val="2"/>
          </rPr>
          <t xml:space="preserve">Vraag fysieke gesteldheid: Een leerling die in een rolstoel zit of een leerling die spastisch is en gebruik maakt van een rollator. 
Basisondersteuning plus fysieke gesteldheid: Een leerling in een rolstoel wordt twee keer per week extra begeleid bij enkele schoolse activiteiten, zoals gymnastiek. </t>
        </r>
      </text>
    </comment>
    <comment ref="P21" authorId="0" shapeId="0" xr:uid="{3B9FB915-8ABE-4A46-AED7-9A1A5870436D}">
      <text>
        <r>
          <rPr>
            <sz val="12"/>
            <color indexed="81"/>
            <rFont val="Arial"/>
            <family val="2"/>
          </rPr>
          <t>Vraag werkhouding: Een leerling heeft extra aandacht nodig bij het uitvoeren van opdragen leer – en ontwikkelingstaken. 
Basisondersteuning plus werkhouding: Een leerling wordt enige tijd, tussen vier en acht weken, extra begeleid, middels  een korte gerichte werkhoudingsprogramma.</t>
        </r>
      </text>
    </comment>
    <comment ref="P22" authorId="0" shapeId="0" xr:uid="{E30F955E-28F2-4130-AE35-386D21056DE9}">
      <text>
        <r>
          <rPr>
            <sz val="12"/>
            <color indexed="81"/>
            <rFont val="Arial"/>
            <family val="2"/>
          </rPr>
          <t>Vraag gedrag: Een leerling heeft extra aandacht nodig bij het omgaan van zijn gedrag. 
Basisondersteuning plus gedrag: Een groep leerlingen wordt enige tijd, tussen vier en acht weken, extra begeleid, middels  een korte gerichte groep SOVA training.</t>
        </r>
      </text>
    </comment>
    <comment ref="P23" authorId="0" shapeId="0" xr:uid="{8A75DF6F-80B8-4DC7-9052-EE2FF280EC41}">
      <text>
        <r>
          <rPr>
            <sz val="12"/>
            <color indexed="81"/>
            <rFont val="Arial"/>
            <family val="2"/>
          </rPr>
          <t xml:space="preserve">Vraag leergebieden: Een leerling heeft geen enkele moeite met leren van zowel taal als rekenen en wil juist meer uitgedaagd worden. 
Basisondersteuning plus leergebieden: Een groep leerlingen die meer of hoogbegaafd zijn, wordt één of twee keer per week apart begeleid door een leraar (plusklas). </t>
        </r>
      </text>
    </comment>
    <comment ref="P24" authorId="0" shapeId="0" xr:uid="{98728324-3E0A-4C14-88F4-CE5C02F0E99C}">
      <text>
        <r>
          <rPr>
            <sz val="12"/>
            <color indexed="81"/>
            <rFont val="Arial"/>
            <family val="2"/>
          </rPr>
          <t xml:space="preserve">Vraag leergebieden: Een leerling heeft veel moeite met leren van zowel taal als rekenen en heeft veel extra aandacht van de leerkracht nodig. 
Basisondersteuning plus leergebieden: Een groep leerlingen die minder begaafd zijn, wordt één of twee keer per week apart begeleid door een leraar. </t>
        </r>
      </text>
    </comment>
    <comment ref="P25" authorId="0" shapeId="0" xr:uid="{D6F19A94-207B-47D5-A899-6630A1520A7C}">
      <text>
        <r>
          <rPr>
            <sz val="12"/>
            <color indexed="81"/>
            <rFont val="Arial"/>
            <family val="2"/>
          </rPr>
          <t>Vraag leergebieden: Een leerling heeft extra aandacht nodig bij het leren van rekenen. 
Basisondersteuning plus leergebieden: Een korte gerichte individuele begeleiding (remedial teaching) van een leerling die extra aandacht krijgt bij rekenen.</t>
        </r>
      </text>
    </comment>
    <comment ref="P26" authorId="0" shapeId="0" xr:uid="{BE76CE93-3D85-40B2-8037-CF92368E2277}">
      <text>
        <r>
          <rPr>
            <sz val="12"/>
            <color indexed="81"/>
            <rFont val="Arial"/>
            <family val="2"/>
          </rPr>
          <t>Deze leerling heeft binnen de groep extra ondersteuning nodig van de leerkracht.
De leerkracht biedt veel structuur, vaste afspraken.
Vaak is er sprake van een apart ingerichte werkplek voor de leerling.</t>
        </r>
      </text>
    </comment>
    <comment ref="P27" authorId="0" shapeId="0" xr:uid="{E8FCF361-2B63-4DFB-8918-E89875B4F48D}">
      <text>
        <r>
          <rPr>
            <sz val="12"/>
            <color indexed="81"/>
            <rFont val="Arial"/>
            <family val="2"/>
          </rPr>
          <t>De leerling wordt minimaal 2x 30 minuten extra begeleid op het gebeid van lezen.
De activiteit vindt plaats naast het normale leesaanbod in de groep.
Begeleiding kan ook bestaan uit minimaal 4x 15 minuten Bouw!</t>
        </r>
      </text>
    </comment>
    <comment ref="P28" authorId="0" shapeId="0" xr:uid="{26B566C7-10E5-4470-9C0D-A2981CEED0A9}">
      <text>
        <r>
          <rPr>
            <sz val="12"/>
            <color indexed="81"/>
            <rFont val="Arial"/>
            <family val="2"/>
          </rPr>
          <t>Hier kunt u zelf nog een gebied voor Basisondersteuning - plus toevoegen</t>
        </r>
      </text>
    </comment>
    <comment ref="P31" authorId="0" shapeId="0" xr:uid="{3363C926-38AE-4136-8359-1DB7B563562B}">
      <text>
        <r>
          <rPr>
            <b/>
            <sz val="12"/>
            <color indexed="81"/>
            <rFont val="Arial"/>
            <family val="2"/>
          </rPr>
          <t>3. Leerlingen met een speciale onderwijsvraag en eventueel zorgvraag.</t>
        </r>
        <r>
          <rPr>
            <sz val="12"/>
            <color indexed="81"/>
            <rFont val="Arial"/>
            <family val="2"/>
          </rPr>
          <t xml:space="preserve">
Ze hebben meer gespecialiseerd onderwijs en eventueel zorgbegeleiding nodig. 
</t>
        </r>
        <r>
          <rPr>
            <b/>
            <sz val="12"/>
            <color indexed="81"/>
            <rFont val="Arial"/>
            <family val="2"/>
          </rPr>
          <t>Dit wordt dan in een OPP uitgewerkt.</t>
        </r>
        <r>
          <rPr>
            <sz val="12"/>
            <color indexed="81"/>
            <rFont val="Arial"/>
            <family val="2"/>
          </rPr>
          <t xml:space="preserve"> 
Ze worden eventueel extern begeleid door een AB’er. </t>
        </r>
      </text>
    </comment>
    <comment ref="P32" authorId="0" shapeId="0" xr:uid="{A8BBE880-5102-4651-BCF0-7BF89D08D1A3}">
      <text>
        <r>
          <rPr>
            <sz val="12"/>
            <color indexed="81"/>
            <rFont val="Arial"/>
            <family val="2"/>
          </rPr>
          <t>Vraag thuissituatie: Een leerling heeft veel en langdurige problemen in zijn thuissituatie. 
Extra ondersteuning thuissituatie: Met de leerling wordt een aantal gesprekken gevoerd door b.v. de intern begeleider, orthopedagoog en/of maatschappelijk werker. Deze vinden onder schooltijd plaats.
Daarnaast vindt er met vaste regelmaat MDO plaats waarbij intern en extern deskundigen met de ouders de hulpvragen bespreken en met elkaar afstemmen.</t>
        </r>
      </text>
    </comment>
    <comment ref="P33" authorId="0" shapeId="0" xr:uid="{FF549F1D-AE9E-4935-B8A8-3DF1F4B722ED}">
      <text>
        <r>
          <rPr>
            <sz val="12"/>
            <color indexed="81"/>
            <rFont val="Arial"/>
            <family val="2"/>
          </rPr>
          <t xml:space="preserve">Vraag fysieke gesteldheid: Een leerling die in een rolstoel zit of een leerling die spastisch is en gebruik maakt van een rollator. Ze moeten af en toe verschoond worden en medicijnen worden toegediend. Ze hebben daarnaast moeite met het leren van taal en rekenen. 
Extra ondersteuning fysieke gesteldheid: Een leerling die spastisch is wordt vier keer per week apart begeleid bij meerdere schoolse activiteiten. </t>
        </r>
      </text>
    </comment>
    <comment ref="P34" authorId="0" shapeId="0" xr:uid="{4EF52044-5711-49A1-824D-456FD9E8B756}">
      <text>
        <r>
          <rPr>
            <sz val="12"/>
            <color indexed="81"/>
            <rFont val="Arial"/>
            <family val="2"/>
          </rPr>
          <t xml:space="preserve">Vraag werkhouding: Een leerling heeft grote moeite met het uitvoeren van opdragen leer – en ontwikkelingstaken. 
Extra ondersteuning gedrag: Een leerling wordt langdurig, ongeveer een half jaar, intensief begeleid om zijn werkhouding te verbeteren. Er wordt een specifiek programma gebruikt hiervoor. Dit kan zowel binnen als buiten de groep plaatsvinden.  </t>
        </r>
      </text>
    </comment>
    <comment ref="P35" authorId="0" shapeId="0" xr:uid="{75B07652-8860-4426-8AE5-5F4C8B631890}">
      <text>
        <r>
          <rPr>
            <sz val="12"/>
            <color indexed="81"/>
            <rFont val="Arial"/>
            <family val="2"/>
          </rPr>
          <t xml:space="preserve">Vraag gedrag: Een leerling heeft grote moeite met het omgaan van zijn gedrag. 
Extra ondersteuning gedrag: Een leerling wordt langdurig, ongeveer een half jaar, begeleid in het omgaan met zijn gedrag. Er wordt een specifiek programma gebruikt hiervoor. Dit kan zowel binnen als buiten de groep plaatsvinden.  </t>
        </r>
      </text>
    </comment>
    <comment ref="P36" authorId="0" shapeId="0" xr:uid="{A3A1A1E8-51F8-45EC-AA91-FBCE60187C98}">
      <text>
        <r>
          <rPr>
            <sz val="12"/>
            <color indexed="81"/>
            <rFont val="Arial"/>
            <family val="2"/>
          </rPr>
          <t xml:space="preserve">Vraag OPP Taal: Een leerling heeft geen enkele moeite met het leren van taal en rekenen. Hij loopt meer dan een jaar voor in zijn cognitieve ontwikkeling vergeleken met de rest van de groep. 
Extra ondersteuning OPP Taal en Rekenen: Voor deze leerling wordt een OPP en een eigen leerlijn voor taal opgesteld. Hierin wordt de ondersteuning uitgestippeld. Elk half jaar vindt evaluatie plaats. De ouders zijn hierbij actief betrokken.
Een groep leerlingen die meer of hoogbegaafd zijn, wordt één of twee keer per week apart begeleid door een leraar (plusklas). 
</t>
        </r>
      </text>
    </comment>
    <comment ref="P37" authorId="0" shapeId="0" xr:uid="{C77DD7BC-7B73-4B27-B906-F978CFF546C8}">
      <text>
        <r>
          <rPr>
            <sz val="12"/>
            <color indexed="81"/>
            <rFont val="Arial"/>
            <family val="2"/>
          </rPr>
          <t>Vraag OPP Taal: Een leerling heeft grote moeite met het leren van taal en rekenen. Hij loopt minimaal een jaar achter in zijn cognitieve ontwikkeling vergeleken met de rest van de groep. 
Extra ondersteuning OPP Taal en Rekenen: Voor deze leerling wordt een OPP en een eigen leerlijn voor taal en rekenen opgesteld. Hierin wordt de ondersteuning uitgestippeld. Elk half jaar vindt evaluatie plaats. De ouders zijn hierbij actief betrokken.</t>
        </r>
      </text>
    </comment>
    <comment ref="P38" authorId="0" shapeId="0" xr:uid="{2AA44754-15AB-4FF3-BBFA-EDAC4749AB8E}">
      <text>
        <r>
          <rPr>
            <sz val="12"/>
            <color indexed="81"/>
            <rFont val="Arial"/>
            <family val="2"/>
          </rPr>
          <t>Vraag OPP Taal: Een leerling heeft grote moeite met het leren van taal. Hij loopt minimaal een jaar achter in zijn cognitieve ontwikkeling vergeleken met de rest van de groep. 
Extra ondersteuning OPP Taal: Voor deze leerling wordt een OPP en een eigen leerlijn voor taal opgesteld. Hierin wordt de ondersteuning uitgestippeld. Elk half jaar vindt evaluatie plaats. De ouders zijn hierbij actief betrokken.</t>
        </r>
      </text>
    </comment>
    <comment ref="P39" authorId="0" shapeId="0" xr:uid="{4DF06392-DA41-4AEB-A5E6-A62533E1F8F9}">
      <text>
        <r>
          <rPr>
            <sz val="12"/>
            <color indexed="81"/>
            <rFont val="Arial"/>
            <family val="2"/>
          </rPr>
          <t xml:space="preserve">Vraag OPP Rekenen: Een leerling heeft grote moeite met het leren van rekenen. Hij loopt minimaal een jaar achter in zijn cognitieve ontwikkeling vergeleken met de rest van de groep. 
Extra ondersteuning OPP Rekenen: Voor deze leerling wordt een OPP en een eigen leerlijn voor rekenen opgesteld. Hierin wordt de ondersteuning uitgestippeld. Elk half jaar vindt evaluatie plaats. De ouders zijn hierbij actief betrokken. </t>
        </r>
      </text>
    </comment>
    <comment ref="P42" authorId="0" shapeId="0" xr:uid="{0DB98386-FA77-40E0-BC4E-F0C235215F05}">
      <text>
        <r>
          <rPr>
            <b/>
            <u/>
            <sz val="12"/>
            <color indexed="81"/>
            <rFont val="Arial"/>
            <family val="2"/>
          </rPr>
          <t>4. Leerlingen met een zeer speciale onderwijs en eventueel zorgvraag.</t>
        </r>
        <r>
          <rPr>
            <sz val="12"/>
            <color indexed="81"/>
            <rFont val="Arial"/>
            <family val="2"/>
          </rPr>
          <t xml:space="preserve">
Ze hebben intensief gespecialiseerd onderwijs en eventueel zorgbegeleiding nodig. Dit wordt ook uitgewerkt in een OPP. 
Ze worden extern begeleid door eventueel een AB’er en intern door een onderwijsassistent.</t>
        </r>
      </text>
    </comment>
    <comment ref="P43" authorId="0" shapeId="0" xr:uid="{0E8A8E30-3C87-4BEF-B07F-DBFFB5102AEC}">
      <text>
        <r>
          <rPr>
            <sz val="12"/>
            <color indexed="81"/>
            <rFont val="Arial"/>
            <family val="2"/>
          </rPr>
          <t>Indicatie Cluster 1: Een leerling heeft een indicatie gekregen voor cluster 1, leerlingen met een visuele beperking. 
Extra ondersteuning plus cluster 1: Een leerling ontvangt ambulante begeleiding vanuit de speciale school voor leerlingen met een visuele beperking. Deze begeleiding wordt uitgewerkt in een begeleidingsplan.</t>
        </r>
      </text>
    </comment>
    <comment ref="P44" authorId="0" shapeId="0" xr:uid="{56856888-40A5-4670-BA90-9B3CA8B77764}">
      <text>
        <r>
          <rPr>
            <sz val="12"/>
            <color indexed="81"/>
            <rFont val="Arial"/>
            <family val="2"/>
          </rPr>
          <t xml:space="preserve">Indicatie Cluster 2: Een leerling heeft een indicatie gekregen voor cluster 2, leerlingen met een auditieve of spraak taal beperking. 
Extra ondersteuning plus cluster 2: Een leerling ontvangt ambulante begeleiding vanuit de speciale school voor leerlingen met een auditieve of spraak taal beperking. Deze begeleiding wordt uitgewerkt in een begeleidingsplan. </t>
        </r>
      </text>
    </comment>
    <comment ref="P45" authorId="0" shapeId="0" xr:uid="{646C884D-B600-4AC0-9FE8-1F2BD49325D3}">
      <text>
        <r>
          <rPr>
            <sz val="12"/>
            <color indexed="81"/>
            <rFont val="Arial"/>
            <family val="2"/>
          </rPr>
          <t>Vraag fysieke gesteldheid: Een leerling die in een rolstoel zit of een leerling die spastisch is en gebruik maakt van een rollator. 
Ze moeten af en toe verschoond worden en medicijnen worden toegediend. 
Ze hebben daarnaast zeer grote moeite met het leren van taal, rekenen en omgaan met hun gedrag. 
Extra ondersteuning plus fysieke gesteldheid: Een leerling die spastisch is wordt bijna de gehele week apart begeleid bij meerdere schoolse activiteiten.</t>
        </r>
      </text>
    </comment>
    <comment ref="P46" authorId="0" shapeId="0" xr:uid="{A1D44459-9C4B-40B8-B762-83A31C2BA927}">
      <text>
        <r>
          <rPr>
            <sz val="12"/>
            <color indexed="81"/>
            <rFont val="Arial"/>
            <family val="2"/>
          </rPr>
          <t>Vraag gedrag: Een leerling heeft zeer grote moeite met het omgaan van zijn gedrag. 
Extra ondersteuning plus gedrag: Een leerling ontvangt ambulante begeleiding vanuit het samenwerkingsverband of bestuur (expertise centrum). Deze begeleiding wordt uitgewerkt in een begeleidingsplan</t>
        </r>
      </text>
    </comment>
    <comment ref="P47" authorId="0" shapeId="0" xr:uid="{1594EEF5-C6B0-4A1D-9BB3-6A07EC5B79F5}">
      <text>
        <r>
          <rPr>
            <sz val="12"/>
            <color indexed="81"/>
            <rFont val="Arial"/>
            <family val="2"/>
          </rPr>
          <t xml:space="preserve">Vraag leergebieden: Een leerling met een verstandelijke beperking heeft zeer grote moeite met het leren van taal en rekenen. Hij loopt enige jaren achter in zijn cognitieve ontwikkeling vergeleken met de rest van de groep. 
Extra ondersteuning plus leergebieden: Een leerling met een Downsyndroom wordt de gehele week begeleid door een onderwijsassistent.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win98</author>
    <author>School</author>
  </authors>
  <commentList>
    <comment ref="E8" authorId="0" shapeId="0" xr:uid="{F5737A7F-B47F-4538-9075-FC51404B4C74}">
      <text>
        <r>
          <rPr>
            <sz val="10"/>
            <color indexed="81"/>
            <rFont val="Arial"/>
            <family val="2"/>
          </rPr>
          <t>noteer het aantal letters dat benoemd wordt
onv.    = 0 - 8
matig = 9 - 14</t>
        </r>
      </text>
    </comment>
    <comment ref="F8" authorId="0" shapeId="0" xr:uid="{90C3ECC6-6E87-407F-8F9F-823FA154F94E}">
      <text>
        <r>
          <rPr>
            <sz val="10"/>
            <color indexed="81"/>
            <rFont val="Arial"/>
            <family val="2"/>
          </rPr>
          <t>noteer het aantal seconden
onv.    &gt; 29 sec.
matig = 23 - 29 sec.</t>
        </r>
      </text>
    </comment>
    <comment ref="G8" authorId="0" shapeId="0" xr:uid="{BC479F6A-C94F-4A22-99F7-F9782A61BBE4}">
      <text>
        <r>
          <rPr>
            <sz val="10"/>
            <color indexed="81"/>
            <rFont val="Arial"/>
            <family val="2"/>
          </rPr>
          <t>noteer de score
onv.    = 0 - 8
matig = 9 - 12</t>
        </r>
      </text>
    </comment>
    <comment ref="H8" authorId="1" shapeId="0" xr:uid="{49A9E9F4-C55C-445A-A368-A014072D19BF}">
      <text>
        <r>
          <rPr>
            <sz val="10"/>
            <color indexed="81"/>
            <rFont val="Tahoma"/>
            <family val="2"/>
          </rPr>
          <t>noteer de score
onv.    = 0 - 5
matig = 6 - 7</t>
        </r>
      </text>
    </comment>
    <comment ref="I8" authorId="0" shapeId="0" xr:uid="{E82BF422-C46C-48E0-87C6-4D8584A4F451}">
      <text>
        <r>
          <rPr>
            <sz val="10"/>
            <color indexed="81"/>
            <rFont val="Arial"/>
            <family val="2"/>
          </rPr>
          <t xml:space="preserve">vul in:
</t>
        </r>
        <r>
          <rPr>
            <b/>
            <sz val="10"/>
            <color indexed="81"/>
            <rFont val="Arial"/>
            <family val="2"/>
          </rPr>
          <t xml:space="preserve">j </t>
        </r>
        <r>
          <rPr>
            <sz val="10"/>
            <color indexed="81"/>
            <rFont val="Arial"/>
            <family val="2"/>
          </rPr>
          <t xml:space="preserve">    (bij "ja")
</t>
        </r>
        <r>
          <rPr>
            <b/>
            <sz val="10"/>
            <color indexed="81"/>
            <rFont val="Arial"/>
            <family val="2"/>
          </rPr>
          <t xml:space="preserve">d </t>
        </r>
        <r>
          <rPr>
            <sz val="10"/>
            <color indexed="81"/>
            <rFont val="Arial"/>
            <family val="2"/>
          </rPr>
          <t xml:space="preserve">   (bij "deels")
</t>
        </r>
        <r>
          <rPr>
            <b/>
            <sz val="10"/>
            <color indexed="81"/>
            <rFont val="Arial"/>
            <family val="2"/>
          </rPr>
          <t>n</t>
        </r>
        <r>
          <rPr>
            <sz val="10"/>
            <color indexed="81"/>
            <rFont val="Arial"/>
            <family val="2"/>
          </rPr>
          <t xml:space="preserve">    (bij "nee")</t>
        </r>
      </text>
    </comment>
    <comment ref="J8" authorId="0" shapeId="0" xr:uid="{1FC209D3-7A3E-4D6E-8468-B0F955189C46}">
      <text>
        <r>
          <rPr>
            <sz val="10"/>
            <color indexed="81"/>
            <rFont val="Arial"/>
            <family val="2"/>
          </rPr>
          <t>noteer de score
onv.    = 0 - 7
matig = 8 - 13</t>
        </r>
      </text>
    </comment>
    <comment ref="K8" authorId="0" shapeId="0" xr:uid="{65FE5E5A-16D1-4607-BC49-11E31204C6CA}">
      <text>
        <r>
          <rPr>
            <sz val="10"/>
            <color indexed="81"/>
            <rFont val="Arial"/>
            <family val="2"/>
          </rPr>
          <t xml:space="preserve">noteer:
</t>
        </r>
        <r>
          <rPr>
            <b/>
            <sz val="10"/>
            <color indexed="81"/>
            <rFont val="Arial"/>
            <family val="2"/>
          </rPr>
          <t xml:space="preserve">j </t>
        </r>
        <r>
          <rPr>
            <sz val="10"/>
            <color indexed="81"/>
            <rFont val="Arial"/>
            <family val="2"/>
          </rPr>
          <t xml:space="preserve">   (als "ja")
</t>
        </r>
        <r>
          <rPr>
            <b/>
            <sz val="10"/>
            <color indexed="81"/>
            <rFont val="Arial"/>
            <family val="2"/>
          </rPr>
          <t>n</t>
        </r>
        <r>
          <rPr>
            <sz val="10"/>
            <color indexed="81"/>
            <rFont val="Arial"/>
            <family val="2"/>
          </rPr>
          <t xml:space="preserve">   (bij "nee")</t>
        </r>
      </text>
    </comment>
    <comment ref="L8" authorId="0" shapeId="0" xr:uid="{18204A4E-3AD8-4D03-B0EB-5C2E8E3D15C9}">
      <text>
        <r>
          <rPr>
            <sz val="10"/>
            <color indexed="81"/>
            <rFont val="Arial"/>
            <family val="2"/>
          </rPr>
          <t xml:space="preserve">noteer:
</t>
        </r>
        <r>
          <rPr>
            <b/>
            <sz val="10"/>
            <color indexed="81"/>
            <rFont val="Arial"/>
            <family val="2"/>
          </rPr>
          <t xml:space="preserve">j </t>
        </r>
        <r>
          <rPr>
            <sz val="10"/>
            <color indexed="81"/>
            <rFont val="Arial"/>
            <family val="2"/>
          </rPr>
          <t xml:space="preserve">   (als "ja")
</t>
        </r>
        <r>
          <rPr>
            <b/>
            <sz val="10"/>
            <color indexed="81"/>
            <rFont val="Arial"/>
            <family val="2"/>
          </rPr>
          <t>n</t>
        </r>
        <r>
          <rPr>
            <sz val="10"/>
            <color indexed="81"/>
            <rFont val="Arial"/>
            <family val="2"/>
          </rPr>
          <t xml:space="preserve">   (bij "nee")
</t>
        </r>
        <r>
          <rPr>
            <b/>
            <sz val="10"/>
            <color indexed="81"/>
            <rFont val="Arial"/>
            <family val="2"/>
          </rPr>
          <t xml:space="preserve">? </t>
        </r>
        <r>
          <rPr>
            <sz val="10"/>
            <color indexed="81"/>
            <rFont val="Arial"/>
            <family val="2"/>
          </rPr>
          <t xml:space="preserve">  (bij twijfel)</t>
        </r>
      </text>
    </comment>
    <comment ref="M8" authorId="0" shapeId="0" xr:uid="{B2A71B73-95C1-42D2-A763-3ABEABF3C574}">
      <text>
        <r>
          <rPr>
            <sz val="10"/>
            <color indexed="81"/>
            <rFont val="Arial"/>
            <family val="2"/>
          </rPr>
          <t xml:space="preserve">noteer:
</t>
        </r>
        <r>
          <rPr>
            <b/>
            <sz val="10"/>
            <color indexed="81"/>
            <rFont val="Arial"/>
            <family val="2"/>
          </rPr>
          <t xml:space="preserve">v </t>
        </r>
        <r>
          <rPr>
            <sz val="10"/>
            <color indexed="81"/>
            <rFont val="Arial"/>
            <family val="2"/>
          </rPr>
          <t xml:space="preserve">   (als "voldoende / goed")
</t>
        </r>
        <r>
          <rPr>
            <b/>
            <sz val="10"/>
            <color indexed="81"/>
            <rFont val="Arial"/>
            <family val="2"/>
          </rPr>
          <t>m</t>
        </r>
        <r>
          <rPr>
            <sz val="10"/>
            <color indexed="81"/>
            <rFont val="Arial"/>
            <family val="2"/>
          </rPr>
          <t xml:space="preserve">   (bij "matig")
</t>
        </r>
        <r>
          <rPr>
            <b/>
            <sz val="10"/>
            <color indexed="81"/>
            <rFont val="Arial"/>
            <family val="2"/>
          </rPr>
          <t>o</t>
        </r>
        <r>
          <rPr>
            <sz val="10"/>
            <color indexed="81"/>
            <rFont val="Arial"/>
            <family val="2"/>
          </rPr>
          <t xml:space="preserve">    (bij "onvoldoende")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win98</author>
  </authors>
  <commentList>
    <comment ref="D9" authorId="0" shapeId="0" xr:uid="{C6ADEA59-7FFF-4B2B-9CBF-024B5F9C2D0A}">
      <text>
        <r>
          <rPr>
            <sz val="10"/>
            <color indexed="81"/>
            <rFont val="Arial"/>
            <family val="2"/>
          </rPr>
          <t>max score: 18
vold / goed &gt; 15
matig = 14 - 15
onvold = 0 - 13</t>
        </r>
      </text>
    </comment>
    <comment ref="E9" authorId="0" shapeId="0" xr:uid="{A3CAD384-F5C0-4E59-B598-F9B7C1B023DA}">
      <text>
        <r>
          <rPr>
            <sz val="10"/>
            <color indexed="81"/>
            <rFont val="Arial"/>
            <family val="2"/>
          </rPr>
          <t>max score: 34
goed &gt; 26
vold &gt; 14
matig = 11 - 14
onvold = 0 - 10</t>
        </r>
      </text>
    </comment>
    <comment ref="F9" authorId="0" shapeId="0" xr:uid="{61C7280E-EE9F-4C9B-9753-750170721BCD}">
      <text>
        <r>
          <rPr>
            <sz val="10"/>
            <color indexed="81"/>
            <rFont val="Arial"/>
            <family val="2"/>
          </rPr>
          <t>max score: 10
vold / goed &gt; 8
matig = 8
onvold = 0 - 7</t>
        </r>
      </text>
    </comment>
    <comment ref="G9" authorId="0" shapeId="0" xr:uid="{591FBEE1-F0CA-4661-B0CA-D0975197DA2B}">
      <text>
        <r>
          <rPr>
            <sz val="10"/>
            <color indexed="81"/>
            <rFont val="Arial"/>
            <family val="2"/>
          </rPr>
          <t>max score: 16
vold / goed &gt; 14
matig = 12 - 14
onvold = 0 - 11</t>
        </r>
      </text>
    </comment>
    <comment ref="H9" authorId="0" shapeId="0" xr:uid="{AFEB1A2C-127C-445E-8EC9-D18206BAD923}">
      <text>
        <r>
          <rPr>
            <sz val="10"/>
            <color indexed="81"/>
            <rFont val="Arial"/>
            <family val="2"/>
          </rPr>
          <t>noteer de tijd en bereken de gemiddelde snelheid per letter door het aantal seconden te delen door 50 (aantal items)
bijv: 
3 min en 20 sec = (3x60)+20 = 200 seconden / 50 = 4 seconden per item</t>
        </r>
      </text>
    </comment>
    <comment ref="I9" authorId="0" shapeId="0" xr:uid="{C3DEC415-41F2-43DC-8A48-1B7DB7C94DE3}">
      <text>
        <r>
          <rPr>
            <sz val="10"/>
            <color indexed="81"/>
            <rFont val="Arial"/>
            <family val="2"/>
          </rPr>
          <t>noteer de tijd en bereken de gemiddelde snelheid per cijfer door het aantal seconden te delen door 50 (aantal items)
bijv: 
3 min en 20 sec = (3x60)+20 = 200 seconden / 50 = 4 seconden per item</t>
        </r>
      </text>
    </comment>
    <comment ref="J9" authorId="0" shapeId="0" xr:uid="{CE1D0955-0677-4776-A7AD-424FC22789D5}">
      <text>
        <r>
          <rPr>
            <sz val="10"/>
            <color indexed="81"/>
            <rFont val="Arial"/>
            <family val="2"/>
          </rPr>
          <t>noteer de tijd en bereken de gemiddelde snelheid per plaatje door het aantal seconden te delen door 50 (aantal items)
bijv: 
3 min en 20 sec = (3x60)+20 = 200 seconden / 50 = 4 seconden per item</t>
        </r>
      </text>
    </comment>
    <comment ref="K9" authorId="0" shapeId="0" xr:uid="{31B73114-8979-4C08-8AA7-BB1609B2A981}">
      <text>
        <r>
          <rPr>
            <sz val="10"/>
            <color indexed="81"/>
            <rFont val="Arial"/>
            <family val="2"/>
          </rPr>
          <t>noteer de tijd en bereken de gemiddelde snelheid per kleur door het aantal seconden te delen door 50 (aantal items)
bijv: 
3 min en 20 sec = (3x60)+20 = 200 seconden / 50 = 4 seconden per 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Harrie Meinen | De Kardoen</author>
    <author>School</author>
    <author>Meinen</author>
  </authors>
  <commentList>
    <comment ref="J4" authorId="0" shapeId="0" xr:uid="{AEA93AA7-9E80-4171-BB6A-BFF0788B6081}">
      <text>
        <r>
          <rPr>
            <b/>
            <sz val="10"/>
            <color indexed="81"/>
            <rFont val="Arial"/>
            <family val="2"/>
          </rPr>
          <t>EMT - Brus 2019
                                percentiel
1 = zeer goed                &gt;= 91     = A+
2 = goed                        = 75-90  = A-
3 = gemiddeld                = 25-74  = C+B
4 = laag gemiddeld         = 17-24  = D+
5 = beneden gemiddeld  = 11-16  = D-
6 = zwak                        = 4-10    = E+
7 = zeer zwak                &lt;= 3       = E-</t>
        </r>
        <r>
          <rPr>
            <sz val="10"/>
            <color indexed="81"/>
            <rFont val="Arial"/>
            <family val="2"/>
          </rPr>
          <t xml:space="preserve">            </t>
        </r>
      </text>
    </comment>
    <comment ref="L4" authorId="1" shapeId="0" xr:uid="{00000000-0006-0000-2300-000002000000}">
      <text>
        <r>
          <rPr>
            <sz val="10"/>
            <color indexed="81"/>
            <rFont val="Arial"/>
            <family val="2"/>
          </rPr>
          <t>Hier kunt u zelf een toets invoeren
Vul in: scores / leerrendement / niveauwaarde</t>
        </r>
      </text>
    </comment>
    <comment ref="O26" authorId="2" shapeId="0" xr:uid="{00000000-0006-0000-2300-000003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Harrie Meinen | De Kardoen</author>
    <author>School</author>
    <author>Meinen</author>
  </authors>
  <commentList>
    <comment ref="J4" authorId="0" shapeId="0" xr:uid="{00000000-0006-0000-2400-000001000000}">
      <text>
        <r>
          <rPr>
            <b/>
            <sz val="10"/>
            <color indexed="81"/>
            <rFont val="Arial"/>
            <family val="2"/>
          </rPr>
          <t>EMT - Brus 2019
                                percentiel
1 = zeer goed                &gt;= 91     = A+
2 = goed                        = 75-90  = A-
3 = gemiddeld                = 25-74  = C+B
4 = laag gemiddeld         = 17-24  = D+
5 = beneden gemiddeld  = 11-16  = D-
6 = zwak                        = 4-10    = E+
7 = zeer zwak                &lt;= 3       = E-</t>
        </r>
        <r>
          <rPr>
            <sz val="10"/>
            <color indexed="81"/>
            <rFont val="Arial"/>
            <family val="2"/>
          </rPr>
          <t xml:space="preserve">            </t>
        </r>
      </text>
    </comment>
    <comment ref="L4" authorId="1" shapeId="0" xr:uid="{00000000-0006-0000-2400-000002000000}">
      <text>
        <r>
          <rPr>
            <sz val="10"/>
            <color indexed="81"/>
            <rFont val="Arial"/>
            <family val="2"/>
          </rPr>
          <t>Hier kunt u zelf een toets invoeren
Vul in: scores / leerrendement / niveauwaarde</t>
        </r>
      </text>
    </comment>
    <comment ref="O26" authorId="2" shapeId="0" xr:uid="{00000000-0006-0000-2400-000003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500-000001000000}">
      <text>
        <r>
          <rPr>
            <sz val="10"/>
            <color indexed="81"/>
            <rFont val="Arial"/>
            <family val="2"/>
          </rPr>
          <t>Hier kunt u zelf een toets invoeren
Vul in: scores / leerrendement / niveauwaarde</t>
        </r>
      </text>
    </comment>
    <comment ref="O26" authorId="1" shapeId="0" xr:uid="{00000000-0006-0000-25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600-000001000000}">
      <text>
        <r>
          <rPr>
            <sz val="10"/>
            <color indexed="81"/>
            <rFont val="Arial"/>
            <family val="2"/>
          </rPr>
          <t>Hier kunt u zelf een toets invoeren
Vul in: scores / leerrendement / niveauwaarde</t>
        </r>
      </text>
    </comment>
    <comment ref="O26" authorId="1" shapeId="0" xr:uid="{00000000-0006-0000-26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700-000001000000}">
      <text>
        <r>
          <rPr>
            <sz val="10"/>
            <color indexed="81"/>
            <rFont val="Arial"/>
            <family val="2"/>
          </rPr>
          <t>Hier kunt u zelf een toets invoeren
Vul in: scores / leerrendement / niveauwaarde</t>
        </r>
      </text>
    </comment>
    <comment ref="O26" authorId="1" shapeId="0" xr:uid="{00000000-0006-0000-27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800-000001000000}">
      <text>
        <r>
          <rPr>
            <sz val="10"/>
            <color indexed="81"/>
            <rFont val="Arial"/>
            <family val="2"/>
          </rPr>
          <t>Hier kunt u zelf een toets invoeren
Vul in: scores / leerrendement / niveauwaarde</t>
        </r>
      </text>
    </comment>
    <comment ref="O26" authorId="1" shapeId="0" xr:uid="{00000000-0006-0000-28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219B9B-D034-4B6C-ACCF-14AD18273710}" keepAlive="1" name="ThisWorkbookDataModel" description="Gegevens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69B6E001-FCB5-4AC6-8BAF-02DDD1A6B586}" name="WorksheetConnection_ONTW.PERSPECTIEF!$I$53:$U$54" type="102" refreshedVersion="7" minRefreshableVersion="5">
    <extLst>
      <ext xmlns:x15="http://schemas.microsoft.com/office/spreadsheetml/2010/11/main" uri="{DE250136-89BD-433C-8126-D09CA5730AF9}">
        <x15:connection id="Bereik">
          <x15:rangePr sourceName="_xlcn.WorksheetConnection_ONTW.PERSPECTIEFI53U54"/>
        </x15:connection>
      </ext>
    </extLst>
  </connection>
</connections>
</file>

<file path=xl/sharedStrings.xml><?xml version="1.0" encoding="utf-8"?>
<sst xmlns="http://schemas.openxmlformats.org/spreadsheetml/2006/main" count="1794" uniqueCount="591">
  <si>
    <t>informatie bij AANLEG</t>
  </si>
  <si>
    <r>
      <t xml:space="preserve">Zo voer je de </t>
    </r>
    <r>
      <rPr>
        <b/>
        <u/>
        <sz val="16"/>
        <color rgb="FFFF0000"/>
        <rFont val="Arial"/>
        <family val="2"/>
      </rPr>
      <t>niveauwaarden</t>
    </r>
    <r>
      <rPr>
        <b/>
        <sz val="16"/>
        <color rgb="FFFF0000"/>
        <rFont val="Arial"/>
        <family val="2"/>
      </rPr>
      <t xml:space="preserve"> van ParnasSys in het Groepsplan</t>
    </r>
  </si>
  <si>
    <t xml:space="preserve">Stap 1: ParnasSys </t>
  </si>
  <si>
    <r>
      <t>1.</t>
    </r>
    <r>
      <rPr>
        <sz val="7"/>
        <rFont val="Times New Roman"/>
        <family val="1"/>
      </rPr>
      <t xml:space="preserve">       </t>
    </r>
    <r>
      <rPr>
        <sz val="11"/>
        <rFont val="Calibri"/>
        <family val="2"/>
      </rPr>
      <t xml:space="preserve">Log in op de site van </t>
    </r>
    <r>
      <rPr>
        <b/>
        <u/>
        <sz val="11"/>
        <rFont val="Calibri"/>
        <family val="2"/>
      </rPr>
      <t>ParnasSys</t>
    </r>
  </si>
  <si>
    <r>
      <t>2.</t>
    </r>
    <r>
      <rPr>
        <sz val="7"/>
        <rFont val="Times New Roman"/>
        <family val="1"/>
      </rPr>
      <t xml:space="preserve">       </t>
    </r>
    <r>
      <rPr>
        <sz val="11"/>
        <rFont val="Calibri"/>
        <family val="2"/>
      </rPr>
      <t xml:space="preserve">Ga naar de </t>
    </r>
    <r>
      <rPr>
        <b/>
        <u/>
        <sz val="11"/>
        <rFont val="Calibri"/>
        <family val="2"/>
      </rPr>
      <t>Groep</t>
    </r>
    <r>
      <rPr>
        <sz val="11"/>
        <rFont val="Calibri"/>
        <family val="2"/>
      </rPr>
      <t xml:space="preserve"> - daarna naar </t>
    </r>
    <r>
      <rPr>
        <b/>
        <u/>
        <sz val="11"/>
        <rFont val="Calibri"/>
        <family val="2"/>
      </rPr>
      <t>Groepskaart</t>
    </r>
  </si>
  <si>
    <r>
      <t>3.</t>
    </r>
    <r>
      <rPr>
        <sz val="7"/>
        <rFont val="Times New Roman"/>
        <family val="1"/>
      </rPr>
      <t xml:space="preserve">       </t>
    </r>
    <r>
      <rPr>
        <sz val="11"/>
        <rFont val="Calibri"/>
        <family val="2"/>
      </rPr>
      <t>Zorg dat de Niet-methodetoetsen (rolvenster) op Niveauwaarde – Recent staat (zie hieronder)</t>
    </r>
  </si>
  <si>
    <t xml:space="preserve">                           </t>
  </si>
  <si>
    <r>
      <t xml:space="preserve">             4.</t>
    </r>
    <r>
      <rPr>
        <sz val="7"/>
        <rFont val="Times New Roman"/>
        <family val="1"/>
      </rPr>
      <t xml:space="preserve">         </t>
    </r>
    <r>
      <rPr>
        <b/>
        <u/>
        <sz val="11"/>
        <rFont val="Calibri"/>
        <family val="2"/>
      </rPr>
      <t xml:space="preserve">Selecteer </t>
    </r>
    <r>
      <rPr>
        <sz val="11"/>
        <rFont val="Calibri"/>
        <family val="2"/>
      </rPr>
      <t xml:space="preserve">(met linker muisknop ingedrukt van linksboven naar rechtsonder over het blad bewegen) </t>
    </r>
    <r>
      <rPr>
        <b/>
        <u/>
        <sz val="11"/>
        <rFont val="Calibri"/>
        <family val="2"/>
      </rPr>
      <t>+ KOPIEER</t>
    </r>
    <r>
      <rPr>
        <sz val="11"/>
        <rFont val="Calibri"/>
        <family val="2"/>
      </rPr>
      <t xml:space="preserve"> de niveauwaarden (rechter muisknop)</t>
    </r>
  </si>
  <si>
    <t xml:space="preserve">                                           </t>
  </si>
  <si>
    <t>Stap 2: Excel</t>
  </si>
  <si>
    <r>
      <t>1.</t>
    </r>
    <r>
      <rPr>
        <sz val="7"/>
        <rFont val="Times New Roman"/>
        <family val="1"/>
      </rPr>
      <t xml:space="preserve">       </t>
    </r>
    <r>
      <rPr>
        <sz val="11"/>
        <rFont val="Calibri"/>
        <family val="2"/>
      </rPr>
      <t xml:space="preserve">Open een NIEUW </t>
    </r>
    <r>
      <rPr>
        <b/>
        <u/>
        <sz val="11"/>
        <rFont val="Calibri"/>
        <family val="2"/>
      </rPr>
      <t>Excel-sheet</t>
    </r>
  </si>
  <si>
    <r>
      <t>2.</t>
    </r>
    <r>
      <rPr>
        <sz val="7"/>
        <rFont val="Times New Roman"/>
        <family val="1"/>
      </rPr>
      <t xml:space="preserve">       </t>
    </r>
    <r>
      <rPr>
        <b/>
        <u/>
        <sz val="11"/>
        <rFont val="Calibri"/>
        <family val="2"/>
      </rPr>
      <t>Plak</t>
    </r>
    <r>
      <rPr>
        <sz val="11"/>
        <rFont val="Calibri"/>
        <family val="2"/>
      </rPr>
      <t xml:space="preserve"> de niveauwaarden in het excel-sheet (Selectie </t>
    </r>
    <r>
      <rPr>
        <b/>
        <u/>
        <sz val="11"/>
        <rFont val="Calibri"/>
        <family val="2"/>
      </rPr>
      <t>NIET</t>
    </r>
    <r>
      <rPr>
        <sz val="11"/>
        <rFont val="Calibri"/>
        <family val="2"/>
      </rPr>
      <t xml:space="preserve"> ongedaan maken)</t>
    </r>
  </si>
  <si>
    <r>
      <t>3.</t>
    </r>
    <r>
      <rPr>
        <sz val="7"/>
        <rFont val="Times New Roman"/>
        <family val="1"/>
      </rPr>
      <t xml:space="preserve">       </t>
    </r>
    <r>
      <rPr>
        <sz val="11"/>
        <rFont val="Calibri"/>
        <family val="2"/>
      </rPr>
      <t>Maak de getallen zwart (tekst – Automatisch)</t>
    </r>
  </si>
  <si>
    <t xml:space="preserve">                                          </t>
  </si>
  <si>
    <r>
      <t xml:space="preserve">               4.</t>
    </r>
    <r>
      <rPr>
        <sz val="7"/>
        <rFont val="Times New Roman"/>
        <family val="1"/>
      </rPr>
      <t xml:space="preserve">         </t>
    </r>
    <r>
      <rPr>
        <sz val="11"/>
        <rFont val="Calibri"/>
        <family val="2"/>
      </rPr>
      <t xml:space="preserve">Maak de </t>
    </r>
    <r>
      <rPr>
        <b/>
        <u/>
        <sz val="11"/>
        <rFont val="Calibri"/>
        <family val="2"/>
      </rPr>
      <t>randen</t>
    </r>
    <r>
      <rPr>
        <sz val="11"/>
        <rFont val="Calibri"/>
        <family val="2"/>
      </rPr>
      <t xml:space="preserve"> zwart (Alle randen)</t>
    </r>
  </si>
  <si>
    <t xml:space="preserve">                                             </t>
  </si>
  <si>
    <r>
      <t>5.</t>
    </r>
    <r>
      <rPr>
        <sz val="7"/>
        <rFont val="Times New Roman"/>
        <family val="1"/>
      </rPr>
      <t xml:space="preserve">         </t>
    </r>
    <r>
      <rPr>
        <b/>
        <u/>
        <sz val="11"/>
        <rFont val="Calibri"/>
        <family val="2"/>
      </rPr>
      <t>Eventueel</t>
    </r>
    <r>
      <rPr>
        <sz val="11"/>
        <rFont val="Calibri"/>
        <family val="2"/>
      </rPr>
      <t xml:space="preserve"> via Celeigenschappen (= klik op de rechtermuisknop) één cijfer achter de komma</t>
    </r>
  </si>
  <si>
    <r>
      <t>6.</t>
    </r>
    <r>
      <rPr>
        <sz val="7"/>
        <rFont val="Times New Roman"/>
        <family val="1"/>
      </rPr>
      <t xml:space="preserve">         </t>
    </r>
    <r>
      <rPr>
        <sz val="11"/>
        <rFont val="Calibri"/>
        <family val="2"/>
      </rPr>
      <t>Selecteer + kopieer een kolom (niveauwaarden) van het excel sheet</t>
    </r>
  </si>
  <si>
    <t>Stap 3: Groepsplan</t>
  </si>
  <si>
    <r>
      <t>1.</t>
    </r>
    <r>
      <rPr>
        <sz val="7"/>
        <rFont val="Times New Roman"/>
        <family val="1"/>
      </rPr>
      <t xml:space="preserve">       </t>
    </r>
    <r>
      <rPr>
        <sz val="11"/>
        <rFont val="Calibri"/>
        <family val="2"/>
      </rPr>
      <t xml:space="preserve">Open </t>
    </r>
    <r>
      <rPr>
        <b/>
        <u/>
        <sz val="11"/>
        <rFont val="Calibri"/>
        <family val="2"/>
      </rPr>
      <t>Groepsplan</t>
    </r>
  </si>
  <si>
    <r>
      <t>2.</t>
    </r>
    <r>
      <rPr>
        <sz val="7"/>
        <rFont val="Times New Roman"/>
        <family val="1"/>
      </rPr>
      <t xml:space="preserve">       </t>
    </r>
    <r>
      <rPr>
        <sz val="11"/>
        <rFont val="Calibri"/>
        <family val="2"/>
      </rPr>
      <t>Ga naar het tabblad NIVEAU WAARDE</t>
    </r>
  </si>
  <si>
    <r>
      <t>3.</t>
    </r>
    <r>
      <rPr>
        <sz val="7"/>
        <rFont val="Times New Roman"/>
        <family val="1"/>
      </rPr>
      <t xml:space="preserve">       </t>
    </r>
    <r>
      <rPr>
        <sz val="11"/>
        <rFont val="Calibri"/>
        <family val="2"/>
      </rPr>
      <t>Plak (rechter muisknop) de geselecteerde kolom (zie blz.3) in de kolom van Groepsplan</t>
    </r>
  </si>
  <si>
    <r>
      <t xml:space="preserve">               4.</t>
    </r>
    <r>
      <rPr>
        <sz val="7"/>
        <rFont val="Times New Roman"/>
        <family val="1"/>
      </rPr>
      <t xml:space="preserve">         </t>
    </r>
    <r>
      <rPr>
        <sz val="11"/>
        <rFont val="Calibri"/>
        <family val="2"/>
      </rPr>
      <t>Zo alle scores per kolom invoeren</t>
    </r>
  </si>
  <si>
    <t>Handige Stap: 2 schermen naast elkaar</t>
  </si>
  <si>
    <t>1.     Het is best handig om met 2 schermen naast elkaar te werken:</t>
  </si>
  <si>
    <t xml:space="preserve">        2.     Links = de kolommen met scores / Rechts = het Groepsplan</t>
  </si>
  <si>
    <t xml:space="preserve">        3.     Klik op het bestand + druk op de windows-knop + pijltjestoets (naar links of rechts)</t>
  </si>
  <si>
    <t>Informatie bij OPO (Opbrengstgericht Passend Onderwijs)</t>
  </si>
  <si>
    <t>informatie bij het PLAN PER VAK</t>
  </si>
  <si>
    <t>Informatie bij OPP ( = OntwikkelingsPersPectief)</t>
  </si>
  <si>
    <t>Informatie bij DL - DLE</t>
  </si>
  <si>
    <t>informatie bij BASISAANPAK</t>
  </si>
  <si>
    <t>informatie bij INTENSIEVE AANPAK en VERRIJKTE AANPAK</t>
  </si>
  <si>
    <t>informatie bij LijV - groepsoverzicht</t>
  </si>
  <si>
    <t>Informatie bij KINDGESPREK</t>
  </si>
  <si>
    <t>Informatie bij ADVIES VO</t>
  </si>
  <si>
    <t>Informatie bij SOCIAAL EMOTIONEEL</t>
  </si>
  <si>
    <t>Informatie bij REFERENTIENIVEAU</t>
  </si>
  <si>
    <t>ORGANISATIE VAN HET GROEPSPLAN</t>
  </si>
  <si>
    <t>START van het schooljaar:</t>
  </si>
  <si>
    <t>STAP 1: Voer de namen van de leerlingen in + geb.datum + groep + data van periode 1 en periode 2</t>
  </si>
  <si>
    <r>
      <t xml:space="preserve">STAP 2: Voer de niveauwaarden (laatste toetsperiode - afgelopen jaar) in via Groepskaart - ParnasSys </t>
    </r>
    <r>
      <rPr>
        <b/>
        <sz val="10"/>
        <color rgb="FFFF0000"/>
        <rFont val="Arial"/>
        <family val="2"/>
      </rPr>
      <t>&gt;&gt; rode knop</t>
    </r>
  </si>
  <si>
    <r>
      <t xml:space="preserve">STAP 3: Beschrijf: Basisaanpak - Intensieve aanpak - Verrijkte aanpak </t>
    </r>
    <r>
      <rPr>
        <b/>
        <sz val="10"/>
        <color rgb="FFFFC000"/>
        <rFont val="Arial"/>
        <family val="2"/>
      </rPr>
      <t>&gt;&gt; 3x oranje knoppen</t>
    </r>
  </si>
  <si>
    <t>Na de 1e toetsperiode (oktober)</t>
  </si>
  <si>
    <r>
      <t xml:space="preserve">STAP 1: Kijk naar de resultaten de 1e toetsperiode - wat zie je - wat denk je - wat doe je? </t>
    </r>
    <r>
      <rPr>
        <b/>
        <sz val="10"/>
        <color rgb="FF00FF00"/>
        <rFont val="Arial"/>
        <family val="2"/>
      </rPr>
      <t>&gt;&gt; 5x lichtgroene knoppen</t>
    </r>
  </si>
  <si>
    <r>
      <t xml:space="preserve">STAP 2: Stel bij (waar nodig): Basisaanpak - Intensieve aanpak - Verrijkte aanpak </t>
    </r>
    <r>
      <rPr>
        <b/>
        <sz val="10"/>
        <color rgb="FFFFC000"/>
        <rFont val="Arial"/>
        <family val="2"/>
      </rPr>
      <t>&gt;&gt; 3x oranje knoppen</t>
    </r>
  </si>
  <si>
    <t>tussen 1e en 2e toetsperiode (januari)</t>
  </si>
  <si>
    <t xml:space="preserve">STAP 1: Kijk naar de resultaten van de Methodetoetsen </t>
  </si>
  <si>
    <t>Na de 2e toetsperiode (april)</t>
  </si>
  <si>
    <r>
      <t xml:space="preserve">STAP 1: Kijk naar de resultaten de 2e toetsperiode - wat zie je - wat denk je - wat doe je? </t>
    </r>
    <r>
      <rPr>
        <b/>
        <sz val="10"/>
        <color rgb="FF00B050"/>
        <rFont val="Arial"/>
        <family val="2"/>
      </rPr>
      <t>&gt;&gt; 5x donkergroene knoppen</t>
    </r>
  </si>
  <si>
    <r>
      <t xml:space="preserve">STAP 2: Evalueer de 1e periode - wat zie je - wat denk je - wat doe je? </t>
    </r>
    <r>
      <rPr>
        <b/>
        <sz val="10"/>
        <color rgb="FF00FF00"/>
        <rFont val="Arial"/>
        <family val="2"/>
      </rPr>
      <t>&gt;&gt; 5x lichtgroene knoppen</t>
    </r>
  </si>
  <si>
    <r>
      <t xml:space="preserve">STAP 3: Stel bij (waar nodig): Basisaanpak - Intensieve aanpak - Verrijkte aanpak </t>
    </r>
    <r>
      <rPr>
        <b/>
        <sz val="10"/>
        <color theme="9" tint="-0.249977111117893"/>
        <rFont val="Arial"/>
        <family val="2"/>
      </rPr>
      <t>&gt;&gt; 3x bruine knoppen</t>
    </r>
  </si>
  <si>
    <r>
      <t xml:space="preserve">Onderaan de bladen van de kernvakken </t>
    </r>
    <r>
      <rPr>
        <b/>
        <u/>
        <sz val="10"/>
        <color rgb="FF00FF00"/>
        <rFont val="Arial"/>
        <family val="2"/>
      </rPr>
      <t>- periode 1 -</t>
    </r>
    <r>
      <rPr>
        <sz val="10"/>
        <color rgb="FF00FF00"/>
        <rFont val="Arial"/>
        <family val="2"/>
      </rPr>
      <t xml:space="preserve"> vind je de invoervakken voor de evaluatie</t>
    </r>
  </si>
  <si>
    <t>Voor de zomervakantie (juli)</t>
  </si>
  <si>
    <r>
      <t xml:space="preserve">STAP 2: Evalueer de 2e periode - wat zie je - wat denk je - wat doe je? </t>
    </r>
    <r>
      <rPr>
        <b/>
        <sz val="10"/>
        <color rgb="FF00B050"/>
        <rFont val="Arial"/>
        <family val="2"/>
      </rPr>
      <t>&gt;&gt; 5x donkergroene knoppen</t>
    </r>
  </si>
  <si>
    <r>
      <t xml:space="preserve">STAP 3: Zorg voor een </t>
    </r>
    <r>
      <rPr>
        <b/>
        <sz val="10"/>
        <color rgb="FFFF0000"/>
        <rFont val="Arial"/>
        <family val="2"/>
      </rPr>
      <t>warme overdracht</t>
    </r>
    <r>
      <rPr>
        <sz val="10"/>
        <rFont val="Arial"/>
        <family val="2"/>
      </rPr>
      <t xml:space="preserve"> naar de volgende groep</t>
    </r>
  </si>
  <si>
    <t>gem.</t>
  </si>
  <si>
    <t>GROEP</t>
  </si>
  <si>
    <t>Didactische
Leefijd (DL)</t>
  </si>
  <si>
    <t>NIVEAUWAARDE</t>
  </si>
  <si>
    <t>DL / DLE</t>
  </si>
  <si>
    <t xml:space="preserve">datum: </t>
  </si>
  <si>
    <t>groep</t>
  </si>
  <si>
    <t>namen leerlingen:</t>
  </si>
  <si>
    <t>technisch lezen</t>
  </si>
  <si>
    <t>spelling</t>
  </si>
  <si>
    <t>begrijpend lezen</t>
  </si>
  <si>
    <t>rekenen &amp; wiskunde</t>
  </si>
  <si>
    <t>hoofdrekenen</t>
  </si>
  <si>
    <t>totaal</t>
  </si>
  <si>
    <t>aantal toetsen</t>
  </si>
  <si>
    <t>Gemiddeld</t>
  </si>
  <si>
    <t>Niveau</t>
  </si>
  <si>
    <t>TAAL</t>
  </si>
  <si>
    <t>REKENEN</t>
  </si>
  <si>
    <t>Gem. leerrendement</t>
  </si>
  <si>
    <t>1F</t>
  </si>
  <si>
    <t>&lt;1F</t>
  </si>
  <si>
    <t>2F/1S</t>
  </si>
  <si>
    <t>1F+2F</t>
  </si>
  <si>
    <t>grootste 25%</t>
  </si>
  <si>
    <t>kleinste 75%</t>
  </si>
  <si>
    <t>2F</t>
  </si>
  <si>
    <t>1S</t>
  </si>
  <si>
    <t>aantal</t>
  </si>
  <si>
    <t>totaal:</t>
  </si>
  <si>
    <t>B6</t>
  </si>
  <si>
    <t>schooljaar</t>
  </si>
  <si>
    <t>M6</t>
  </si>
  <si>
    <t>B7</t>
  </si>
  <si>
    <t>schoolweging</t>
  </si>
  <si>
    <t>M7</t>
  </si>
  <si>
    <t>B8</t>
  </si>
  <si>
    <t>1F scores</t>
  </si>
  <si>
    <t>M8</t>
  </si>
  <si>
    <t>signaal 1F</t>
  </si>
  <si>
    <t>E8</t>
  </si>
  <si>
    <t>landelijk 1F</t>
  </si>
  <si>
    <t>2F / 1S scores</t>
  </si>
  <si>
    <t>signaal 2F/1S</t>
  </si>
  <si>
    <t>landelijk 2F/1S</t>
  </si>
  <si>
    <t>Referentieniveau - vorige jaar</t>
  </si>
  <si>
    <t>Referentieniveau - 1e toets</t>
  </si>
  <si>
    <t>Referentieniveau - 2e toets</t>
  </si>
  <si>
    <t>Referentieniveau - Eindtoets</t>
  </si>
  <si>
    <t>vakgebied</t>
  </si>
  <si>
    <t>score</t>
  </si>
  <si>
    <t>1F - LEZEN</t>
  </si>
  <si>
    <t>2F - LEZEN</t>
  </si>
  <si>
    <t>1F - TAAL</t>
  </si>
  <si>
    <t>2F - TAAL</t>
  </si>
  <si>
    <t>1F - REKENEN</t>
  </si>
  <si>
    <t>1S - REKENEN</t>
  </si>
  <si>
    <t>2F - REKENEN</t>
  </si>
  <si>
    <t>Schoolweging</t>
  </si>
  <si>
    <t>Signaleringswaarde</t>
  </si>
  <si>
    <t>LG 1S/2F</t>
  </si>
  <si>
    <t>LG 1F</t>
  </si>
  <si>
    <t xml:space="preserve">namen </t>
  </si>
  <si>
    <t xml:space="preserve">groep </t>
  </si>
  <si>
    <t>TL - vorig jaar</t>
  </si>
  <si>
    <t>volgende periode</t>
  </si>
  <si>
    <t>SP - vorig jaar</t>
  </si>
  <si>
    <t>BL - vorig jaar</t>
  </si>
  <si>
    <t>R&amp;W - vorig jaar</t>
  </si>
  <si>
    <t>HR - vorig jaar</t>
  </si>
  <si>
    <t>gemiddeld</t>
  </si>
  <si>
    <t>IK KAN</t>
  </si>
  <si>
    <t>Hier ben ik trots op</t>
  </si>
  <si>
    <t>DOEL</t>
  </si>
  <si>
    <t>Dit wil ik leren</t>
  </si>
  <si>
    <t>HOE</t>
  </si>
  <si>
    <t>Zo ga ik dat doen</t>
  </si>
  <si>
    <t>NODIG</t>
  </si>
  <si>
    <t>Dit heb ik nodig</t>
  </si>
  <si>
    <t>EVALUATIE</t>
  </si>
  <si>
    <t>datum:
Ik heb mijn doel wel / niet bereikt, want</t>
  </si>
  <si>
    <t>Technisch lezen</t>
  </si>
  <si>
    <t>Spellen</t>
  </si>
  <si>
    <t>Begrijpend lezen</t>
  </si>
  <si>
    <t>Rekenen</t>
  </si>
  <si>
    <t>TL - 1e periode</t>
  </si>
  <si>
    <t>SP - 1e periode</t>
  </si>
  <si>
    <t>BL - 1e periode</t>
  </si>
  <si>
    <t>R&amp;W - 1e periode</t>
  </si>
  <si>
    <t>HR - 1e periode</t>
  </si>
  <si>
    <t>TL - 2e periode</t>
  </si>
  <si>
    <t>SP - 2e periode</t>
  </si>
  <si>
    <t>BL - 2e periode</t>
  </si>
  <si>
    <t>R&amp;W - 2e periode</t>
  </si>
  <si>
    <t>HR - 2e periode</t>
  </si>
  <si>
    <t>LEERLING:</t>
  </si>
  <si>
    <t>schooladvies groep 8</t>
  </si>
  <si>
    <t>gemiddelde-LVS</t>
  </si>
  <si>
    <t>aanleg</t>
  </si>
  <si>
    <t>Betrokkenheid - LijV</t>
  </si>
  <si>
    <t>Groepsbespreking</t>
  </si>
  <si>
    <t>gemiddelde-DLE</t>
  </si>
  <si>
    <t>vorig jaar</t>
  </si>
  <si>
    <t>1e toetsperiode</t>
  </si>
  <si>
    <t>2e toetsperiode</t>
  </si>
  <si>
    <t>OPO</t>
  </si>
  <si>
    <t>onder</t>
  </si>
  <si>
    <t>75% van de leerlingen</t>
  </si>
  <si>
    <t>25% van de leerlingen</t>
  </si>
  <si>
    <t>nivauwaarde o.b.v. schoolweging</t>
  </si>
  <si>
    <t>onderlijn</t>
  </si>
  <si>
    <t>bovenlijn</t>
  </si>
  <si>
    <t>TL</t>
  </si>
  <si>
    <t>SP</t>
  </si>
  <si>
    <t>BL</t>
  </si>
  <si>
    <t>RW</t>
  </si>
  <si>
    <t>HR</t>
  </si>
  <si>
    <t>PRO</t>
  </si>
  <si>
    <t>BBL</t>
  </si>
  <si>
    <t>KBL</t>
  </si>
  <si>
    <t>GTL</t>
  </si>
  <si>
    <t>HAVO</t>
  </si>
  <si>
    <t>VWO</t>
  </si>
  <si>
    <t>1e periode</t>
  </si>
  <si>
    <t>2e periode</t>
  </si>
  <si>
    <t>Vakken</t>
  </si>
  <si>
    <t>spellen</t>
  </si>
  <si>
    <t>rekenen</t>
  </si>
  <si>
    <t xml:space="preserve">4 = </t>
  </si>
  <si>
    <t>makkie</t>
  </si>
  <si>
    <t xml:space="preserve">3 = </t>
  </si>
  <si>
    <t>voldoende gemotiveerd</t>
  </si>
  <si>
    <t xml:space="preserve">2 = </t>
  </si>
  <si>
    <t>moeilijk / stress</t>
  </si>
  <si>
    <t xml:space="preserve">1 = </t>
  </si>
  <si>
    <t>weinig gemotiveerd</t>
  </si>
  <si>
    <t>totaal %</t>
  </si>
  <si>
    <t>valkuil</t>
  </si>
  <si>
    <t>actie</t>
  </si>
  <si>
    <t>achterover leunen</t>
  </si>
  <si>
    <t>(kind)
gesprek</t>
  </si>
  <si>
    <t>evenwicht behouden</t>
  </si>
  <si>
    <t>nog harder werken</t>
  </si>
  <si>
    <t>afhaken</t>
  </si>
  <si>
    <t>TOETSAFSPRAKEN</t>
  </si>
  <si>
    <t>toetsafspraken</t>
  </si>
  <si>
    <t>NOTITIES</t>
  </si>
  <si>
    <t>notities</t>
  </si>
  <si>
    <t>1e periode - INTENSIEVE AANPAK = LAAGSTE 10%</t>
  </si>
  <si>
    <t>TECHNISCH LEZEN - klik hier</t>
  </si>
  <si>
    <t>BEGRIJPEND LEZEN - klik hier</t>
  </si>
  <si>
    <t>HOOFDREKENEN - klik hier</t>
  </si>
  <si>
    <t>doel</t>
  </si>
  <si>
    <t>AVI niveau moet minimaal één niveau omhoog
Leesplezier bevorderen
Leessnelheid + intonatie opvoeren</t>
  </si>
  <si>
    <t>wat?</t>
  </si>
  <si>
    <t>SPELLEN - klik hier</t>
  </si>
  <si>
    <t>REKENEN &amp; WISKUNDE - klik hier</t>
  </si>
  <si>
    <t>Methodetoetsen moeten voldoende scoren
Niet methodetoetsen minimaal B niveau
cijferend rekenen moet voldoende zijn</t>
  </si>
  <si>
    <t xml:space="preserve"> </t>
  </si>
  <si>
    <t>2e periode - INTENSIEVE AANPAK = LAAGSTE 10%</t>
  </si>
  <si>
    <t>TECHNISCH LEZEN - 2e periode - klik hier</t>
  </si>
  <si>
    <t>BEGRIJPEND LEZEN - 2e periode - klik hier</t>
  </si>
  <si>
    <t>OPMERKING:</t>
  </si>
  <si>
    <r>
      <rPr>
        <b/>
        <u/>
        <sz val="10"/>
        <color rgb="FFFF0000"/>
        <rFont val="Arial"/>
        <family val="2"/>
      </rPr>
      <t>Kopieer</t>
    </r>
    <r>
      <rPr>
        <sz val="10"/>
        <rFont val="Arial"/>
        <family val="2"/>
      </rPr>
      <t xml:space="preserve"> eerst de tekst uit de gele vakken van de vorige periode</t>
    </r>
  </si>
  <si>
    <r>
      <rPr>
        <b/>
        <u/>
        <sz val="10"/>
        <color rgb="FFFF0000"/>
        <rFont val="Arial"/>
        <family val="2"/>
      </rPr>
      <t>Plak</t>
    </r>
    <r>
      <rPr>
        <sz val="10"/>
        <rFont val="Arial"/>
        <family val="2"/>
      </rPr>
      <t xml:space="preserve"> vervolgens die tekst in de vakken van de 2e periode. Pas daarna de tekst aan</t>
    </r>
  </si>
  <si>
    <t>1e periode - BASISAANPAK - MIDDENMOOT</t>
  </si>
  <si>
    <t>Niveau van begrijpend lezen: middenmoot meer A-B scores (laatstse Boom-toets: Groep 6 : 2xA, Groep 7: 1x A, Groep 8: 1x A)
motivatie bevorderen door korte en aansprekende teksten</t>
  </si>
  <si>
    <t>niveau DLE-rekenen moet voldoende scoren (C-niveau = onvoldoende)</t>
  </si>
  <si>
    <t>Niet methodetoetsen minimaal B niveau
Methodetoetsen voldoende scoren</t>
  </si>
  <si>
    <t>Alle kinderen rekenen op basis.
Alle kinderen die in basisaanpak zitten moeten in 2 ster-aanpak blijven.
We toetsen de kinderen vooraf om van te voren te weten waar we dat blok extra op moeten inzetten en waar juist minder inoefening nodig is.</t>
  </si>
  <si>
    <t>2e periode - BASISAANPAK - MIDDENMOOT</t>
  </si>
  <si>
    <t>2e periode - TECHNISCH LEZEN - klik hier</t>
  </si>
  <si>
    <t>2e periode - BEGRIJPEND LEZEN - klik hier</t>
  </si>
  <si>
    <t>1e periode - VERRIJKTE AANPAK = HOOGSTE 10%</t>
  </si>
  <si>
    <t>1e periode - TECHNISCH LEZEN - klik hier</t>
  </si>
  <si>
    <t>1e periode - BEGRIJPEND LEZEN - klik hier</t>
  </si>
  <si>
    <t xml:space="preserve"> - gemotiveerd blijven
 - eigen initiatief ontwikkelen = zelf verantwoordelijk zijn
 - leren plannen</t>
  </si>
  <si>
    <t>Alle kinderen van groep 6/7/8 helpen op maandag en woensdag met groep 3  en 5 met lezen. Dinsdag, donderdag en vrijdag lezen ze voor zichzelf.</t>
  </si>
  <si>
    <t>G</t>
  </si>
  <si>
    <t>2e periode - VERRIJKTE AANPAK = HOOGSTE 10%</t>
  </si>
  <si>
    <t>1e  periode</t>
  </si>
  <si>
    <t>geb.datum</t>
  </si>
  <si>
    <t>jaar</t>
  </si>
  <si>
    <t>maand</t>
  </si>
  <si>
    <t>aug.</t>
  </si>
  <si>
    <t>apr.</t>
  </si>
  <si>
    <t>mei.</t>
  </si>
  <si>
    <t>sep.</t>
  </si>
  <si>
    <t>opmerking</t>
  </si>
  <si>
    <t>Uiteindelijke beslissing over aanlegniveau</t>
  </si>
  <si>
    <t>Inschatting leerkracht</t>
  </si>
  <si>
    <t>NSCCT groep 4</t>
  </si>
  <si>
    <t>totaal
score</t>
  </si>
  <si>
    <t>NSCCT groep 6</t>
  </si>
  <si>
    <t>NIO</t>
  </si>
  <si>
    <t>WISC-V</t>
  </si>
  <si>
    <t>goed</t>
  </si>
  <si>
    <t>beneden gemiddeld</t>
  </si>
  <si>
    <t>gemiddeld:</t>
  </si>
  <si>
    <t>datum</t>
  </si>
  <si>
    <t>Sociaal en emotioneel</t>
  </si>
  <si>
    <t xml:space="preserve"> DIAGNOSE?</t>
  </si>
  <si>
    <t>Sociogram
1e keer</t>
  </si>
  <si>
    <t>Sociogram
2e keer</t>
  </si>
  <si>
    <t>LijV 4-5
1e keer</t>
  </si>
  <si>
    <t>LijV 4-5
2e keer</t>
  </si>
  <si>
    <t>klassenzorgscore:</t>
  </si>
  <si>
    <t>Kanjerlijst 1e keer</t>
  </si>
  <si>
    <t>Kanjerlijst 2e keer</t>
  </si>
  <si>
    <t xml:space="preserve"> veel gekozen</t>
  </si>
  <si>
    <t xml:space="preserve"> weinig gekozen</t>
  </si>
  <si>
    <t xml:space="preserve"> Opvallende score?</t>
  </si>
  <si>
    <t xml:space="preserve"> Handelen?</t>
  </si>
  <si>
    <t xml:space="preserve"> Negatieve intenties = zwart</t>
  </si>
  <si>
    <t xml:space="preserve"> Ongelukkig - somber = geel</t>
  </si>
  <si>
    <t xml:space="preserve"> Onrustig - verstorend = rood</t>
  </si>
  <si>
    <t xml:space="preserve"> Hulpvaardig - sociaal = wit</t>
  </si>
  <si>
    <t>Intensief</t>
  </si>
  <si>
    <t>aanbod</t>
  </si>
  <si>
    <t>Verrijkt</t>
  </si>
  <si>
    <t>dag</t>
  </si>
  <si>
    <t>tijd</t>
  </si>
  <si>
    <t>evaluatie</t>
  </si>
  <si>
    <t>maandag</t>
  </si>
  <si>
    <t>dinsdag</t>
  </si>
  <si>
    <t>woensdag</t>
  </si>
  <si>
    <t>donderdag</t>
  </si>
  <si>
    <t>vrijdag</t>
  </si>
  <si>
    <t>A+</t>
  </si>
  <si>
    <t>A</t>
  </si>
  <si>
    <t>B</t>
  </si>
  <si>
    <t>C</t>
  </si>
  <si>
    <t>C-</t>
  </si>
  <si>
    <t>D</t>
  </si>
  <si>
    <t>E</t>
  </si>
  <si>
    <t>© Harrie Meinen M SEN</t>
  </si>
  <si>
    <t>Namen</t>
  </si>
  <si>
    <t>Groep 7</t>
  </si>
  <si>
    <t>Groep 8</t>
  </si>
  <si>
    <t xml:space="preserve"> - X -  voor het hoogste niveau</t>
  </si>
  <si>
    <t>Definitief</t>
  </si>
  <si>
    <t>Lezen</t>
  </si>
  <si>
    <t>Taalverzorging</t>
  </si>
  <si>
    <t>school-advies 
NIO</t>
  </si>
  <si>
    <r>
      <rPr>
        <b/>
        <sz val="12"/>
        <color rgb="FFFF0000"/>
        <rFont val="Arial"/>
        <family val="2"/>
      </rPr>
      <t>VOORLOPIG</t>
    </r>
    <r>
      <rPr>
        <sz val="10"/>
        <rFont val="Arial"/>
        <family val="2"/>
      </rPr>
      <t xml:space="preserve"> 
school-advies groep 7</t>
    </r>
  </si>
  <si>
    <t>score CITO</t>
  </si>
  <si>
    <t>score IEP</t>
  </si>
  <si>
    <t xml:space="preserve"> school-advies 
groep 8</t>
  </si>
  <si>
    <t xml:space="preserve"> score CITO</t>
  </si>
  <si>
    <t xml:space="preserve"> score IEP</t>
  </si>
  <si>
    <t xml:space="preserve"> definitief?</t>
  </si>
  <si>
    <t xml:space="preserve"> Eindtoets CITO</t>
  </si>
  <si>
    <t xml:space="preserve"> Eindtoets IEP</t>
  </si>
  <si>
    <t xml:space="preserve"> school-advies CITO</t>
  </si>
  <si>
    <t xml:space="preserve"> school-advies IEP</t>
  </si>
  <si>
    <t xml:space="preserve"> &lt; 1F</t>
  </si>
  <si>
    <t xml:space="preserve"> 1F</t>
  </si>
  <si>
    <t xml:space="preserve"> 2F</t>
  </si>
  <si>
    <t xml:space="preserve"> 1S</t>
  </si>
  <si>
    <r>
      <t xml:space="preserve"> </t>
    </r>
    <r>
      <rPr>
        <b/>
        <sz val="12"/>
        <color rgb="FFFF0000"/>
        <rFont val="Arial"/>
        <family val="2"/>
      </rPr>
      <t>DEFINITIEF</t>
    </r>
    <r>
      <rPr>
        <sz val="10"/>
        <rFont val="Arial"/>
        <family val="2"/>
      </rPr>
      <t xml:space="preserve"> 
school-advies groep 8</t>
    </r>
  </si>
  <si>
    <t xml:space="preserve"> DEFINITIEF??</t>
  </si>
  <si>
    <t>Verwijzing VO</t>
  </si>
  <si>
    <t>aantal lln.</t>
  </si>
  <si>
    <t>Landelijk</t>
  </si>
  <si>
    <t>PRO/BB</t>
  </si>
  <si>
    <t>BB</t>
  </si>
  <si>
    <t>BB/KB</t>
  </si>
  <si>
    <t>KB</t>
  </si>
  <si>
    <t>KB/TL</t>
  </si>
  <si>
    <t>TL/HAVO</t>
  </si>
  <si>
    <t>HAVO/VWO</t>
  </si>
  <si>
    <t>VWO+</t>
  </si>
  <si>
    <t>prognose</t>
  </si>
  <si>
    <t>definitief</t>
  </si>
  <si>
    <t>noteer aantal leerlingen &gt;&gt;</t>
  </si>
  <si>
    <t>BAO - Kleuterscreening (mei / juni) - groep 2</t>
  </si>
  <si>
    <t>Naam:</t>
  </si>
  <si>
    <t xml:space="preserve">letters </t>
  </si>
  <si>
    <t xml:space="preserve">kleuren </t>
  </si>
  <si>
    <t>auditieve</t>
  </si>
  <si>
    <t>invented spelling</t>
  </si>
  <si>
    <t>logopedie</t>
  </si>
  <si>
    <t>erfelijk</t>
  </si>
  <si>
    <t>het oordeel van juf</t>
  </si>
  <si>
    <t>opmerkingen</t>
  </si>
  <si>
    <t>benoemd</t>
  </si>
  <si>
    <t>tempo</t>
  </si>
  <si>
    <t>analyse</t>
  </si>
  <si>
    <t>synthese</t>
  </si>
  <si>
    <t>eigen naam</t>
  </si>
  <si>
    <t>woorden</t>
  </si>
  <si>
    <t>januari / juni</t>
  </si>
  <si>
    <t>j</t>
  </si>
  <si>
    <t xml:space="preserve">onvoldoende </t>
  </si>
  <si>
    <t>totaal aantal leerlingen</t>
  </si>
  <si>
    <t>% onvoldoende</t>
  </si>
  <si>
    <t>onvoldoende</t>
  </si>
  <si>
    <t>matig</t>
  </si>
  <si>
    <t>begin groep 3</t>
  </si>
  <si>
    <t>toetsen van prof. Aarnoutse</t>
  </si>
  <si>
    <t>aanvullende informatie</t>
  </si>
  <si>
    <t>letterclustertest</t>
  </si>
  <si>
    <t>letters benoemen</t>
  </si>
  <si>
    <t>fonemische analysetest</t>
  </si>
  <si>
    <t>benoemtaak</t>
  </si>
  <si>
    <t>rijmen</t>
  </si>
  <si>
    <t>beginklank</t>
  </si>
  <si>
    <t>letters</t>
  </si>
  <si>
    <t>cijfers</t>
  </si>
  <si>
    <t>plaatjes</t>
  </si>
  <si>
    <t>kleuren</t>
  </si>
  <si>
    <t>x = niet gekend</t>
  </si>
  <si>
    <t>i</t>
  </si>
  <si>
    <t>e</t>
  </si>
  <si>
    <t>o</t>
  </si>
  <si>
    <t>a</t>
  </si>
  <si>
    <t>u</t>
  </si>
  <si>
    <t>aa</t>
  </si>
  <si>
    <t>ee</t>
  </si>
  <si>
    <t>oo</t>
  </si>
  <si>
    <t>uu</t>
  </si>
  <si>
    <t>oe</t>
  </si>
  <si>
    <t>ij</t>
  </si>
  <si>
    <t>eu</t>
  </si>
  <si>
    <t>ie</t>
  </si>
  <si>
    <t>ou</t>
  </si>
  <si>
    <t>au</t>
  </si>
  <si>
    <t>ui</t>
  </si>
  <si>
    <t>ei</t>
  </si>
  <si>
    <t>k</t>
  </si>
  <si>
    <t>m</t>
  </si>
  <si>
    <t>s</t>
  </si>
  <si>
    <t>p</t>
  </si>
  <si>
    <t>r</t>
  </si>
  <si>
    <t>v</t>
  </si>
  <si>
    <t>n</t>
  </si>
  <si>
    <t>t</t>
  </si>
  <si>
    <t>b</t>
  </si>
  <si>
    <t>d</t>
  </si>
  <si>
    <t>z</t>
  </si>
  <si>
    <t>h</t>
  </si>
  <si>
    <t>w</t>
  </si>
  <si>
    <t>l</t>
  </si>
  <si>
    <t>g</t>
  </si>
  <si>
    <t>f</t>
  </si>
  <si>
    <t>onvoldoende / matig</t>
  </si>
  <si>
    <t>aantal X</t>
  </si>
  <si>
    <t>percentage onv./matig</t>
  </si>
  <si>
    <t>Technisch lezen - 1e periode</t>
  </si>
  <si>
    <t xml:space="preserve"> vorige afname</t>
  </si>
  <si>
    <t xml:space="preserve"> LVS woord lezen</t>
  </si>
  <si>
    <t xml:space="preserve"> A-1+ t/m E-5-</t>
  </si>
  <si>
    <t xml:space="preserve"> EMT - Brus 2019</t>
  </si>
  <si>
    <t xml:space="preserve">  LVS zinnen lezen</t>
  </si>
  <si>
    <t xml:space="preserve"> invoer: A-E of 1-5</t>
  </si>
  <si>
    <t>E7</t>
  </si>
  <si>
    <t>PLUS</t>
  </si>
  <si>
    <t>M5</t>
  </si>
  <si>
    <t>E5</t>
  </si>
  <si>
    <t>intensief</t>
  </si>
  <si>
    <t>basis</t>
  </si>
  <si>
    <t>verrijkt</t>
  </si>
  <si>
    <t>zeer goed    = A1+</t>
  </si>
  <si>
    <t>voldoende</t>
  </si>
  <si>
    <t>goed             = A-1</t>
  </si>
  <si>
    <t>boven gem.  = A2+B2</t>
  </si>
  <si>
    <t>gemiddeld     = B3</t>
  </si>
  <si>
    <t>gemiddeld     = C3</t>
  </si>
  <si>
    <t>onder gem.   = C4</t>
  </si>
  <si>
    <t>onder gem.   = D4</t>
  </si>
  <si>
    <t>zwak            = D5 + E5</t>
  </si>
  <si>
    <t>zeer zwak    = E5-</t>
  </si>
  <si>
    <t>Technisch lezen - 2e periode</t>
  </si>
  <si>
    <t xml:space="preserve"> 1e periode</t>
  </si>
  <si>
    <t>Begrijpend lezen - 1e periode</t>
  </si>
  <si>
    <t xml:space="preserve"> LVS  begrijpend lezen</t>
  </si>
  <si>
    <t xml:space="preserve"> LVS woordenschat</t>
  </si>
  <si>
    <t>Begrijpend lezen - 2e periode</t>
  </si>
  <si>
    <t>Spellen - 1e periode</t>
  </si>
  <si>
    <t xml:space="preserve"> LVS  spellen</t>
  </si>
  <si>
    <t xml:space="preserve"> LVS werkwoorden</t>
  </si>
  <si>
    <t>Spellen - 2e periode</t>
  </si>
  <si>
    <t>Rekenen - 1e periode</t>
  </si>
  <si>
    <t xml:space="preserve"> LVS  rekenen</t>
  </si>
  <si>
    <t xml:space="preserve"> LVS hoofdrekenen</t>
  </si>
  <si>
    <t>Joany</t>
  </si>
  <si>
    <t>Rekenen - 2e periode</t>
  </si>
  <si>
    <t>Hoofdrekenen - 1e periode</t>
  </si>
  <si>
    <t xml:space="preserve"> LVS  hoofdrekenen</t>
  </si>
  <si>
    <t xml:space="preserve"> optellen</t>
  </si>
  <si>
    <t xml:space="preserve"> aftrekken</t>
  </si>
  <si>
    <t xml:space="preserve"> tafel 2, 5</t>
  </si>
  <si>
    <t xml:space="preserve"> tafel 3,4,9</t>
  </si>
  <si>
    <t xml:space="preserve"> tafel 6,7,8</t>
  </si>
  <si>
    <t xml:space="preserve"> klokkijken</t>
  </si>
  <si>
    <t>Hoofdrekenen - 2e periode</t>
  </si>
  <si>
    <t>Groep 5+ Joany extra hulp NPO</t>
  </si>
  <si>
    <r>
      <t xml:space="preserve">Stap 1 </t>
    </r>
    <r>
      <rPr>
        <sz val="14"/>
        <rFont val="Arial"/>
        <family val="2"/>
      </rPr>
      <t xml:space="preserve">= noteer de namen + klik de catagorie aan </t>
    </r>
  </si>
  <si>
    <r>
      <t>Stap 2</t>
    </r>
    <r>
      <rPr>
        <sz val="12"/>
        <rFont val="Arial"/>
        <family val="2"/>
      </rPr>
      <t xml:space="preserve"> </t>
    </r>
    <r>
      <rPr>
        <sz val="14"/>
        <rFont val="Arial"/>
        <family val="2"/>
      </rPr>
      <t xml:space="preserve">= noteer </t>
    </r>
    <r>
      <rPr>
        <b/>
        <u/>
        <sz val="14"/>
        <rFont val="Arial"/>
        <family val="2"/>
      </rPr>
      <t>voor</t>
    </r>
    <r>
      <rPr>
        <sz val="14"/>
        <rFont val="Arial"/>
        <family val="2"/>
      </rPr>
      <t>namen van leerlingen bij categorie 2 -3 - 4 (categorie 1 = automatisch)</t>
    </r>
  </si>
  <si>
    <r>
      <t xml:space="preserve">Stap 3 </t>
    </r>
    <r>
      <rPr>
        <sz val="14"/>
        <rFont val="Arial"/>
        <family val="2"/>
      </rPr>
      <t>= Diversiteit Quotient</t>
    </r>
  </si>
  <si>
    <t>Soort 
ondersteuning</t>
  </si>
  <si>
    <t xml:space="preserve">HP / GP </t>
  </si>
  <si>
    <t xml:space="preserve">OPP </t>
  </si>
  <si>
    <t>OPP + AB</t>
  </si>
  <si>
    <t>Noteer een leerling maar één keer in een categorie</t>
  </si>
  <si>
    <t>Noteer alleen gegevens in de gele vakken</t>
  </si>
  <si>
    <t>Zwarte van de groep</t>
  </si>
  <si>
    <t>Groep</t>
  </si>
  <si>
    <t>Cat. 1</t>
  </si>
  <si>
    <t>Cat. 2</t>
  </si>
  <si>
    <t>Cat. 3</t>
  </si>
  <si>
    <t>Cat. 4</t>
  </si>
  <si>
    <t>zwaar-
te</t>
  </si>
  <si>
    <t>DQ</t>
  </si>
  <si>
    <t>1. ik heb een enkele groep</t>
  </si>
  <si>
    <t>Categorie</t>
  </si>
  <si>
    <t>Basis</t>
  </si>
  <si>
    <t>Basis - Plus</t>
  </si>
  <si>
    <t>Extra</t>
  </si>
  <si>
    <t>Extra - Plus</t>
  </si>
  <si>
    <t>2. Ik heb een combi van 2 groepen</t>
  </si>
  <si>
    <t>3. Ik heb een combi van 3 groepen</t>
  </si>
  <si>
    <t>4. Ik heb een combi van 4 groepen</t>
  </si>
  <si>
    <t>Cat.</t>
  </si>
  <si>
    <t>extra inzet voor de groep</t>
  </si>
  <si>
    <t>CAT. 1: Basisondersteuning</t>
  </si>
  <si>
    <t>extra inzet</t>
  </si>
  <si>
    <t>dagen</t>
  </si>
  <si>
    <t>hier noteert u niets</t>
  </si>
  <si>
    <t>extra inzet klassenassistent</t>
  </si>
  <si>
    <t>extra inzet onderwijsassistent</t>
  </si>
  <si>
    <t>CAT. 2: Basis - Plus</t>
  </si>
  <si>
    <r>
      <t xml:space="preserve">noteer de </t>
    </r>
    <r>
      <rPr>
        <u/>
        <sz val="12"/>
        <rFont val="Arial"/>
        <family val="2"/>
      </rPr>
      <t>voor</t>
    </r>
    <r>
      <rPr>
        <sz val="12"/>
        <rFont val="Arial"/>
        <family val="2"/>
      </rPr>
      <t>namen van de leerlingen in de vakken hieronder</t>
    </r>
  </si>
  <si>
    <t>extra inzet reguliere leraar</t>
  </si>
  <si>
    <t>Taal</t>
  </si>
  <si>
    <t>extra inzet speciale leraar</t>
  </si>
  <si>
    <t>Thuissituatie</t>
  </si>
  <si>
    <t>Fysieke gesteldheid</t>
  </si>
  <si>
    <t>Werkhouding</t>
  </si>
  <si>
    <t>Gedrag</t>
  </si>
  <si>
    <t>Meer- of hoogbegaafdheid</t>
  </si>
  <si>
    <t>Minder begaafdheid</t>
  </si>
  <si>
    <t>ASS</t>
  </si>
  <si>
    <t>(Mogelijke) Dyslexie</t>
  </si>
  <si>
    <t>Zelf in te vullen</t>
  </si>
  <si>
    <t>Totaal</t>
  </si>
  <si>
    <t>CAT. 3 Extra ondersteuning</t>
  </si>
  <si>
    <t>OPP Gedrag</t>
  </si>
  <si>
    <t>OPP Meer- of hoogbegaafdheid</t>
  </si>
  <si>
    <t>OPP minder begaafdheid</t>
  </si>
  <si>
    <t>OPP Taal</t>
  </si>
  <si>
    <t>OPP Rekenen</t>
  </si>
  <si>
    <t>CAT. 4: extra ondersteuning - plus</t>
  </si>
  <si>
    <t>OPP en AB cluster 1</t>
  </si>
  <si>
    <t>OPP en AB cluster 2</t>
  </si>
  <si>
    <t>OPP en AB Fysieke gesteldheid</t>
  </si>
  <si>
    <t>OPP en AB Gedrag</t>
  </si>
  <si>
    <t>OPP en AB Leergebieden</t>
  </si>
  <si>
    <t>Diversiteit Quotiënt  (DQ)</t>
  </si>
  <si>
    <t xml:space="preserve">namenlijst: </t>
  </si>
  <si>
    <r>
      <t xml:space="preserve">Noteer van </t>
    </r>
    <r>
      <rPr>
        <b/>
        <sz val="10"/>
        <color rgb="FFFF0000"/>
        <rFont val="Verdana"/>
        <family val="2"/>
      </rPr>
      <t>ELKE</t>
    </r>
    <r>
      <rPr>
        <sz val="10"/>
        <rFont val="Verdana"/>
        <family val="2"/>
      </rPr>
      <t xml:space="preserve"> leerling het aanlegniveau:
1 = zwak 
2 = beneden gemiddeld 
3 = gemiddeld 
4 = boven gemiddeld 
5 = goed</t>
    </r>
  </si>
  <si>
    <r>
      <t xml:space="preserve">deel 1 = wanneer de aanleg </t>
    </r>
    <r>
      <rPr>
        <b/>
        <u/>
        <sz val="10"/>
        <rFont val="Verdana"/>
        <family val="2"/>
      </rPr>
      <t>meer dan gemiddeld</t>
    </r>
    <r>
      <rPr>
        <sz val="10"/>
        <rFont val="Verdana"/>
        <family val="2"/>
      </rPr>
      <t xml:space="preserve"> is</t>
    </r>
  </si>
  <si>
    <t>Leeraspecten</t>
  </si>
  <si>
    <t>Is snel van begrip</t>
  </si>
  <si>
    <t>Heeft een grote diepgaande interesse</t>
  </si>
  <si>
    <t>Is creatief in bedenken en oplossen 
van vraagstukken</t>
  </si>
  <si>
    <t>Heeft een bijzonder gevoel voor humor</t>
  </si>
  <si>
    <t>Is nieuwsgierig, stelt veel vragen</t>
  </si>
  <si>
    <t>Heeft een goed geheugen</t>
  </si>
  <si>
    <t>Heeft een scherp opmerkingsvermogen</t>
  </si>
  <si>
    <t>Heeft een grote parate kennis, 
kan over veel zaken meepraten</t>
  </si>
  <si>
    <t>Heeft een grote woordenschat</t>
  </si>
  <si>
    <t>Gaat graag dieper in op een onderwerp</t>
  </si>
  <si>
    <t>Komt 'wereldwijs' over</t>
  </si>
  <si>
    <t>Kan grote denkstappen maken</t>
  </si>
  <si>
    <t>Totaal aantal x en ?</t>
  </si>
  <si>
    <t>deel 2 = bij een score van 5 of meer op deel 1</t>
  </si>
  <si>
    <t>signalen van zorg (SVZ)</t>
  </si>
  <si>
    <t>Zelfbeeld 
aspecten</t>
  </si>
  <si>
    <t>Heeft moeite met uiten van eigen
gevoelens en gedachten</t>
  </si>
  <si>
    <t>x</t>
  </si>
  <si>
    <t>Heeft te veel of te weinig zelfvertrouwen</t>
  </si>
  <si>
    <t>Heeft weinig positief zelfbeeld of te 
sterk beeld van eigen mogelijkheden</t>
  </si>
  <si>
    <t>Omgang
aspecten</t>
  </si>
  <si>
    <t>Is niet goed opgenomen in de groep</t>
  </si>
  <si>
    <t>Heeft moeite met samenwerken</t>
  </si>
  <si>
    <t>Heeft moeite met het op de juiste
wijze opkomen voor zichzelf</t>
  </si>
  <si>
    <t>Werkhouding
aspecten</t>
  </si>
  <si>
    <t>Sterk wisselende betrokkenheid
bij de lestaken</t>
  </si>
  <si>
    <t>Vertoont erg wisselend gedrag in
taakgerichtheid</t>
  </si>
  <si>
    <t>Heeft moeite met doorzetten</t>
  </si>
  <si>
    <t>Totaal aantal signalen van zorg</t>
  </si>
  <si>
    <t>7x leerrendement = 1</t>
  </si>
  <si>
    <t>geen SVZ = 1</t>
  </si>
  <si>
    <t>aanleg:</t>
  </si>
  <si>
    <t>deel 1 = voor alle leerlingen</t>
  </si>
  <si>
    <t>Heeft een sterk wisselende
of weinig concentratie</t>
  </si>
  <si>
    <t>Heeft weinig positief beeld van eigen mogelijkheden</t>
  </si>
  <si>
    <t>Heeft moeite met empatische inschatting</t>
  </si>
  <si>
    <t>Komt niet goed op voor zichzelf</t>
  </si>
  <si>
    <t>Is niet zo zelfstandig, vraagt voortdurend bevestiging</t>
  </si>
  <si>
    <t>Voor de ouders / verzorgers van:      </t>
  </si>
  <si>
    <t>Een aantal malen per jaar worden alle kinderen op onze school getoetst. De gegevens die we op deze manier krijgen worden besproken met de Intern Begeleider of in de leerlingenbespreking.</t>
  </si>
  <si>
    <t>Als de uitslag van een bepaald onderdeel volgens ons te wensen overlaat, proberen we dit met behulp van een "groepsplan” of een “handelingsplan" bij te stellen.</t>
  </si>
  <si>
    <r>
      <t xml:space="preserve">Bij een </t>
    </r>
    <r>
      <rPr>
        <i/>
        <u/>
        <sz val="11"/>
        <rFont val="Comic Sans MS"/>
        <family val="4"/>
      </rPr>
      <t>groepsplan</t>
    </r>
    <r>
      <rPr>
        <sz val="11"/>
        <rFont val="Comic Sans MS"/>
        <family val="4"/>
      </rPr>
      <t xml:space="preserve"> (het woord zegt het al) wordt een groepje kinderen die extra aandacht nodig heeft begeleid. Dit gebeurt overwegend binnen de groep door de klassenleerkracht. Soms kan het groepje kinderen extra begeleid worden door de RT-er of door de onderwijsassistente. Ouders worden op de hoogte gesteld als hun kind begeleid wordt binnen een groepsplan.</t>
    </r>
  </si>
  <si>
    <r>
      <t xml:space="preserve">Wanneer de leerling onvoldoende profiteert van de aanpak binnen het groepsplan wordt een individueel </t>
    </r>
    <r>
      <rPr>
        <i/>
        <u/>
        <sz val="11"/>
        <color indexed="8"/>
        <rFont val="Comic Sans MS"/>
        <family val="4"/>
      </rPr>
      <t>handelingsplan</t>
    </r>
    <r>
      <rPr>
        <sz val="11"/>
        <color indexed="8"/>
        <rFont val="Comic Sans MS"/>
        <family val="4"/>
      </rPr>
      <t xml:space="preserve"> opgesteld. In het handelingsplan proberen we zo goed mogelijk te omschrijven wat het kind nodig heeft om zaken wel te kunnen. Ouders wordt dan ook gevraagd dit plan te ondertekenen.</t>
    </r>
  </si>
  <si>
    <t>Bij uw kind willen we in de komende weken graag extra zorg besteden aan het volgende</t>
  </si>
  <si>
    <t>We willen  uw kind begeleiden binnen een</t>
  </si>
  <si>
    <t>Is een handelingsplan bijgevoegd, dan vragen we u dit plan ondertekend weer aan ons terug te sturen of aan uw kind mee te geven.</t>
  </si>
  <si>
    <t>We kunnen ons indenken dat u een gesprek wilt met de leerkracht van uw kind om af te stemmen wat u eventueel thuis kunt doen.</t>
  </si>
  <si>
    <t>In dat geval vragen we u contact op te nemen met de juf of meester van uw kind of met de Intern Begeleider van de school.</t>
  </si>
  <si>
    <t>We hopen dat we u vooreerst voldoende hebben geïnformeerd.</t>
  </si>
  <si>
    <t>Met vriendelijke groet,</t>
  </si>
  <si>
    <t>Namens het team van de school,</t>
  </si>
  <si>
    <t>De kinderen helpen op maandag en woensdag groep 3 met bouw. Groep 5 wordt geholpen met Ralfi lezen.   Onder het lezen op maandag gaat de leerkracht de Plusklasleerlingen bij praten. Op woensdag loopt de leekracht de ronde om te zien of iedereen aan het lezen is.                                                                             Leesbevordering  : boekenbeurten en voorleeswedstrijd zijn deze preriode ook inpland.</t>
  </si>
  <si>
    <t>groep 6/7/8: Kidsweek twee keer in de week, dinsdag en vrijdag       
We doen deze lessen digitaal. In de weken dat we de kidsweek  niet kunnen gebruiken, maken we lessen van  Junior Einstein op de computer. Ook zetten we Leeskrakers 1 en 2 in.</t>
  </si>
  <si>
    <t>ma en/of  do: dit doen we met bewegend leren
Ook  zetten we  de rekenspellen van met sprongen vooruit in om te automatiseren. Groep 6/7/8 oefent dagelijks rekenen op junior Einstein. De lessen die worden aangeboden zijn afhankelijk van wat er in de les wordt aangeboden.</t>
  </si>
  <si>
    <t xml:space="preserve">Les 1 en 3 van de methode  = klein dictee (8 woorden) - de woorden worden ook besproken (ma + do) + les uit het boek / werkboek
Op  do klein dictee José Schraven - in gr. 6-7-8 hetzelfde dictee (uit de map van gr. 7-8) Daarnaast elke dag spellingoefenen.nl
Op di + vr: kopieerblad uit de methode
gr. 7+8: op do werkwoordbespreking n.a.v. dictee les 3, 5, 7 en les 11
</t>
  </si>
  <si>
    <t>boven gemiddeld</t>
  </si>
  <si>
    <t>LEEESBEGRIP</t>
  </si>
  <si>
    <t>PROGNOSE 
EIND-REFERENTIE
SCORE</t>
  </si>
  <si>
    <t>leerling 1</t>
  </si>
  <si>
    <t>leerling 2</t>
  </si>
  <si>
    <t>leerling 3</t>
  </si>
  <si>
    <t>leerling 4</t>
  </si>
  <si>
    <t>leerling 5</t>
  </si>
  <si>
    <t>leerling 6</t>
  </si>
  <si>
    <t>leerling 7</t>
  </si>
  <si>
    <t>leerling 8</t>
  </si>
  <si>
    <t>groep 6</t>
  </si>
  <si>
    <t>De kinderen van groep 6 helpen op maandag en woensdag de kinderen van groep 3 met bouw. Groep 5 wordt geholpen met Ralfi lezen</t>
  </si>
  <si>
    <t xml:space="preserve">S+D  scoren beiden net niet voldoende op hun LVS spellen toets. Dit geldt voor de ondelen woorden en werkwoorden. </t>
  </si>
  <si>
    <t>M valt uit op begrijpend lezen en zullen we tijdens de lessen proberen meer te betrekken en actief te laten deelnemen. We vermoeden dat M aan haar 'max' zit qua woordenschat. Het werk van M wordt geminimaliseerd, als dat nodig mocht zijn. Dit blijven we doen.</t>
  </si>
  <si>
    <t>Y,M,H,K,L hebben levelwerk. Deze kinderen proberen minimaal een kwartier tot een half uur per dag aan hun levelwerk te werken. Het "normale" werk wordt dan aangepast. G, Y en N op de dindag naar de Plusklas. Bij T  heeft kenbaar gemaakt dat hij ook graag bij de plusklas wilt. Het is even de vraag of hij het 'normale' werk dan voldoende blijft maken.</t>
  </si>
  <si>
    <t xml:space="preserve">De meisjes krijgen extra beurten tijdens het  bespreken van de spellingscategorieën. Bij M willen we ook inzetten op het netter en nauwkeurig werken.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</si>
</sst>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dd/mm/yy;@"/>
    <numFmt numFmtId="166" formatCode="0.0%"/>
    <numFmt numFmtId="167" formatCode="_ * #,##0.00_ ;_ * \-#,##0.00_ ;_ * \-??_ ;_ @_ "/>
    <numFmt numFmtId="168" formatCode="#,##0.0000000000000000"/>
    <numFmt numFmtId="169" formatCode="#,##0.0"/>
    <numFmt numFmtId="170" formatCode="[$-413]d/mmm/yy;@"/>
    <numFmt numFmtId="171" formatCode="d/mm/yy;@"/>
  </numFmts>
  <fonts count="1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10"/>
      <name val="Arial"/>
      <family val="2"/>
    </font>
    <font>
      <b/>
      <sz val="8"/>
      <name val="Arial"/>
      <family val="2"/>
    </font>
    <font>
      <b/>
      <sz val="12"/>
      <name val="Comic Sans MS"/>
      <family val="4"/>
    </font>
    <font>
      <b/>
      <sz val="20"/>
      <name val="Comic Sans MS"/>
      <family val="4"/>
    </font>
    <font>
      <b/>
      <i/>
      <sz val="12"/>
      <name val="Comic Sans MS"/>
      <family val="4"/>
    </font>
    <font>
      <sz val="12"/>
      <name val="Comic Sans MS"/>
      <family val="4"/>
    </font>
    <font>
      <sz val="14"/>
      <name val="Arial"/>
      <family val="2"/>
    </font>
    <font>
      <sz val="12"/>
      <name val="Arial"/>
      <family val="2"/>
    </font>
    <font>
      <sz val="14"/>
      <name val="Comic Sans MS"/>
      <family val="4"/>
    </font>
    <font>
      <b/>
      <sz val="16"/>
      <name val="Arial"/>
      <family val="2"/>
    </font>
    <font>
      <sz val="8"/>
      <name val="Arial"/>
      <family val="2"/>
    </font>
    <font>
      <sz val="10"/>
      <color rgb="FF0A0D0C"/>
      <name val="Arial"/>
      <family val="2"/>
    </font>
    <font>
      <sz val="10"/>
      <color theme="0"/>
      <name val="Arial"/>
      <family val="2"/>
    </font>
    <font>
      <sz val="13"/>
      <name val="Comic Sans MS"/>
      <family val="4"/>
    </font>
    <font>
      <sz val="10"/>
      <color theme="1"/>
      <name val="Arial"/>
      <family val="2"/>
    </font>
    <font>
      <b/>
      <sz val="16"/>
      <color rgb="FFFF0000"/>
      <name val="Arial"/>
      <family val="2"/>
    </font>
    <font>
      <b/>
      <sz val="12"/>
      <color rgb="FFFF0000"/>
      <name val="Arial"/>
      <family val="2"/>
    </font>
    <font>
      <b/>
      <sz val="12"/>
      <color theme="0"/>
      <name val="Arial"/>
      <family val="2"/>
    </font>
    <font>
      <sz val="11"/>
      <name val="Calibri"/>
      <family val="2"/>
    </font>
    <font>
      <sz val="7"/>
      <name val="Times New Roman"/>
      <family val="1"/>
    </font>
    <font>
      <b/>
      <u/>
      <sz val="11"/>
      <name val="Calibri"/>
      <family val="2"/>
    </font>
    <font>
      <sz val="11"/>
      <color rgb="FF000000"/>
      <name val="Calibri"/>
      <family val="2"/>
    </font>
    <font>
      <b/>
      <i/>
      <sz val="14"/>
      <color rgb="FFFF0000"/>
      <name val="Verdana"/>
      <family val="2"/>
    </font>
    <font>
      <b/>
      <u/>
      <sz val="16"/>
      <color rgb="FFFF0000"/>
      <name val="Arial"/>
      <family val="2"/>
    </font>
    <font>
      <sz val="14"/>
      <name val="Calibri"/>
      <family val="2"/>
      <scheme val="minor"/>
    </font>
    <font>
      <sz val="18"/>
      <name val="Comic Sans MS"/>
      <family val="4"/>
    </font>
    <font>
      <sz val="12"/>
      <color theme="1"/>
      <name val="Comic Sans MS"/>
      <family val="4"/>
    </font>
    <font>
      <b/>
      <sz val="10"/>
      <color theme="0"/>
      <name val="Arial"/>
      <family val="2"/>
    </font>
    <font>
      <sz val="10"/>
      <color indexed="9"/>
      <name val="Arial"/>
      <family val="2"/>
    </font>
    <font>
      <sz val="7"/>
      <color theme="0"/>
      <name val="Arial"/>
      <family val="2"/>
    </font>
    <font>
      <b/>
      <sz val="10"/>
      <color indexed="81"/>
      <name val="Arial"/>
      <family val="2"/>
    </font>
    <font>
      <sz val="10"/>
      <color indexed="81"/>
      <name val="Arial"/>
      <family val="2"/>
    </font>
    <font>
      <b/>
      <sz val="10"/>
      <color indexed="10"/>
      <name val="Arial"/>
      <family val="2"/>
    </font>
    <font>
      <sz val="7"/>
      <color theme="1"/>
      <name val="Arial"/>
      <family val="2"/>
    </font>
    <font>
      <b/>
      <sz val="16"/>
      <color theme="1"/>
      <name val="Arial"/>
      <family val="2"/>
    </font>
    <font>
      <b/>
      <sz val="10"/>
      <color indexed="81"/>
      <name val="Tahoma"/>
      <family val="2"/>
    </font>
    <font>
      <sz val="10"/>
      <color indexed="81"/>
      <name val="Tahoma"/>
      <family val="2"/>
    </font>
    <font>
      <b/>
      <sz val="12"/>
      <color indexed="9"/>
      <name val="Arial"/>
      <family val="2"/>
    </font>
    <font>
      <sz val="12"/>
      <color indexed="9"/>
      <name val="Arial"/>
      <family val="2"/>
    </font>
    <font>
      <sz val="12"/>
      <color theme="1"/>
      <name val="Arial"/>
      <family val="2"/>
    </font>
    <font>
      <sz val="12"/>
      <color indexed="81"/>
      <name val="Arial"/>
      <family val="2"/>
    </font>
    <font>
      <u/>
      <sz val="10"/>
      <color theme="10"/>
      <name val="Arial"/>
      <family val="2"/>
    </font>
    <font>
      <sz val="10"/>
      <name val="Comic Sans MS"/>
      <family val="4"/>
    </font>
    <font>
      <sz val="24"/>
      <name val="Calibri"/>
      <family val="2"/>
    </font>
    <font>
      <b/>
      <sz val="24"/>
      <color indexed="9"/>
      <name val="Calibri"/>
      <family val="2"/>
    </font>
    <font>
      <b/>
      <sz val="10"/>
      <color theme="1"/>
      <name val="Arial"/>
      <family val="2"/>
    </font>
    <font>
      <sz val="18"/>
      <name val="Calibri"/>
      <family val="2"/>
    </font>
    <font>
      <sz val="20"/>
      <name val="Calibri"/>
      <family val="2"/>
    </font>
    <font>
      <sz val="20"/>
      <name val="Comic Sans MS"/>
      <family val="4"/>
    </font>
    <font>
      <sz val="9"/>
      <color indexed="81"/>
      <name val="Tahoma"/>
      <family val="2"/>
    </font>
    <font>
      <sz val="10"/>
      <color rgb="FFCCCCFF"/>
      <name val="Arial"/>
      <family val="2"/>
    </font>
    <font>
      <sz val="14"/>
      <name val="Verdana"/>
      <family val="2"/>
    </font>
    <font>
      <sz val="12"/>
      <color theme="1"/>
      <name val="Verdana"/>
      <family val="2"/>
    </font>
    <font>
      <sz val="24"/>
      <name val="Arial"/>
      <family val="2"/>
    </font>
    <font>
      <b/>
      <u/>
      <sz val="14"/>
      <name val="Arial"/>
      <family val="2"/>
    </font>
    <font>
      <sz val="12"/>
      <color theme="0"/>
      <name val="Arial"/>
      <family val="2"/>
    </font>
    <font>
      <b/>
      <sz val="12"/>
      <name val="Arial"/>
      <family val="2"/>
    </font>
    <font>
      <sz val="12"/>
      <color rgb="FF0A0D0C"/>
      <name val="Arial"/>
      <family val="2"/>
    </font>
    <font>
      <u/>
      <sz val="12"/>
      <name val="Arial"/>
      <family val="2"/>
    </font>
    <font>
      <b/>
      <u/>
      <sz val="12"/>
      <color indexed="81"/>
      <name val="Arial"/>
      <family val="2"/>
    </font>
    <font>
      <b/>
      <sz val="12"/>
      <color indexed="81"/>
      <name val="Arial"/>
      <family val="2"/>
    </font>
    <font>
      <b/>
      <sz val="11"/>
      <color indexed="10"/>
      <name val="Comic Sans MS"/>
      <family val="4"/>
    </font>
    <font>
      <sz val="11"/>
      <name val="Comic Sans MS"/>
      <family val="4"/>
    </font>
    <font>
      <i/>
      <u/>
      <sz val="11"/>
      <name val="Comic Sans MS"/>
      <family val="4"/>
    </font>
    <font>
      <sz val="11"/>
      <color indexed="8"/>
      <name val="Comic Sans MS"/>
      <family val="4"/>
    </font>
    <font>
      <i/>
      <u/>
      <sz val="11"/>
      <color indexed="8"/>
      <name val="Comic Sans MS"/>
      <family val="4"/>
    </font>
    <font>
      <b/>
      <sz val="11"/>
      <name val="Arial"/>
      <family val="2"/>
    </font>
    <font>
      <sz val="10"/>
      <color rgb="FF00FF00"/>
      <name val="Arial"/>
      <family val="2"/>
    </font>
    <font>
      <sz val="8"/>
      <color indexed="9"/>
      <name val="Arial"/>
      <family val="2"/>
    </font>
    <font>
      <b/>
      <i/>
      <sz val="12"/>
      <color indexed="9"/>
      <name val="Comic Sans MS"/>
      <family val="4"/>
    </font>
    <font>
      <sz val="7"/>
      <name val="Arial"/>
      <family val="2"/>
    </font>
    <font>
      <sz val="10"/>
      <color indexed="26"/>
      <name val="Arial"/>
      <family val="2"/>
    </font>
    <font>
      <sz val="10"/>
      <name val="Verdana"/>
      <family val="2"/>
    </font>
    <font>
      <sz val="9"/>
      <color theme="1"/>
      <name val="Arial"/>
      <family val="2"/>
    </font>
    <font>
      <sz val="13"/>
      <name val="Arial"/>
      <family val="2"/>
    </font>
    <font>
      <b/>
      <sz val="20"/>
      <color indexed="9"/>
      <name val="Comic Sans MS"/>
      <family val="4"/>
    </font>
    <font>
      <b/>
      <sz val="10"/>
      <color rgb="FFFF0000"/>
      <name val="Verdana"/>
      <family val="2"/>
    </font>
    <font>
      <b/>
      <u/>
      <sz val="10"/>
      <name val="Verdana"/>
      <family val="2"/>
    </font>
    <font>
      <b/>
      <sz val="10"/>
      <color indexed="10"/>
      <name val="Verdana"/>
      <family val="2"/>
    </font>
    <font>
      <sz val="20"/>
      <name val="Verdana"/>
      <family val="2"/>
    </font>
    <font>
      <b/>
      <sz val="14"/>
      <color indexed="10"/>
      <name val="Verdana"/>
      <family val="2"/>
    </font>
    <font>
      <b/>
      <sz val="15"/>
      <color indexed="10"/>
      <name val="Verdana"/>
      <family val="2"/>
    </font>
    <font>
      <sz val="15"/>
      <name val="Verdana"/>
      <family val="2"/>
    </font>
    <font>
      <sz val="18"/>
      <name val="Verdana"/>
      <family val="2"/>
    </font>
    <font>
      <b/>
      <sz val="20"/>
      <color indexed="9"/>
      <name val="Verdana"/>
      <family val="2"/>
    </font>
    <font>
      <sz val="24"/>
      <name val="Calibri"/>
      <family val="2"/>
      <scheme val="minor"/>
    </font>
    <font>
      <sz val="11"/>
      <color theme="0"/>
      <name val="Calibri"/>
      <family val="2"/>
      <scheme val="minor"/>
    </font>
    <font>
      <sz val="11"/>
      <color rgb="FF000000"/>
      <name val="Calibri"/>
      <family val="2"/>
      <charset val="1"/>
    </font>
    <font>
      <b/>
      <sz val="16"/>
      <color theme="1"/>
      <name val="Calibri"/>
      <family val="2"/>
      <scheme val="minor"/>
    </font>
    <font>
      <sz val="12"/>
      <color theme="0"/>
      <name val="Calibri"/>
      <family val="2"/>
      <scheme val="minor"/>
    </font>
    <font>
      <sz val="12"/>
      <color theme="1"/>
      <name val="Calibri"/>
      <family val="2"/>
      <scheme val="minor"/>
    </font>
    <font>
      <b/>
      <sz val="16"/>
      <color rgb="FFFF0000"/>
      <name val="Calibri"/>
      <family val="2"/>
      <scheme val="minor"/>
    </font>
    <font>
      <b/>
      <sz val="16"/>
      <color rgb="FF00B050"/>
      <name val="Calibri"/>
      <family val="2"/>
      <scheme val="minor"/>
    </font>
    <font>
      <b/>
      <sz val="16"/>
      <color rgb="FF00B050"/>
      <name val="Calibri"/>
      <family val="2"/>
    </font>
    <font>
      <sz val="12"/>
      <color rgb="FF000000"/>
      <name val="Calibri"/>
      <family val="2"/>
    </font>
    <font>
      <b/>
      <sz val="16"/>
      <color rgb="FF002060"/>
      <name val="Calibri"/>
      <family val="2"/>
      <scheme val="minor"/>
    </font>
    <font>
      <b/>
      <sz val="16"/>
      <color rgb="FF002060"/>
      <name val="Calibri"/>
      <family val="2"/>
    </font>
    <font>
      <sz val="22"/>
      <color theme="1"/>
      <name val="Calibri"/>
      <family val="2"/>
      <scheme val="minor"/>
    </font>
    <font>
      <b/>
      <sz val="16"/>
      <color rgb="FF00FF00"/>
      <name val="Calibri"/>
      <family val="2"/>
      <scheme val="minor"/>
    </font>
    <font>
      <b/>
      <sz val="16"/>
      <color rgb="FF00FF00"/>
      <name val="Calibri"/>
      <family val="2"/>
    </font>
    <font>
      <sz val="16"/>
      <color theme="1"/>
      <name val="Calibri"/>
      <family val="2"/>
      <scheme val="minor"/>
    </font>
    <font>
      <b/>
      <sz val="12"/>
      <color theme="1"/>
      <name val="Calibri"/>
      <family val="2"/>
      <scheme val="minor"/>
    </font>
    <font>
      <sz val="16"/>
      <color theme="0"/>
      <name val="Calibri"/>
      <family val="2"/>
      <scheme val="minor"/>
    </font>
    <font>
      <sz val="10"/>
      <color rgb="FFFFFF99"/>
      <name val="Arial"/>
      <family val="2"/>
    </font>
    <font>
      <sz val="10"/>
      <color rgb="FFFF0000"/>
      <name val="Arial"/>
      <family val="2"/>
    </font>
    <font>
      <sz val="11"/>
      <color rgb="FFFF0000"/>
      <name val="Calibri"/>
      <family val="2"/>
      <scheme val="minor"/>
    </font>
    <font>
      <b/>
      <sz val="12"/>
      <color theme="1"/>
      <name val="Arial"/>
      <family val="2"/>
    </font>
    <font>
      <b/>
      <sz val="10"/>
      <color rgb="FFFF0000"/>
      <name val="Arial"/>
      <family val="2"/>
    </font>
    <font>
      <b/>
      <sz val="10"/>
      <color rgb="FF00FF00"/>
      <name val="Arial"/>
      <family val="2"/>
    </font>
    <font>
      <b/>
      <sz val="10"/>
      <color rgb="FFFFC000"/>
      <name val="Arial"/>
      <family val="2"/>
    </font>
    <font>
      <b/>
      <sz val="10"/>
      <color theme="9" tint="-0.249977111117893"/>
      <name val="Arial"/>
      <family val="2"/>
    </font>
    <font>
      <b/>
      <sz val="10"/>
      <color rgb="FF00B050"/>
      <name val="Arial"/>
      <family val="2"/>
    </font>
    <font>
      <b/>
      <u/>
      <sz val="10"/>
      <color rgb="FFFF0000"/>
      <name val="Arial"/>
      <family val="2"/>
    </font>
    <font>
      <sz val="14"/>
      <color theme="1"/>
      <name val="Arial"/>
      <family val="2"/>
    </font>
    <font>
      <sz val="10"/>
      <color rgb="FF394443"/>
      <name val="Arial"/>
      <family val="2"/>
    </font>
    <font>
      <b/>
      <u/>
      <sz val="10"/>
      <color rgb="FF00FF00"/>
      <name val="Arial"/>
      <family val="2"/>
    </font>
    <font>
      <sz val="9"/>
      <name val="Wingdings 2"/>
      <family val="1"/>
      <charset val="2"/>
    </font>
    <font>
      <sz val="9"/>
      <name val="Wingdings"/>
      <charset val="2"/>
    </font>
    <font>
      <sz val="9"/>
      <name val="Arial"/>
      <family val="2"/>
    </font>
    <font>
      <sz val="9"/>
      <color indexed="10"/>
      <name val="Arial"/>
      <family val="2"/>
    </font>
    <font>
      <sz val="20"/>
      <name val="Calibri"/>
      <family val="2"/>
      <scheme val="minor"/>
    </font>
    <font>
      <sz val="8"/>
      <color rgb="FFFF0000"/>
      <name val="Arial"/>
      <family val="2"/>
    </font>
    <font>
      <sz val="8"/>
      <color rgb="FF000000"/>
      <name val="Tahoma"/>
      <family val="2"/>
    </font>
    <font>
      <sz val="14"/>
      <color theme="0"/>
      <name val="Arial"/>
      <family val="2"/>
    </font>
  </fonts>
  <fills count="39">
    <fill>
      <patternFill patternType="none"/>
    </fill>
    <fill>
      <patternFill patternType="gray125"/>
    </fill>
    <fill>
      <patternFill patternType="solid">
        <fgColor indexed="26"/>
        <bgColor indexed="64"/>
      </patternFill>
    </fill>
    <fill>
      <patternFill patternType="solid">
        <fgColor indexed="31"/>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
      <patternFill patternType="solid">
        <fgColor rgb="FFCCFFCC"/>
        <bgColor indexed="64"/>
      </patternFill>
    </fill>
    <fill>
      <patternFill patternType="solid">
        <fgColor indexed="10"/>
        <bgColor indexed="64"/>
      </patternFill>
    </fill>
    <fill>
      <patternFill patternType="solid">
        <fgColor indexed="42"/>
        <bgColor indexed="64"/>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indexed="13"/>
        <bgColor indexed="64"/>
      </patternFill>
    </fill>
    <fill>
      <patternFill patternType="solid">
        <fgColor indexed="9"/>
        <bgColor indexed="64"/>
      </patternFill>
    </fill>
    <fill>
      <patternFill patternType="solid">
        <fgColor rgb="FF99CCFF"/>
        <bgColor indexed="64"/>
      </patternFill>
    </fill>
    <fill>
      <patternFill patternType="solid">
        <fgColor rgb="FFCCFFFF"/>
        <bgColor indexed="64"/>
      </patternFill>
    </fill>
    <fill>
      <patternFill patternType="solid">
        <fgColor rgb="FFCCCCFF"/>
        <bgColor indexed="64"/>
      </patternFill>
    </fill>
    <fill>
      <patternFill patternType="solid">
        <fgColor indexed="44"/>
        <bgColor indexed="64"/>
      </patternFill>
    </fill>
    <fill>
      <patternFill patternType="solid">
        <fgColor theme="0"/>
        <bgColor indexed="64"/>
      </patternFill>
    </fill>
    <fill>
      <patternFill patternType="solid">
        <fgColor rgb="FFFF7C80"/>
        <bgColor indexed="64"/>
      </patternFill>
    </fill>
    <fill>
      <patternFill patternType="solid">
        <fgColor rgb="FFCC99FF"/>
        <bgColor indexed="64"/>
      </patternFill>
    </fill>
    <fill>
      <patternFill patternType="solid">
        <fgColor indexed="46"/>
        <bgColor indexed="64"/>
      </patternFill>
    </fill>
    <fill>
      <patternFill patternType="solid">
        <fgColor indexed="45"/>
        <bgColor indexed="64"/>
      </patternFill>
    </fill>
    <fill>
      <patternFill patternType="solid">
        <fgColor rgb="FFFFFFFF"/>
        <bgColor indexed="64"/>
      </patternFill>
    </fill>
    <fill>
      <patternFill patternType="solid">
        <fgColor rgb="FF99FF99"/>
        <bgColor indexed="64"/>
      </patternFill>
    </fill>
    <fill>
      <patternFill patternType="solid">
        <fgColor rgb="FFFFCC66"/>
        <bgColor indexed="64"/>
      </patternFill>
    </fill>
    <fill>
      <patternFill patternType="solid">
        <fgColor indexed="8"/>
        <bgColor indexed="64"/>
      </patternFill>
    </fill>
    <fill>
      <patternFill patternType="solid">
        <fgColor rgb="FF66CCFF"/>
        <bgColor indexed="64"/>
      </patternFill>
    </fill>
    <fill>
      <patternFill patternType="solid">
        <fgColor rgb="FFCCFF99"/>
        <bgColor indexed="64"/>
      </patternFill>
    </fill>
    <fill>
      <patternFill patternType="solid">
        <fgColor rgb="FFFFCCCC"/>
        <bgColor indexed="64"/>
      </patternFill>
    </fill>
    <fill>
      <patternFill patternType="solid">
        <fgColor rgb="FF7030A0"/>
        <bgColor indexed="64"/>
      </patternFill>
    </fill>
    <fill>
      <patternFill patternType="solid">
        <fgColor rgb="FF339966"/>
        <bgColor indexed="64"/>
      </patternFill>
    </fill>
    <fill>
      <patternFill patternType="solid">
        <fgColor rgb="FFCC0000"/>
        <bgColor indexed="64"/>
      </patternFill>
    </fill>
    <fill>
      <patternFill patternType="solid">
        <fgColor rgb="FFFFC000"/>
        <bgColor indexed="64"/>
      </patternFill>
    </fill>
    <fill>
      <patternFill patternType="solid">
        <fgColor indexed="41"/>
        <bgColor indexed="64"/>
      </patternFill>
    </fill>
    <fill>
      <patternFill patternType="solid">
        <fgColor indexed="53"/>
        <bgColor indexed="64"/>
      </patternFill>
    </fill>
    <fill>
      <patternFill patternType="solid">
        <fgColor theme="2"/>
        <bgColor indexed="64"/>
      </patternFill>
    </fill>
    <fill>
      <patternFill patternType="solid">
        <fgColor theme="0" tint="-4.9989318521683403E-2"/>
        <bgColor indexed="64"/>
      </patternFill>
    </fill>
  </fills>
  <borders count="11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ck">
        <color theme="4" tint="-0.249977111117893"/>
      </left>
      <right/>
      <top style="thick">
        <color theme="4" tint="-0.249977111117893"/>
      </top>
      <bottom style="thin">
        <color indexed="64"/>
      </bottom>
      <diagonal/>
    </border>
    <border>
      <left/>
      <right/>
      <top style="thick">
        <color theme="4" tint="-0.249977111117893"/>
      </top>
      <bottom style="thin">
        <color indexed="64"/>
      </bottom>
      <diagonal/>
    </border>
    <border>
      <left/>
      <right style="thick">
        <color theme="4" tint="-0.249977111117893"/>
      </right>
      <top style="thick">
        <color theme="4" tint="-0.249977111117893"/>
      </top>
      <bottom style="thin">
        <color indexed="64"/>
      </bottom>
      <diagonal/>
    </border>
    <border>
      <left style="thick">
        <color theme="4" tint="-0.249977111117893"/>
      </left>
      <right/>
      <top/>
      <bottom/>
      <diagonal/>
    </border>
    <border>
      <left style="thin">
        <color indexed="64"/>
      </left>
      <right style="thick">
        <color theme="4" tint="-0.249977111117893"/>
      </right>
      <top/>
      <bottom style="thin">
        <color indexed="64"/>
      </bottom>
      <diagonal/>
    </border>
    <border>
      <left style="thin">
        <color auto="1"/>
      </left>
      <right style="thick">
        <color theme="4" tint="-0.249977111117893"/>
      </right>
      <top style="thin">
        <color auto="1"/>
      </top>
      <bottom style="thin">
        <color auto="1"/>
      </bottom>
      <diagonal/>
    </border>
    <border>
      <left style="thin">
        <color indexed="64"/>
      </left>
      <right style="thick">
        <color theme="4" tint="-0.249977111117893"/>
      </right>
      <top style="thin">
        <color indexed="64"/>
      </top>
      <bottom/>
      <diagonal/>
    </border>
    <border>
      <left style="thick">
        <color theme="4" tint="-0.249977111117893"/>
      </left>
      <right/>
      <top style="thin">
        <color indexed="64"/>
      </top>
      <bottom style="thin">
        <color indexed="64"/>
      </bottom>
      <diagonal/>
    </border>
    <border>
      <left/>
      <right style="thick">
        <color theme="4" tint="-0.249977111117893"/>
      </right>
      <top style="thin">
        <color indexed="64"/>
      </top>
      <bottom style="thin">
        <color indexed="64"/>
      </bottom>
      <diagonal/>
    </border>
    <border>
      <left style="thick">
        <color theme="4" tint="-0.249977111117893"/>
      </left>
      <right style="thin">
        <color auto="1"/>
      </right>
      <top style="thin">
        <color auto="1"/>
      </top>
      <bottom style="thin">
        <color auto="1"/>
      </bottom>
      <diagonal/>
    </border>
    <border>
      <left style="thick">
        <color theme="4" tint="-0.249977111117893"/>
      </left>
      <right style="thin">
        <color auto="1"/>
      </right>
      <top style="thin">
        <color auto="1"/>
      </top>
      <bottom style="thick">
        <color theme="4" tint="-0.249977111117893"/>
      </bottom>
      <diagonal/>
    </border>
    <border>
      <left style="thin">
        <color auto="1"/>
      </left>
      <right style="thin">
        <color auto="1"/>
      </right>
      <top style="thin">
        <color auto="1"/>
      </top>
      <bottom style="thick">
        <color theme="4" tint="-0.249977111117893"/>
      </bottom>
      <diagonal/>
    </border>
    <border>
      <left style="thin">
        <color auto="1"/>
      </left>
      <right style="thick">
        <color theme="4" tint="-0.249977111117893"/>
      </right>
      <top style="thin">
        <color auto="1"/>
      </top>
      <bottom style="thick">
        <color theme="4" tint="-0.249977111117893"/>
      </bottom>
      <diagonal/>
    </border>
    <border>
      <left style="thick">
        <color rgb="FF0070C0"/>
      </left>
      <right/>
      <top style="thick">
        <color rgb="FF0070C0"/>
      </top>
      <bottom/>
      <diagonal/>
    </border>
    <border>
      <left/>
      <right/>
      <top style="thick">
        <color rgb="FF0070C0"/>
      </top>
      <bottom/>
      <diagonal/>
    </border>
    <border>
      <left style="thick">
        <color rgb="FF0070C0"/>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ck">
        <color rgb="FF0070C0"/>
      </left>
      <right style="thick">
        <color rgb="FF0070C0"/>
      </right>
      <top/>
      <bottom style="thick">
        <color rgb="FF0070C0"/>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top/>
      <bottom style="thick">
        <color rgb="FFFF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top style="thick">
        <color rgb="FF00B050"/>
      </top>
      <bottom style="thick">
        <color rgb="FF00B050"/>
      </bottom>
      <diagonal/>
    </border>
    <border>
      <left/>
      <right style="thick">
        <color rgb="FF00B050"/>
      </right>
      <top style="thick">
        <color rgb="FF00B050"/>
      </top>
      <bottom style="thick">
        <color rgb="FF00B050"/>
      </bottom>
      <diagonal/>
    </border>
    <border>
      <left/>
      <right/>
      <top/>
      <bottom style="thick">
        <color rgb="FF002060"/>
      </bottom>
      <diagonal/>
    </border>
    <border>
      <left style="thick">
        <color rgb="FF002060"/>
      </left>
      <right/>
      <top style="thick">
        <color rgb="FF002060"/>
      </top>
      <bottom style="thick">
        <color rgb="FF002060"/>
      </bottom>
      <diagonal/>
    </border>
    <border>
      <left/>
      <right style="thick">
        <color rgb="FF002060"/>
      </right>
      <top style="thick">
        <color rgb="FF002060"/>
      </top>
      <bottom style="thick">
        <color rgb="FF002060"/>
      </bottom>
      <diagonal/>
    </border>
    <border>
      <left style="thick">
        <color rgb="FF00FF00"/>
      </left>
      <right/>
      <top style="thick">
        <color rgb="FF00FF00"/>
      </top>
      <bottom style="thick">
        <color rgb="FF00FF00"/>
      </bottom>
      <diagonal/>
    </border>
    <border>
      <left/>
      <right style="thick">
        <color rgb="FF00FF00"/>
      </right>
      <top style="thick">
        <color rgb="FF00FF00"/>
      </top>
      <bottom style="thick">
        <color rgb="FF00FF00"/>
      </bottom>
      <diagonal/>
    </border>
    <border>
      <left/>
      <right/>
      <top/>
      <bottom style="thick">
        <color theme="4" tint="-0.249977111117893"/>
      </bottom>
      <diagonal/>
    </border>
    <border>
      <left style="thin">
        <color auto="1"/>
      </left>
      <right style="thin">
        <color auto="1"/>
      </right>
      <top style="thin">
        <color auto="1"/>
      </top>
      <bottom style="thick">
        <color rgb="FF0070C0"/>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6" fillId="0" borderId="0"/>
    <xf numFmtId="0" fontId="5" fillId="0" borderId="0"/>
    <xf numFmtId="0" fontId="4" fillId="0" borderId="0"/>
    <xf numFmtId="9" fontId="6" fillId="0" borderId="0" applyFont="0" applyFill="0" applyBorder="0" applyAlignment="0" applyProtection="0"/>
    <xf numFmtId="0" fontId="50" fillId="0" borderId="0" applyNumberFormat="0" applyFill="0" applyBorder="0" applyAlignment="0" applyProtection="0"/>
    <xf numFmtId="0" fontId="3" fillId="0" borderId="0"/>
    <xf numFmtId="0" fontId="81" fillId="0" borderId="0"/>
    <xf numFmtId="167" fontId="96" fillId="0" borderId="0" applyBorder="0" applyProtection="0"/>
    <xf numFmtId="0" fontId="96" fillId="0" borderId="0"/>
    <xf numFmtId="9" fontId="96" fillId="0" borderId="0" applyBorder="0" applyProtection="0"/>
    <xf numFmtId="0" fontId="2" fillId="0" borderId="0"/>
  </cellStyleXfs>
  <cellXfs count="1374">
    <xf numFmtId="0" fontId="0" fillId="0" borderId="0" xfId="0"/>
    <xf numFmtId="0" fontId="12" fillId="0" borderId="0" xfId="0" applyFont="1" applyAlignment="1" applyProtection="1">
      <alignment horizontal="left"/>
      <protection locked="0"/>
    </xf>
    <xf numFmtId="0" fontId="7" fillId="0" borderId="0" xfId="0" applyFont="1"/>
    <xf numFmtId="0" fontId="7" fillId="0" borderId="0" xfId="0" applyFont="1" applyAlignment="1">
      <alignment horizontal="center"/>
    </xf>
    <xf numFmtId="0" fontId="7" fillId="0" borderId="0" xfId="0" applyFont="1" applyAlignment="1">
      <alignment vertical="center"/>
    </xf>
    <xf numFmtId="0" fontId="7" fillId="0" borderId="0" xfId="0" applyFont="1" applyAlignment="1">
      <alignment horizontal="right" vertical="center"/>
    </xf>
    <xf numFmtId="0" fontId="16" fillId="0" borderId="0" xfId="0" applyFont="1" applyAlignment="1">
      <alignment vertical="center"/>
    </xf>
    <xf numFmtId="0" fontId="17"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9" fillId="0" borderId="0" xfId="0" applyFont="1" applyAlignment="1">
      <alignment horizontal="right" vertical="center"/>
    </xf>
    <xf numFmtId="164" fontId="0" fillId="4" borderId="0" xfId="0" applyNumberFormat="1" applyFill="1" applyAlignment="1">
      <alignment horizontal="center" vertical="center"/>
    </xf>
    <xf numFmtId="164" fontId="0" fillId="0" borderId="0" xfId="0" applyNumberFormat="1" applyAlignment="1">
      <alignment horizontal="center" vertical="center"/>
    </xf>
    <xf numFmtId="0" fontId="16" fillId="0" borderId="0" xfId="0" applyFont="1"/>
    <xf numFmtId="0" fontId="9" fillId="0" borderId="0" xfId="0" applyFont="1" applyAlignment="1">
      <alignment horizontal="center" textRotation="90"/>
    </xf>
    <xf numFmtId="1" fontId="21" fillId="0" borderId="0" xfId="0" applyNumberFormat="1" applyFont="1" applyAlignment="1">
      <alignment horizontal="right" vertical="center"/>
    </xf>
    <xf numFmtId="1" fontId="21" fillId="0" borderId="0" xfId="0" applyNumberFormat="1" applyFont="1" applyAlignment="1">
      <alignment horizontal="right" textRotation="90"/>
    </xf>
    <xf numFmtId="164" fontId="6" fillId="5" borderId="24" xfId="0" applyNumberFormat="1" applyFont="1" applyFill="1" applyBorder="1" applyAlignment="1" applyProtection="1">
      <alignment horizontal="center" vertical="center"/>
      <protection locked="0"/>
    </xf>
    <xf numFmtId="0" fontId="24" fillId="0" borderId="0" xfId="0" applyFont="1"/>
    <xf numFmtId="0" fontId="27" fillId="0" borderId="0" xfId="0" applyFont="1" applyAlignment="1">
      <alignment vertical="center"/>
    </xf>
    <xf numFmtId="0" fontId="27" fillId="0" borderId="0" xfId="0" applyFont="1" applyAlignment="1">
      <alignment horizontal="left" vertical="center" indent="4"/>
    </xf>
    <xf numFmtId="0" fontId="27" fillId="0" borderId="0" xfId="0" applyFont="1" applyAlignment="1">
      <alignment horizontal="left" vertical="center" indent="11"/>
    </xf>
    <xf numFmtId="0" fontId="30" fillId="0" borderId="0" xfId="0" applyFont="1" applyAlignment="1">
      <alignment horizontal="left" vertical="center" indent="4"/>
    </xf>
    <xf numFmtId="0" fontId="30" fillId="0" borderId="0" xfId="0" applyFont="1" applyAlignment="1">
      <alignment horizontal="left" vertical="center" indent="2"/>
    </xf>
    <xf numFmtId="0" fontId="30" fillId="0" borderId="0" xfId="0" applyFont="1" applyAlignment="1">
      <alignment vertical="center"/>
    </xf>
    <xf numFmtId="0" fontId="31" fillId="0" borderId="0" xfId="0" applyFont="1" applyAlignment="1">
      <alignment vertical="center"/>
    </xf>
    <xf numFmtId="0" fontId="24" fillId="0" borderId="0" xfId="0" applyFont="1" applyAlignment="1">
      <alignment vertical="top"/>
    </xf>
    <xf numFmtId="0" fontId="33" fillId="0" borderId="0" xfId="0" applyFont="1"/>
    <xf numFmtId="0" fontId="33" fillId="0" borderId="0" xfId="0" applyFont="1" applyAlignment="1">
      <alignment horizontal="center" vertical="center"/>
    </xf>
    <xf numFmtId="0" fontId="33" fillId="0" borderId="0" xfId="0" applyFont="1" applyAlignment="1">
      <alignment horizontal="center"/>
    </xf>
    <xf numFmtId="0" fontId="0" fillId="0" borderId="24" xfId="0" applyBorder="1" applyAlignment="1">
      <alignment horizontal="center" vertical="center"/>
    </xf>
    <xf numFmtId="0" fontId="9" fillId="0" borderId="24" xfId="0" applyFont="1" applyBorder="1" applyAlignment="1">
      <alignment horizontal="center" textRotation="90"/>
    </xf>
    <xf numFmtId="164" fontId="0" fillId="4" borderId="24" xfId="0" applyNumberFormat="1" applyFill="1" applyBorder="1" applyAlignment="1">
      <alignment horizontal="center" vertical="center"/>
    </xf>
    <xf numFmtId="0" fontId="17" fillId="0" borderId="0" xfId="0" applyFont="1" applyAlignment="1" applyProtection="1">
      <alignment horizontal="center"/>
      <protection locked="0"/>
    </xf>
    <xf numFmtId="0" fontId="34" fillId="0" borderId="0" xfId="1" applyFont="1"/>
    <xf numFmtId="0" fontId="14" fillId="0" borderId="0" xfId="1" applyFont="1"/>
    <xf numFmtId="0" fontId="14" fillId="0" borderId="0" xfId="1" applyFont="1" applyAlignment="1">
      <alignment horizontal="left"/>
    </xf>
    <xf numFmtId="0" fontId="35" fillId="0" borderId="0" xfId="1" applyFont="1"/>
    <xf numFmtId="0" fontId="35" fillId="0" borderId="0" xfId="1" applyFont="1" applyAlignment="1">
      <alignment horizontal="center"/>
    </xf>
    <xf numFmtId="9" fontId="35" fillId="0" borderId="0" xfId="1" applyNumberFormat="1" applyFont="1" applyAlignment="1">
      <alignment horizontal="center"/>
    </xf>
    <xf numFmtId="9" fontId="35" fillId="0" borderId="0" xfId="1" applyNumberFormat="1" applyFont="1"/>
    <xf numFmtId="0" fontId="6" fillId="0" borderId="0" xfId="0" applyFont="1" applyAlignment="1">
      <alignment vertical="center"/>
    </xf>
    <xf numFmtId="0" fontId="33" fillId="0" borderId="0" xfId="0" applyFont="1" applyAlignment="1" applyProtection="1">
      <alignment vertical="top" wrapText="1"/>
      <protection locked="0"/>
    </xf>
    <xf numFmtId="9" fontId="33" fillId="0" borderId="0" xfId="0" applyNumberFormat="1" applyFont="1" applyAlignment="1">
      <alignment vertical="center" textRotation="90"/>
    </xf>
    <xf numFmtId="0" fontId="33" fillId="6" borderId="9" xfId="0" applyFont="1" applyFill="1" applyBorder="1" applyAlignment="1" applyProtection="1">
      <alignment vertical="top" wrapText="1"/>
      <protection locked="0"/>
    </xf>
    <xf numFmtId="0" fontId="33" fillId="6" borderId="22" xfId="0" applyFont="1" applyFill="1" applyBorder="1" applyAlignment="1" applyProtection="1">
      <alignment vertical="top" wrapText="1"/>
      <protection locked="0"/>
    </xf>
    <xf numFmtId="0" fontId="33" fillId="6" borderId="23" xfId="0" applyFont="1" applyFill="1" applyBorder="1" applyAlignment="1" applyProtection="1">
      <alignment vertical="top" wrapText="1"/>
      <protection locked="0"/>
    </xf>
    <xf numFmtId="0" fontId="33" fillId="0" borderId="0" xfId="0" applyFont="1" applyAlignment="1">
      <alignment vertical="center"/>
    </xf>
    <xf numFmtId="0" fontId="15" fillId="0" borderId="0" xfId="1" applyFont="1"/>
    <xf numFmtId="0" fontId="17" fillId="0" borderId="18" xfId="1" applyFont="1" applyBorder="1" applyAlignment="1">
      <alignment horizontal="center"/>
    </xf>
    <xf numFmtId="0" fontId="17" fillId="0" borderId="0" xfId="1" applyFont="1" applyAlignment="1">
      <alignment horizontal="center"/>
    </xf>
    <xf numFmtId="0" fontId="6" fillId="0" borderId="0" xfId="1"/>
    <xf numFmtId="0" fontId="6" fillId="0" borderId="0" xfId="1" applyAlignment="1">
      <alignment horizontal="right"/>
    </xf>
    <xf numFmtId="0" fontId="6" fillId="0" borderId="0" xfId="1" applyAlignment="1">
      <alignment horizontal="center" vertical="center"/>
    </xf>
    <xf numFmtId="0" fontId="6" fillId="0" borderId="0" xfId="1" applyAlignment="1">
      <alignment horizontal="center"/>
    </xf>
    <xf numFmtId="1" fontId="6" fillId="0" borderId="0" xfId="1" applyNumberFormat="1" applyAlignment="1">
      <alignment horizontal="center"/>
    </xf>
    <xf numFmtId="0" fontId="6" fillId="0" borderId="0" xfId="1" applyAlignment="1">
      <alignment horizontal="left"/>
    </xf>
    <xf numFmtId="1" fontId="6" fillId="0" borderId="0" xfId="1" applyNumberFormat="1" applyAlignment="1">
      <alignment horizontal="left" textRotation="90"/>
    </xf>
    <xf numFmtId="0" fontId="6" fillId="0" borderId="1" xfId="1" applyBorder="1" applyAlignment="1">
      <alignment horizontal="right" vertical="center"/>
    </xf>
    <xf numFmtId="0" fontId="6" fillId="0" borderId="2" xfId="1" applyBorder="1"/>
    <xf numFmtId="0" fontId="6" fillId="0" borderId="1" xfId="1" applyBorder="1" applyAlignment="1">
      <alignment horizontal="center" textRotation="90"/>
    </xf>
    <xf numFmtId="0" fontId="6" fillId="0" borderId="8" xfId="1" applyBorder="1" applyAlignment="1">
      <alignment horizontal="center" textRotation="90"/>
    </xf>
    <xf numFmtId="0" fontId="6" fillId="0" borderId="20" xfId="1" applyBorder="1" applyAlignment="1">
      <alignment horizontal="center" textRotation="90"/>
    </xf>
    <xf numFmtId="0" fontId="6" fillId="0" borderId="28" xfId="1" applyBorder="1" applyAlignment="1">
      <alignment horizontal="center" textRotation="90"/>
    </xf>
    <xf numFmtId="0" fontId="6" fillId="3" borderId="21" xfId="1" applyFill="1" applyBorder="1" applyAlignment="1" applyProtection="1">
      <alignment horizontal="center" textRotation="90"/>
      <protection locked="0"/>
    </xf>
    <xf numFmtId="0" fontId="6" fillId="0" borderId="29" xfId="1" applyBorder="1" applyAlignment="1">
      <alignment horizontal="center" textRotation="90"/>
    </xf>
    <xf numFmtId="0" fontId="10" fillId="13" borderId="30" xfId="1" applyFont="1" applyFill="1" applyBorder="1" applyAlignment="1">
      <alignment horizontal="center"/>
    </xf>
    <xf numFmtId="1" fontId="21" fillId="0" borderId="0" xfId="1" applyNumberFormat="1" applyFont="1" applyAlignment="1" applyProtection="1">
      <alignment horizontal="center" vertical="center"/>
      <protection locked="0"/>
    </xf>
    <xf numFmtId="0" fontId="6" fillId="0" borderId="3" xfId="1" applyBorder="1" applyAlignment="1">
      <alignment horizontal="center" vertical="center"/>
    </xf>
    <xf numFmtId="0" fontId="6" fillId="0" borderId="10" xfId="1" applyBorder="1" applyAlignment="1">
      <alignment horizontal="left" vertical="center"/>
    </xf>
    <xf numFmtId="164" fontId="6" fillId="0" borderId="3" xfId="1" applyNumberFormat="1" applyBorder="1" applyAlignment="1">
      <alignment horizontal="center" vertical="center"/>
    </xf>
    <xf numFmtId="164" fontId="6" fillId="4" borderId="24" xfId="1" applyNumberFormat="1" applyFill="1" applyBorder="1" applyAlignment="1">
      <alignment horizontal="center" vertical="center"/>
    </xf>
    <xf numFmtId="164" fontId="6" fillId="4" borderId="6" xfId="1" applyNumberFormat="1" applyFill="1" applyBorder="1" applyAlignment="1">
      <alignment horizontal="center" vertical="center"/>
    </xf>
    <xf numFmtId="164" fontId="6" fillId="4" borderId="24" xfId="1" applyNumberFormat="1" applyFill="1" applyBorder="1" applyAlignment="1" applyProtection="1">
      <alignment horizontal="center" vertical="center"/>
      <protection locked="0"/>
    </xf>
    <xf numFmtId="0" fontId="18" fillId="0" borderId="0" xfId="1" applyFont="1" applyAlignment="1" applyProtection="1">
      <alignment horizontal="center" vertical="center"/>
      <protection locked="0"/>
    </xf>
    <xf numFmtId="0" fontId="6" fillId="0" borderId="0" xfId="1" applyAlignment="1" applyProtection="1">
      <alignment horizontal="center"/>
      <protection locked="0"/>
    </xf>
    <xf numFmtId="0" fontId="10" fillId="13" borderId="33" xfId="1" applyFont="1" applyFill="1" applyBorder="1" applyAlignment="1">
      <alignment horizontal="center" vertical="justify"/>
    </xf>
    <xf numFmtId="0" fontId="6" fillId="0" borderId="0" xfId="1" applyAlignment="1">
      <alignment vertical="center"/>
    </xf>
    <xf numFmtId="0" fontId="6" fillId="0" borderId="0" xfId="1" applyAlignment="1" applyProtection="1">
      <alignment horizontal="center" vertical="center"/>
      <protection locked="0"/>
    </xf>
    <xf numFmtId="0" fontId="6" fillId="2" borderId="24" xfId="1" applyFill="1" applyBorder="1" applyAlignment="1" applyProtection="1">
      <alignment horizontal="left" vertical="center" wrapText="1"/>
      <protection locked="0"/>
    </xf>
    <xf numFmtId="1" fontId="36" fillId="0" borderId="0" xfId="1" applyNumberFormat="1" applyFont="1" applyAlignment="1">
      <alignment horizontal="center" vertical="center"/>
    </xf>
    <xf numFmtId="164" fontId="6" fillId="5" borderId="24" xfId="1" applyNumberFormat="1" applyFill="1" applyBorder="1" applyAlignment="1" applyProtection="1">
      <alignment horizontal="center" vertical="center"/>
      <protection locked="0"/>
    </xf>
    <xf numFmtId="0" fontId="6" fillId="0" borderId="0" xfId="4" applyNumberFormat="1" applyFill="1" applyBorder="1" applyAlignment="1" applyProtection="1">
      <alignment horizontal="center"/>
    </xf>
    <xf numFmtId="0" fontId="21" fillId="0" borderId="0" xfId="1" applyFont="1" applyAlignment="1">
      <alignment horizontal="center" vertical="center"/>
    </xf>
    <xf numFmtId="9" fontId="6" fillId="0" borderId="0" xfId="4" applyFill="1" applyBorder="1" applyAlignment="1" applyProtection="1">
      <alignment horizontal="center"/>
    </xf>
    <xf numFmtId="1" fontId="21" fillId="0" borderId="0" xfId="1" applyNumberFormat="1" applyFont="1" applyAlignment="1">
      <alignment horizontal="center" vertical="center"/>
    </xf>
    <xf numFmtId="9" fontId="37" fillId="0" borderId="0" xfId="4" applyFont="1" applyFill="1" applyBorder="1" applyAlignment="1" applyProtection="1">
      <alignment horizontal="center"/>
    </xf>
    <xf numFmtId="164" fontId="6" fillId="4" borderId="3" xfId="1" applyNumberFormat="1" applyFill="1" applyBorder="1" applyAlignment="1" applyProtection="1">
      <alignment horizontal="center" vertical="center"/>
      <protection locked="0"/>
    </xf>
    <xf numFmtId="0" fontId="9" fillId="0" borderId="0" xfId="1" applyFont="1" applyAlignment="1">
      <alignment horizontal="right"/>
    </xf>
    <xf numFmtId="0" fontId="9" fillId="0" borderId="0" xfId="1" applyFont="1" applyAlignment="1">
      <alignment horizontal="center" vertical="center"/>
    </xf>
    <xf numFmtId="164" fontId="6" fillId="0" borderId="3" xfId="1" applyNumberFormat="1" applyBorder="1" applyAlignment="1" applyProtection="1">
      <alignment horizontal="center" vertical="center"/>
      <protection locked="0"/>
    </xf>
    <xf numFmtId="0" fontId="13" fillId="0" borderId="0" xfId="1" applyFont="1" applyAlignment="1">
      <alignment horizontal="center"/>
    </xf>
    <xf numFmtId="0" fontId="13" fillId="0" borderId="0" xfId="1" applyFont="1"/>
    <xf numFmtId="0" fontId="11" fillId="0" borderId="0" xfId="1" applyFont="1" applyAlignment="1">
      <alignment horizontal="center"/>
    </xf>
    <xf numFmtId="0" fontId="6" fillId="0" borderId="4" xfId="1" applyBorder="1" applyAlignment="1">
      <alignment horizontal="center" vertical="center"/>
    </xf>
    <xf numFmtId="0" fontId="6" fillId="0" borderId="11" xfId="1" applyBorder="1" applyAlignment="1">
      <alignment horizontal="left" vertical="center"/>
    </xf>
    <xf numFmtId="164" fontId="6" fillId="0" borderId="4" xfId="1" applyNumberFormat="1" applyBorder="1" applyAlignment="1">
      <alignment horizontal="center" vertical="center"/>
    </xf>
    <xf numFmtId="164" fontId="6" fillId="4" borderId="19" xfId="1" applyNumberFormat="1" applyFill="1" applyBorder="1" applyAlignment="1">
      <alignment horizontal="center" vertical="center"/>
    </xf>
    <xf numFmtId="164" fontId="6" fillId="4" borderId="7" xfId="1" applyNumberFormat="1" applyFill="1" applyBorder="1" applyAlignment="1">
      <alignment horizontal="center" vertical="center"/>
    </xf>
    <xf numFmtId="164" fontId="6" fillId="4" borderId="19" xfId="1" applyNumberFormat="1" applyFill="1" applyBorder="1" applyAlignment="1" applyProtection="1">
      <alignment horizontal="center" vertical="center"/>
      <protection locked="0"/>
    </xf>
    <xf numFmtId="0" fontId="9" fillId="0" borderId="0" xfId="1" applyFont="1" applyAlignment="1" applyProtection="1">
      <alignment horizontal="center"/>
      <protection locked="0"/>
    </xf>
    <xf numFmtId="0" fontId="6" fillId="0" borderId="0" xfId="1" applyAlignment="1">
      <alignment vertical="top" readingOrder="1"/>
    </xf>
    <xf numFmtId="0" fontId="23" fillId="0" borderId="0" xfId="1" applyFont="1"/>
    <xf numFmtId="0" fontId="23" fillId="0" borderId="0" xfId="1" applyFont="1" applyAlignment="1">
      <alignment horizontal="center" vertical="center"/>
    </xf>
    <xf numFmtId="0" fontId="23" fillId="0" borderId="0" xfId="1" applyFont="1" applyAlignment="1">
      <alignment horizontal="center"/>
    </xf>
    <xf numFmtId="1" fontId="23" fillId="0" borderId="0" xfId="1" applyNumberFormat="1" applyFont="1" applyAlignment="1">
      <alignment horizontal="center"/>
    </xf>
    <xf numFmtId="0" fontId="9" fillId="0" borderId="0" xfId="1" applyFont="1" applyAlignment="1">
      <alignment vertical="center"/>
    </xf>
    <xf numFmtId="0" fontId="25" fillId="0" borderId="0" xfId="1" applyFont="1" applyAlignment="1">
      <alignment vertical="center"/>
    </xf>
    <xf numFmtId="0" fontId="26" fillId="0" borderId="0" xfId="1" applyFont="1" applyAlignment="1">
      <alignment vertical="center"/>
    </xf>
    <xf numFmtId="1" fontId="23" fillId="0" borderId="0" xfId="1" applyNumberFormat="1" applyFont="1" applyAlignment="1" applyProtection="1">
      <alignment horizontal="left"/>
      <protection locked="0"/>
    </xf>
    <xf numFmtId="1" fontId="23" fillId="0" borderId="0" xfId="1" applyNumberFormat="1" applyFont="1" applyAlignment="1">
      <alignment horizontal="left"/>
    </xf>
    <xf numFmtId="49" fontId="23" fillId="0" borderId="0" xfId="1" applyNumberFormat="1" applyFont="1" applyAlignment="1" applyProtection="1">
      <alignment vertical="top" wrapText="1"/>
      <protection locked="0"/>
    </xf>
    <xf numFmtId="9" fontId="23" fillId="0" borderId="0" xfId="1" applyNumberFormat="1" applyFont="1"/>
    <xf numFmtId="0" fontId="43" fillId="0" borderId="0" xfId="1" applyFont="1" applyAlignment="1">
      <alignment horizontal="center" vertical="center"/>
    </xf>
    <xf numFmtId="0" fontId="42" fillId="0" borderId="0" xfId="1" applyFont="1" applyAlignment="1">
      <alignment horizontal="left"/>
    </xf>
    <xf numFmtId="0" fontId="42" fillId="0" borderId="0" xfId="1" applyFont="1" applyAlignment="1">
      <alignment horizontal="center" vertical="center"/>
    </xf>
    <xf numFmtId="0" fontId="21" fillId="0" borderId="0" xfId="1" applyFont="1" applyAlignment="1">
      <alignment horizontal="right"/>
    </xf>
    <xf numFmtId="0" fontId="38" fillId="0" borderId="0" xfId="1" applyFont="1" applyAlignment="1">
      <alignment horizontal="left"/>
    </xf>
    <xf numFmtId="0" fontId="17" fillId="3" borderId="0" xfId="0" applyFont="1" applyFill="1" applyAlignment="1" applyProtection="1">
      <alignment horizontal="center"/>
      <protection locked="0"/>
    </xf>
    <xf numFmtId="0" fontId="17" fillId="0" borderId="0" xfId="0" applyFont="1" applyAlignment="1">
      <alignment vertical="center" wrapText="1"/>
    </xf>
    <xf numFmtId="49" fontId="6" fillId="0" borderId="10" xfId="1" applyNumberFormat="1" applyBorder="1" applyAlignment="1">
      <alignment horizontal="left" vertical="center"/>
    </xf>
    <xf numFmtId="0" fontId="23" fillId="2" borderId="1" xfId="1" applyFont="1" applyFill="1" applyBorder="1" applyAlignment="1" applyProtection="1">
      <alignment horizontal="center" vertical="center"/>
      <protection locked="0"/>
    </xf>
    <xf numFmtId="0" fontId="23" fillId="2" borderId="3" xfId="1" applyFont="1" applyFill="1" applyBorder="1" applyAlignment="1" applyProtection="1">
      <alignment horizontal="center" vertical="center"/>
      <protection locked="0"/>
    </xf>
    <xf numFmtId="0" fontId="23" fillId="2" borderId="4" xfId="1" applyFont="1" applyFill="1" applyBorder="1" applyAlignment="1" applyProtection="1">
      <alignment horizontal="center" vertical="center"/>
      <protection locked="0"/>
    </xf>
    <xf numFmtId="9" fontId="23" fillId="0" borderId="0" xfId="1" applyNumberFormat="1" applyFont="1" applyAlignment="1">
      <alignment horizontal="center" vertical="center"/>
    </xf>
    <xf numFmtId="0" fontId="14" fillId="0" borderId="24" xfId="1" applyFont="1" applyBorder="1" applyAlignment="1">
      <alignment vertical="center"/>
    </xf>
    <xf numFmtId="0" fontId="14" fillId="0" borderId="24" xfId="1" applyFont="1" applyBorder="1" applyAlignment="1">
      <alignment horizontal="left" vertical="center"/>
    </xf>
    <xf numFmtId="0" fontId="23" fillId="0" borderId="0" xfId="0" applyFont="1" applyAlignment="1">
      <alignment horizontal="center"/>
    </xf>
    <xf numFmtId="0" fontId="17" fillId="0" borderId="0" xfId="1" applyFont="1" applyAlignment="1">
      <alignment horizontal="center" vertical="center"/>
    </xf>
    <xf numFmtId="0" fontId="46" fillId="0" borderId="0" xfId="1" applyFont="1" applyAlignment="1">
      <alignment horizontal="center" vertical="center"/>
    </xf>
    <xf numFmtId="0" fontId="6" fillId="0" borderId="0" xfId="1" applyAlignment="1" applyProtection="1">
      <alignment vertical="top"/>
      <protection locked="0"/>
    </xf>
    <xf numFmtId="0" fontId="21" fillId="0" borderId="0" xfId="1" applyFont="1" applyAlignment="1">
      <alignment horizontal="center"/>
    </xf>
    <xf numFmtId="0" fontId="37" fillId="0" borderId="0" xfId="1" applyFont="1"/>
    <xf numFmtId="0" fontId="37" fillId="0" borderId="0" xfId="1" applyFont="1" applyAlignment="1">
      <alignment horizontal="center"/>
    </xf>
    <xf numFmtId="164" fontId="21" fillId="0" borderId="0" xfId="1" applyNumberFormat="1" applyFont="1" applyAlignment="1">
      <alignment horizontal="center"/>
    </xf>
    <xf numFmtId="0" fontId="24" fillId="0" borderId="0" xfId="1" applyFont="1"/>
    <xf numFmtId="14" fontId="6" fillId="0" borderId="24" xfId="0" applyNumberFormat="1" applyFont="1" applyBorder="1" applyAlignment="1" applyProtection="1">
      <alignment textRotation="60"/>
      <protection locked="0"/>
    </xf>
    <xf numFmtId="0" fontId="6" fillId="0" borderId="24" xfId="0" applyFont="1" applyBorder="1" applyAlignment="1">
      <alignment horizontal="center" textRotation="90"/>
    </xf>
    <xf numFmtId="0" fontId="51" fillId="0" borderId="0" xfId="1" applyFont="1"/>
    <xf numFmtId="9" fontId="6" fillId="0" borderId="0" xfId="4" applyFont="1" applyFill="1" applyBorder="1" applyAlignment="1" applyProtection="1">
      <alignment horizontal="center" vertical="center" textRotation="90"/>
    </xf>
    <xf numFmtId="0" fontId="6" fillId="0" borderId="0" xfId="1" applyProtection="1">
      <protection locked="0"/>
    </xf>
    <xf numFmtId="0" fontId="21" fillId="0" borderId="0" xfId="1" applyFont="1" applyAlignment="1">
      <alignment vertical="center"/>
    </xf>
    <xf numFmtId="0" fontId="21" fillId="0" borderId="0" xfId="1" applyFont="1" applyAlignment="1">
      <alignment horizontal="left"/>
    </xf>
    <xf numFmtId="0" fontId="21" fillId="0" borderId="0" xfId="1" applyFont="1" applyAlignment="1">
      <alignment horizontal="left" vertical="center"/>
    </xf>
    <xf numFmtId="1" fontId="21" fillId="0" borderId="0" xfId="1" applyNumberFormat="1" applyFont="1" applyAlignment="1">
      <alignment horizontal="left"/>
    </xf>
    <xf numFmtId="9" fontId="21" fillId="0" borderId="0" xfId="1" applyNumberFormat="1" applyFont="1" applyAlignment="1">
      <alignment horizontal="left" vertical="center"/>
    </xf>
    <xf numFmtId="9" fontId="21" fillId="0" borderId="0" xfId="1" applyNumberFormat="1" applyFont="1" applyAlignment="1">
      <alignment horizontal="left"/>
    </xf>
    <xf numFmtId="9" fontId="21" fillId="0" borderId="0" xfId="1" applyNumberFormat="1" applyFont="1" applyAlignment="1">
      <alignment horizontal="center"/>
    </xf>
    <xf numFmtId="1" fontId="21" fillId="0" borderId="0" xfId="1" applyNumberFormat="1" applyFont="1" applyAlignment="1">
      <alignment horizontal="center"/>
    </xf>
    <xf numFmtId="0" fontId="21" fillId="0" borderId="0" xfId="1" applyFont="1"/>
    <xf numFmtId="9" fontId="21" fillId="0" borderId="0" xfId="1" applyNumberFormat="1" applyFont="1" applyAlignment="1">
      <alignment horizontal="center" vertical="center"/>
    </xf>
    <xf numFmtId="164" fontId="14" fillId="0" borderId="0" xfId="1" applyNumberFormat="1" applyFont="1"/>
    <xf numFmtId="164" fontId="14" fillId="0" borderId="0" xfId="1" applyNumberFormat="1" applyFont="1" applyAlignment="1">
      <alignment horizontal="left"/>
    </xf>
    <xf numFmtId="164" fontId="35" fillId="0" borderId="0" xfId="1" applyNumberFormat="1" applyFont="1" applyAlignment="1">
      <alignment horizontal="left"/>
    </xf>
    <xf numFmtId="0" fontId="35" fillId="10" borderId="0" xfId="1" applyFont="1" applyFill="1" applyAlignment="1">
      <alignment horizontal="left" vertical="center"/>
    </xf>
    <xf numFmtId="0" fontId="35" fillId="11" borderId="0" xfId="1" applyFont="1" applyFill="1" applyAlignment="1">
      <alignment horizontal="left" vertical="center"/>
    </xf>
    <xf numFmtId="0" fontId="35" fillId="0" borderId="0" xfId="1" applyFont="1" applyAlignment="1">
      <alignment horizontal="left" vertical="center"/>
    </xf>
    <xf numFmtId="0" fontId="35" fillId="12" borderId="0" xfId="1" applyFont="1" applyFill="1" applyAlignment="1">
      <alignment horizontal="left" vertical="center"/>
    </xf>
    <xf numFmtId="164" fontId="14" fillId="0" borderId="0" xfId="1" applyNumberFormat="1" applyFont="1" applyAlignment="1">
      <alignment horizontal="left" vertical="center"/>
    </xf>
    <xf numFmtId="164" fontId="35" fillId="0" borderId="0" xfId="1" applyNumberFormat="1" applyFont="1" applyAlignment="1">
      <alignment horizontal="left" vertical="center"/>
    </xf>
    <xf numFmtId="0" fontId="52" fillId="0" borderId="0" xfId="1" applyFont="1" applyAlignment="1">
      <alignment horizontal="center" vertical="center" textRotation="90"/>
    </xf>
    <xf numFmtId="9" fontId="21" fillId="0" borderId="0" xfId="1" applyNumberFormat="1" applyFont="1" applyAlignment="1">
      <alignment vertical="center"/>
    </xf>
    <xf numFmtId="9" fontId="21" fillId="0" borderId="0" xfId="4" applyFont="1" applyFill="1" applyBorder="1" applyAlignment="1" applyProtection="1">
      <alignment vertical="center" textRotation="90"/>
    </xf>
    <xf numFmtId="1" fontId="21" fillId="0" borderId="0" xfId="1" applyNumberFormat="1" applyFont="1" applyAlignment="1">
      <alignment vertical="center"/>
    </xf>
    <xf numFmtId="0" fontId="34" fillId="0" borderId="0" xfId="1" applyFont="1" applyAlignment="1">
      <alignment horizontal="center"/>
    </xf>
    <xf numFmtId="0" fontId="52" fillId="0" borderId="0" xfId="1" applyFont="1" applyAlignment="1">
      <alignment horizontal="left" vertical="top"/>
    </xf>
    <xf numFmtId="164" fontId="23" fillId="0" borderId="0" xfId="1" applyNumberFormat="1" applyFont="1" applyAlignment="1">
      <alignment horizontal="center" vertical="center"/>
    </xf>
    <xf numFmtId="0" fontId="53" fillId="8" borderId="47" xfId="1" applyFont="1" applyFill="1" applyBorder="1" applyAlignment="1" applyProtection="1">
      <alignment horizontal="center"/>
      <protection locked="0"/>
    </xf>
    <xf numFmtId="0" fontId="57" fillId="0" borderId="0" xfId="1" applyFont="1"/>
    <xf numFmtId="0" fontId="23" fillId="0" borderId="0" xfId="0" applyFont="1" applyAlignment="1">
      <alignment horizontal="center" vertical="center"/>
    </xf>
    <xf numFmtId="0" fontId="18" fillId="0" borderId="0" xfId="0" applyFont="1" applyAlignment="1">
      <alignment horizontal="center" textRotation="90"/>
    </xf>
    <xf numFmtId="0" fontId="18" fillId="0" borderId="0" xfId="0" applyFont="1" applyAlignment="1" applyProtection="1">
      <alignment horizontal="center" vertical="center"/>
      <protection locked="0"/>
    </xf>
    <xf numFmtId="164" fontId="21" fillId="0" borderId="0" xfId="1" applyNumberFormat="1" applyFont="1" applyAlignment="1">
      <alignment horizontal="center" vertical="center"/>
    </xf>
    <xf numFmtId="0" fontId="60" fillId="0" borderId="18" xfId="1" applyFont="1" applyBorder="1" applyAlignment="1">
      <alignment horizontal="center"/>
    </xf>
    <xf numFmtId="0" fontId="60" fillId="0" borderId="17" xfId="1" applyFont="1" applyBorder="1"/>
    <xf numFmtId="0" fontId="60" fillId="0" borderId="0" xfId="1" applyFont="1" applyAlignment="1">
      <alignment vertical="center"/>
    </xf>
    <xf numFmtId="0" fontId="17" fillId="0" borderId="0" xfId="0" applyFont="1" applyAlignment="1">
      <alignment horizontal="center"/>
    </xf>
    <xf numFmtId="164" fontId="6" fillId="0" borderId="4" xfId="1" applyNumberFormat="1" applyBorder="1" applyAlignment="1" applyProtection="1">
      <alignment horizontal="center" vertical="center"/>
      <protection locked="0"/>
    </xf>
    <xf numFmtId="0" fontId="6" fillId="17" borderId="24" xfId="0" applyFont="1" applyFill="1" applyBorder="1" applyAlignment="1">
      <alignment horizontal="center" vertical="center"/>
    </xf>
    <xf numFmtId="0" fontId="0" fillId="2" borderId="3"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6" fillId="0" borderId="0" xfId="0" applyFont="1" applyAlignment="1">
      <alignment horizontal="center"/>
    </xf>
    <xf numFmtId="0" fontId="0" fillId="2" borderId="4"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6" fillId="0" borderId="0" xfId="1" applyFont="1" applyAlignment="1">
      <alignment vertical="center"/>
    </xf>
    <xf numFmtId="0" fontId="48" fillId="0" borderId="0" xfId="1" applyFont="1" applyAlignment="1">
      <alignment vertical="center"/>
    </xf>
    <xf numFmtId="0" fontId="16" fillId="0" borderId="0" xfId="1" applyFont="1" applyAlignment="1">
      <alignment horizontal="center" vertical="center"/>
    </xf>
    <xf numFmtId="0" fontId="16" fillId="0" borderId="0" xfId="1" applyFont="1" applyAlignment="1">
      <alignment horizontal="left" vertical="center"/>
    </xf>
    <xf numFmtId="0" fontId="11" fillId="0" borderId="44" xfId="1" applyFont="1" applyBorder="1" applyAlignment="1">
      <alignment vertical="center"/>
    </xf>
    <xf numFmtId="0" fontId="11" fillId="0" borderId="14" xfId="1" applyFont="1" applyBorder="1" applyAlignment="1">
      <alignment horizontal="center" vertical="center"/>
    </xf>
    <xf numFmtId="0" fontId="11" fillId="0" borderId="44" xfId="1" applyFont="1" applyBorder="1" applyAlignment="1">
      <alignment horizontal="center" vertical="center"/>
    </xf>
    <xf numFmtId="0" fontId="11" fillId="0" borderId="14" xfId="1" applyFont="1" applyBorder="1" applyAlignment="1">
      <alignment vertical="center"/>
    </xf>
    <xf numFmtId="0" fontId="11" fillId="0" borderId="5" xfId="1" applyFont="1" applyBorder="1" applyAlignment="1">
      <alignment vertical="center"/>
    </xf>
    <xf numFmtId="0" fontId="11" fillId="0" borderId="0" xfId="1" applyFont="1" applyAlignment="1">
      <alignment vertical="center"/>
    </xf>
    <xf numFmtId="0" fontId="14" fillId="9" borderId="8" xfId="1" applyFont="1" applyFill="1" applyBorder="1" applyAlignment="1" applyProtection="1">
      <alignment horizontal="center" vertical="center"/>
      <protection locked="0"/>
    </xf>
    <xf numFmtId="0" fontId="16" fillId="0" borderId="14" xfId="1" applyFont="1" applyBorder="1" applyAlignment="1">
      <alignment horizontal="left" vertical="center"/>
    </xf>
    <xf numFmtId="0" fontId="64" fillId="0" borderId="0" xfId="1" applyFont="1" applyAlignment="1">
      <alignment vertical="center"/>
    </xf>
    <xf numFmtId="0" fontId="16" fillId="0" borderId="45" xfId="1" applyFont="1" applyBorder="1" applyAlignment="1">
      <alignment vertical="center"/>
    </xf>
    <xf numFmtId="0" fontId="16" fillId="0" borderId="45" xfId="1" applyFont="1" applyBorder="1" applyAlignment="1">
      <alignment horizontal="center" vertical="center"/>
    </xf>
    <xf numFmtId="0" fontId="16" fillId="0" borderId="12" xfId="1" applyFont="1" applyBorder="1" applyAlignment="1">
      <alignment vertical="center"/>
    </xf>
    <xf numFmtId="0" fontId="16" fillId="5" borderId="19" xfId="1" applyFont="1" applyFill="1" applyBorder="1" applyAlignment="1" applyProtection="1">
      <alignment horizontal="center" vertical="center"/>
      <protection locked="0"/>
    </xf>
    <xf numFmtId="0" fontId="65" fillId="0" borderId="15" xfId="1" applyFont="1" applyBorder="1" applyAlignment="1">
      <alignment horizontal="left" vertical="center"/>
    </xf>
    <xf numFmtId="0" fontId="16" fillId="0" borderId="13" xfId="1" applyFont="1" applyBorder="1" applyAlignment="1">
      <alignment vertical="center"/>
    </xf>
    <xf numFmtId="0" fontId="64" fillId="0" borderId="0" xfId="1" applyFont="1" applyAlignment="1">
      <alignment horizontal="center" vertical="center"/>
    </xf>
    <xf numFmtId="0" fontId="48" fillId="0" borderId="0" xfId="1" applyFont="1" applyAlignment="1">
      <alignment horizontal="center" vertical="center"/>
    </xf>
    <xf numFmtId="0" fontId="16" fillId="0" borderId="45" xfId="1" applyFont="1" applyBorder="1" applyAlignment="1">
      <alignment horizontal="left" vertical="center"/>
    </xf>
    <xf numFmtId="0" fontId="16" fillId="0" borderId="12" xfId="1" applyFont="1" applyBorder="1" applyAlignment="1">
      <alignment horizontal="center" vertical="center"/>
    </xf>
    <xf numFmtId="0" fontId="64" fillId="0" borderId="0" xfId="1" applyFont="1" applyAlignment="1" applyProtection="1">
      <alignment horizontal="center" vertical="center"/>
      <protection locked="0"/>
    </xf>
    <xf numFmtId="0" fontId="16" fillId="0" borderId="46" xfId="1" applyFont="1" applyBorder="1" applyAlignment="1">
      <alignment horizontal="left" vertical="center"/>
    </xf>
    <xf numFmtId="0" fontId="16" fillId="0" borderId="15" xfId="1" applyFont="1" applyBorder="1" applyAlignment="1">
      <alignment vertical="center"/>
    </xf>
    <xf numFmtId="0" fontId="16" fillId="0" borderId="15" xfId="1" applyFont="1" applyBorder="1" applyAlignment="1">
      <alignment horizontal="center" vertical="center"/>
    </xf>
    <xf numFmtId="0" fontId="16" fillId="0" borderId="15" xfId="1" applyFont="1" applyBorder="1" applyAlignment="1">
      <alignment horizontal="left" vertical="center"/>
    </xf>
    <xf numFmtId="0" fontId="16" fillId="0" borderId="13" xfId="1" applyFont="1" applyBorder="1" applyAlignment="1">
      <alignment horizontal="center" vertical="center"/>
    </xf>
    <xf numFmtId="0" fontId="16" fillId="0" borderId="52" xfId="1" applyFont="1" applyBorder="1" applyAlignment="1">
      <alignment vertical="center"/>
    </xf>
    <xf numFmtId="0" fontId="16" fillId="15" borderId="55" xfId="1" applyFont="1" applyFill="1" applyBorder="1" applyAlignment="1">
      <alignment horizontal="center" vertical="center"/>
    </xf>
    <xf numFmtId="0" fontId="16" fillId="15" borderId="56" xfId="1" applyFont="1" applyFill="1" applyBorder="1" applyAlignment="1">
      <alignment horizontal="center" vertical="center"/>
    </xf>
    <xf numFmtId="0" fontId="16" fillId="15" borderId="57" xfId="1" applyFont="1" applyFill="1" applyBorder="1" applyAlignment="1">
      <alignment horizontal="center" vertical="center"/>
    </xf>
    <xf numFmtId="0" fontId="16" fillId="0" borderId="3" xfId="1" applyFont="1" applyBorder="1" applyAlignment="1">
      <alignment horizontal="center" vertical="center"/>
    </xf>
    <xf numFmtId="164" fontId="66" fillId="6" borderId="6" xfId="1" applyNumberFormat="1" applyFont="1" applyFill="1" applyBorder="1" applyAlignment="1" applyProtection="1">
      <alignment horizontal="left" vertical="center" wrapText="1"/>
      <protection locked="0"/>
    </xf>
    <xf numFmtId="0" fontId="64" fillId="0" borderId="45" xfId="1" applyFont="1" applyBorder="1" applyAlignment="1">
      <alignment horizontal="center" vertical="center"/>
    </xf>
    <xf numFmtId="0" fontId="16" fillId="18" borderId="1" xfId="1" applyFont="1" applyFill="1" applyBorder="1" applyAlignment="1">
      <alignment vertical="center"/>
    </xf>
    <xf numFmtId="0" fontId="16" fillId="18" borderId="36" xfId="1" applyFont="1" applyFill="1" applyBorder="1" applyAlignment="1">
      <alignment horizontal="center" vertical="center"/>
    </xf>
    <xf numFmtId="0" fontId="16" fillId="18" borderId="20" xfId="1" applyFont="1" applyFill="1" applyBorder="1" applyAlignment="1">
      <alignment vertical="center"/>
    </xf>
    <xf numFmtId="0" fontId="16" fillId="15" borderId="44" xfId="1" applyFont="1" applyFill="1" applyBorder="1" applyAlignment="1">
      <alignment vertical="center"/>
    </xf>
    <xf numFmtId="0" fontId="16" fillId="15" borderId="14" xfId="1" applyFont="1" applyFill="1" applyBorder="1" applyAlignment="1">
      <alignment vertical="center"/>
    </xf>
    <xf numFmtId="0" fontId="16" fillId="15" borderId="60" xfId="1" applyFont="1" applyFill="1" applyBorder="1" applyAlignment="1">
      <alignment horizontal="center" vertical="center"/>
    </xf>
    <xf numFmtId="0" fontId="65" fillId="0" borderId="4" xfId="1" applyFont="1" applyBorder="1" applyAlignment="1">
      <alignment horizontal="left" vertical="center"/>
    </xf>
    <xf numFmtId="0" fontId="16" fillId="0" borderId="40" xfId="1" applyFont="1" applyBorder="1" applyAlignment="1">
      <alignment horizontal="left" vertical="center"/>
    </xf>
    <xf numFmtId="0" fontId="65" fillId="0" borderId="40" xfId="1" applyFont="1" applyBorder="1" applyAlignment="1">
      <alignment horizontal="left" vertical="center"/>
    </xf>
    <xf numFmtId="164" fontId="16" fillId="0" borderId="57" xfId="1" applyNumberFormat="1" applyFont="1" applyBorder="1" applyAlignment="1">
      <alignment horizontal="center" vertical="center"/>
    </xf>
    <xf numFmtId="0" fontId="16" fillId="18" borderId="36" xfId="1" applyFont="1" applyFill="1" applyBorder="1" applyAlignment="1">
      <alignment vertical="center"/>
    </xf>
    <xf numFmtId="0" fontId="16" fillId="5" borderId="24" xfId="1" applyFont="1" applyFill="1" applyBorder="1" applyAlignment="1" applyProtection="1">
      <alignment horizontal="left" vertical="center"/>
      <protection locked="0"/>
    </xf>
    <xf numFmtId="164" fontId="16" fillId="0" borderId="64" xfId="1" applyNumberFormat="1" applyFont="1" applyBorder="1" applyAlignment="1">
      <alignment horizontal="center" vertical="center"/>
    </xf>
    <xf numFmtId="0" fontId="16" fillId="5" borderId="3" xfId="1" applyFont="1" applyFill="1" applyBorder="1" applyAlignment="1" applyProtection="1">
      <alignment horizontal="left" vertical="center"/>
      <protection locked="0"/>
    </xf>
    <xf numFmtId="0" fontId="16" fillId="0" borderId="65" xfId="1" applyFont="1" applyBorder="1" applyAlignment="1">
      <alignment horizontal="center" vertical="center"/>
    </xf>
    <xf numFmtId="0" fontId="65" fillId="0" borderId="1" xfId="1" applyFont="1" applyBorder="1" applyAlignment="1">
      <alignment horizontal="left" vertical="center"/>
    </xf>
    <xf numFmtId="0" fontId="65" fillId="0" borderId="36" xfId="1" applyFont="1" applyBorder="1" applyAlignment="1">
      <alignment horizontal="left" vertical="center"/>
    </xf>
    <xf numFmtId="0" fontId="65" fillId="22" borderId="20" xfId="1" applyFont="1" applyFill="1" applyBorder="1" applyAlignment="1">
      <alignment horizontal="center" vertical="center"/>
    </xf>
    <xf numFmtId="0" fontId="47" fillId="0" borderId="12" xfId="1" applyFont="1" applyBorder="1" applyAlignment="1">
      <alignment horizontal="center" vertical="center"/>
    </xf>
    <xf numFmtId="0" fontId="16" fillId="0" borderId="4" xfId="1" applyFont="1" applyBorder="1" applyAlignment="1">
      <alignment horizontal="center" vertical="center"/>
    </xf>
    <xf numFmtId="0" fontId="16" fillId="0" borderId="15" xfId="1" applyFont="1" applyBorder="1" applyAlignment="1" applyProtection="1">
      <alignment horizontal="center" vertical="center"/>
      <protection locked="0"/>
    </xf>
    <xf numFmtId="2" fontId="65" fillId="9" borderId="7" xfId="1" applyNumberFormat="1" applyFont="1" applyFill="1" applyBorder="1" applyAlignment="1">
      <alignment horizontal="center" vertical="center"/>
    </xf>
    <xf numFmtId="165" fontId="0" fillId="6" borderId="24" xfId="0" applyNumberFormat="1" applyFill="1" applyBorder="1" applyAlignment="1">
      <alignment horizontal="center" vertical="center"/>
    </xf>
    <xf numFmtId="0" fontId="24" fillId="0" borderId="0" xfId="1" applyFont="1" applyAlignment="1">
      <alignment vertical="top"/>
    </xf>
    <xf numFmtId="0" fontId="6" fillId="0" borderId="0" xfId="1" applyAlignment="1">
      <alignment vertical="top" wrapText="1"/>
    </xf>
    <xf numFmtId="14" fontId="70" fillId="0" borderId="0" xfId="1" applyNumberFormat="1" applyFont="1" applyAlignment="1" applyProtection="1">
      <alignment horizontal="right" vertical="top" wrapText="1"/>
      <protection locked="0"/>
    </xf>
    <xf numFmtId="14" fontId="70" fillId="0" borderId="0" xfId="1" applyNumberFormat="1" applyFont="1" applyAlignment="1" applyProtection="1">
      <alignment horizontal="left" vertical="top" wrapText="1"/>
      <protection locked="0"/>
    </xf>
    <xf numFmtId="0" fontId="65" fillId="0" borderId="0" xfId="1" applyFont="1" applyAlignment="1">
      <alignment vertical="top" wrapText="1"/>
    </xf>
    <xf numFmtId="0" fontId="71" fillId="0" borderId="0" xfId="1" applyFont="1" applyAlignment="1">
      <alignment vertical="center" wrapText="1"/>
    </xf>
    <xf numFmtId="0" fontId="14" fillId="0" borderId="0" xfId="1" applyFont="1" applyAlignment="1">
      <alignment vertical="top" wrapText="1"/>
    </xf>
    <xf numFmtId="0" fontId="71" fillId="0" borderId="0" xfId="1" applyFont="1" applyAlignment="1">
      <alignment vertical="top" wrapText="1"/>
    </xf>
    <xf numFmtId="0" fontId="73" fillId="0" borderId="0" xfId="1" applyFont="1" applyAlignment="1">
      <alignment vertical="top" wrapText="1"/>
    </xf>
    <xf numFmtId="0" fontId="75" fillId="0" borderId="0" xfId="1" applyFont="1" applyAlignment="1">
      <alignment vertical="top" wrapText="1"/>
    </xf>
    <xf numFmtId="0" fontId="64" fillId="0" borderId="46" xfId="1" applyFont="1" applyBorder="1" applyAlignment="1">
      <alignment horizontal="center" vertical="center"/>
    </xf>
    <xf numFmtId="0" fontId="6" fillId="4" borderId="32"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2" borderId="24"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protection locked="0"/>
    </xf>
    <xf numFmtId="164" fontId="6" fillId="5" borderId="25" xfId="1" applyNumberForma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164" fontId="66" fillId="6" borderId="7" xfId="1" applyNumberFormat="1" applyFont="1" applyFill="1" applyBorder="1" applyAlignment="1" applyProtection="1">
      <alignment horizontal="left" vertical="center" wrapText="1"/>
      <protection locked="0"/>
    </xf>
    <xf numFmtId="0" fontId="17" fillId="16" borderId="10" xfId="0" applyFont="1" applyFill="1" applyBorder="1" applyAlignment="1" applyProtection="1">
      <alignment horizontal="center" vertical="center"/>
      <protection locked="0"/>
    </xf>
    <xf numFmtId="0" fontId="17" fillId="17" borderId="26" xfId="0" applyFont="1" applyFill="1" applyBorder="1" applyAlignment="1" applyProtection="1">
      <alignment horizontal="center" vertical="center"/>
      <protection locked="0"/>
    </xf>
    <xf numFmtId="164" fontId="20" fillId="16" borderId="24" xfId="0" applyNumberFormat="1" applyFont="1" applyFill="1" applyBorder="1" applyAlignment="1" applyProtection="1">
      <alignment vertical="center" wrapText="1"/>
      <protection locked="0"/>
    </xf>
    <xf numFmtId="0" fontId="0" fillId="16" borderId="24" xfId="0" applyFill="1" applyBorder="1" applyAlignment="1" applyProtection="1">
      <alignment horizontal="center"/>
      <protection locked="0"/>
    </xf>
    <xf numFmtId="0" fontId="6" fillId="16" borderId="69" xfId="1" applyFill="1" applyBorder="1"/>
    <xf numFmtId="0" fontId="6" fillId="16" borderId="70" xfId="1" applyFill="1" applyBorder="1"/>
    <xf numFmtId="0" fontId="6" fillId="16" borderId="62" xfId="1" applyFill="1" applyBorder="1"/>
    <xf numFmtId="0" fontId="6" fillId="16" borderId="27" xfId="1" applyFill="1" applyBorder="1"/>
    <xf numFmtId="0" fontId="6" fillId="16" borderId="71" xfId="1" applyFill="1" applyBorder="1"/>
    <xf numFmtId="0" fontId="6" fillId="16" borderId="72" xfId="1" applyFill="1" applyBorder="1"/>
    <xf numFmtId="0" fontId="8" fillId="0" borderId="0" xfId="1" applyFont="1" applyAlignment="1">
      <alignment horizontal="center"/>
    </xf>
    <xf numFmtId="0" fontId="8" fillId="0" borderId="0" xfId="1" applyFont="1" applyAlignment="1">
      <alignment horizontal="center" textRotation="90"/>
    </xf>
    <xf numFmtId="0" fontId="77" fillId="0" borderId="0" xfId="1" applyFont="1" applyAlignment="1">
      <alignment horizontal="center"/>
    </xf>
    <xf numFmtId="9" fontId="37" fillId="0" borderId="0" xfId="1" applyNumberFormat="1" applyFont="1"/>
    <xf numFmtId="9" fontId="6" fillId="0" borderId="0" xfId="1" applyNumberFormat="1"/>
    <xf numFmtId="0" fontId="78" fillId="0" borderId="0" xfId="1" applyFont="1" applyAlignment="1">
      <alignment horizontal="center"/>
    </xf>
    <xf numFmtId="0" fontId="6" fillId="0" borderId="19" xfId="1" applyBorder="1" applyAlignment="1">
      <alignment horizontal="left" vertical="center"/>
    </xf>
    <xf numFmtId="0" fontId="6" fillId="0" borderId="0" xfId="1" applyAlignment="1" applyProtection="1">
      <alignment horizontal="left"/>
      <protection locked="0"/>
    </xf>
    <xf numFmtId="0" fontId="6" fillId="14" borderId="0" xfId="1" applyFill="1"/>
    <xf numFmtId="0" fontId="6" fillId="14" borderId="0" xfId="1" applyFill="1" applyAlignment="1" applyProtection="1">
      <alignment horizontal="center" vertical="center"/>
      <protection locked="0"/>
    </xf>
    <xf numFmtId="0" fontId="37" fillId="0" borderId="0" xfId="1" applyFont="1" applyAlignment="1" applyProtection="1">
      <alignment vertical="center"/>
      <protection locked="0"/>
    </xf>
    <xf numFmtId="0" fontId="37" fillId="0" borderId="0" xfId="1" applyFont="1" applyAlignment="1" applyProtection="1">
      <alignment horizontal="center" vertical="center"/>
      <protection locked="0"/>
    </xf>
    <xf numFmtId="9" fontId="37" fillId="0" borderId="0" xfId="1" applyNumberFormat="1" applyFont="1" applyAlignment="1" applyProtection="1">
      <alignment horizontal="center" vertical="center"/>
      <protection locked="0"/>
    </xf>
    <xf numFmtId="9" fontId="37" fillId="0" borderId="0" xfId="1" applyNumberFormat="1" applyFont="1" applyAlignment="1">
      <alignment horizontal="center"/>
    </xf>
    <xf numFmtId="10" fontId="37" fillId="0" borderId="0" xfId="1" applyNumberFormat="1" applyFont="1" applyAlignment="1">
      <alignment horizontal="center"/>
    </xf>
    <xf numFmtId="0" fontId="79" fillId="0" borderId="0" xfId="1" applyFont="1" applyAlignment="1">
      <alignment horizontal="left"/>
    </xf>
    <xf numFmtId="0" fontId="79" fillId="0" borderId="0" xfId="1" applyFont="1" applyAlignment="1">
      <alignment horizontal="center" vertical="center"/>
    </xf>
    <xf numFmtId="0" fontId="16" fillId="0" borderId="0" xfId="1" applyFont="1"/>
    <xf numFmtId="0" fontId="6" fillId="2" borderId="6" xfId="1" applyFill="1" applyBorder="1" applyAlignment="1">
      <alignment horizontal="center" vertical="center"/>
    </xf>
    <xf numFmtId="0" fontId="6" fillId="2" borderId="24" xfId="1" applyFill="1" applyBorder="1" applyAlignment="1">
      <alignment horizontal="center" vertical="center"/>
    </xf>
    <xf numFmtId="0" fontId="6" fillId="14" borderId="32" xfId="1" applyFill="1" applyBorder="1" applyAlignment="1" applyProtection="1">
      <alignment horizontal="center" vertical="center"/>
      <protection locked="0"/>
    </xf>
    <xf numFmtId="0" fontId="6" fillId="2" borderId="3"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25" xfId="1" applyFill="1" applyBorder="1" applyAlignment="1">
      <alignment horizontal="center" vertical="center"/>
    </xf>
    <xf numFmtId="0" fontId="6" fillId="2" borderId="24" xfId="1" applyFill="1" applyBorder="1" applyAlignment="1" applyProtection="1">
      <alignment horizontal="center" vertical="center"/>
      <protection locked="0"/>
    </xf>
    <xf numFmtId="0" fontId="6" fillId="23" borderId="24" xfId="7" applyFont="1" applyFill="1" applyBorder="1" applyAlignment="1">
      <alignment vertical="center"/>
    </xf>
    <xf numFmtId="0" fontId="6" fillId="23" borderId="24" xfId="7" applyFont="1" applyFill="1" applyBorder="1" applyAlignment="1">
      <alignment horizontal="center"/>
    </xf>
    <xf numFmtId="0" fontId="6" fillId="23" borderId="24" xfId="7" applyFont="1" applyFill="1" applyBorder="1" applyAlignment="1">
      <alignment horizontal="center" vertical="center"/>
    </xf>
    <xf numFmtId="0" fontId="6" fillId="14" borderId="24" xfId="7" applyFont="1" applyFill="1" applyBorder="1"/>
    <xf numFmtId="0" fontId="6" fillId="0" borderId="24" xfId="1" applyBorder="1"/>
    <xf numFmtId="0" fontId="6" fillId="0" borderId="24" xfId="7" applyFont="1" applyBorder="1"/>
    <xf numFmtId="0" fontId="6" fillId="15" borderId="24" xfId="7" applyFont="1" applyFill="1" applyBorder="1"/>
    <xf numFmtId="0" fontId="6" fillId="2" borderId="7" xfId="1" applyFill="1" applyBorder="1" applyAlignment="1">
      <alignment horizontal="center" vertical="center"/>
    </xf>
    <xf numFmtId="0" fontId="6" fillId="2" borderId="19" xfId="1" applyFill="1" applyBorder="1" applyAlignment="1">
      <alignment horizontal="center" vertical="center"/>
    </xf>
    <xf numFmtId="0" fontId="6" fillId="14" borderId="41" xfId="1" applyFill="1" applyBorder="1" applyAlignment="1" applyProtection="1">
      <alignment horizontal="center" vertical="center"/>
      <protection locked="0"/>
    </xf>
    <xf numFmtId="0" fontId="6" fillId="2" borderId="4" xfId="1" applyFill="1" applyBorder="1" applyAlignment="1" applyProtection="1">
      <alignment horizontal="center" vertical="center"/>
      <protection locked="0"/>
    </xf>
    <xf numFmtId="0" fontId="6" fillId="2" borderId="7" xfId="1" applyFill="1" applyBorder="1" applyAlignment="1" applyProtection="1">
      <alignment horizontal="center" vertical="center"/>
      <protection locked="0"/>
    </xf>
    <xf numFmtId="0" fontId="6" fillId="2" borderId="39" xfId="1" applyFill="1" applyBorder="1" applyAlignment="1">
      <alignment horizontal="center" vertical="center"/>
    </xf>
    <xf numFmtId="0" fontId="6" fillId="2" borderId="19" xfId="1" applyFill="1" applyBorder="1" applyAlignment="1" applyProtection="1">
      <alignment horizontal="center" vertical="center"/>
      <protection locked="0"/>
    </xf>
    <xf numFmtId="0" fontId="0" fillId="0" borderId="10" xfId="0" applyBorder="1" applyAlignment="1">
      <alignment horizontal="right" vertical="center"/>
    </xf>
    <xf numFmtId="0" fontId="23" fillId="0" borderId="0" xfId="0" applyFont="1" applyAlignment="1">
      <alignment horizontal="right" vertical="center"/>
    </xf>
    <xf numFmtId="0" fontId="23" fillId="17" borderId="0" xfId="0" applyFont="1" applyFill="1" applyAlignment="1">
      <alignment horizontal="center"/>
    </xf>
    <xf numFmtId="0" fontId="0" fillId="0" borderId="24" xfId="0" applyBorder="1" applyAlignment="1">
      <alignment horizontal="right" vertical="center"/>
    </xf>
    <xf numFmtId="0" fontId="23" fillId="5" borderId="0" xfId="1" applyFont="1" applyFill="1" applyAlignment="1">
      <alignment horizontal="center" vertical="center"/>
    </xf>
    <xf numFmtId="164" fontId="23" fillId="5" borderId="0" xfId="1" applyNumberFormat="1" applyFont="1" applyFill="1" applyAlignment="1">
      <alignment horizontal="center" vertical="center"/>
    </xf>
    <xf numFmtId="0" fontId="23" fillId="5" borderId="0" xfId="1" applyFont="1" applyFill="1" applyAlignment="1">
      <alignment horizontal="left" vertical="center"/>
    </xf>
    <xf numFmtId="9" fontId="23" fillId="5" borderId="0" xfId="1" applyNumberFormat="1" applyFont="1" applyFill="1" applyAlignment="1" applyProtection="1">
      <alignment horizontal="center" vertical="center"/>
      <protection locked="0"/>
    </xf>
    <xf numFmtId="166" fontId="23" fillId="5" borderId="0" xfId="1" applyNumberFormat="1" applyFont="1" applyFill="1" applyAlignment="1">
      <alignment horizontal="center" vertical="center"/>
    </xf>
    <xf numFmtId="0" fontId="60" fillId="0" borderId="17" xfId="1" applyFont="1" applyBorder="1" applyAlignment="1">
      <alignment horizontal="center"/>
    </xf>
    <xf numFmtId="0" fontId="15" fillId="0" borderId="17" xfId="1" applyFont="1" applyBorder="1"/>
    <xf numFmtId="0" fontId="60" fillId="0" borderId="17" xfId="1" applyFont="1" applyBorder="1" applyAlignment="1">
      <alignment vertical="center"/>
    </xf>
    <xf numFmtId="0" fontId="60" fillId="0" borderId="18" xfId="1" applyFont="1" applyBorder="1" applyAlignment="1">
      <alignment vertical="center"/>
    </xf>
    <xf numFmtId="0" fontId="6" fillId="0" borderId="65" xfId="1" applyBorder="1" applyAlignment="1">
      <alignment horizontal="center" vertical="center"/>
    </xf>
    <xf numFmtId="0" fontId="6" fillId="0" borderId="33" xfId="1" applyBorder="1" applyAlignment="1">
      <alignment horizontal="left" vertical="center"/>
    </xf>
    <xf numFmtId="0" fontId="6" fillId="0" borderId="0" xfId="4" applyNumberFormat="1" applyFont="1" applyFill="1" applyBorder="1" applyAlignment="1" applyProtection="1">
      <alignment vertical="top" wrapText="1"/>
      <protection locked="0"/>
    </xf>
    <xf numFmtId="0" fontId="76" fillId="14" borderId="31" xfId="1" applyFont="1" applyFill="1" applyBorder="1" applyAlignment="1" applyProtection="1">
      <alignment horizontal="center" vertical="center"/>
      <protection locked="0"/>
    </xf>
    <xf numFmtId="0" fontId="6" fillId="14" borderId="31" xfId="1" applyFill="1" applyBorder="1" applyAlignment="1" applyProtection="1">
      <alignment horizontal="center" vertical="center"/>
      <protection locked="0"/>
    </xf>
    <xf numFmtId="0" fontId="6" fillId="14" borderId="34" xfId="1" applyFill="1" applyBorder="1" applyAlignment="1" applyProtection="1">
      <alignment horizontal="center" vertical="center"/>
      <protection locked="0"/>
    </xf>
    <xf numFmtId="0" fontId="6" fillId="2" borderId="1" xfId="1" applyFill="1" applyBorder="1" applyAlignment="1" applyProtection="1">
      <alignment vertical="center"/>
      <protection locked="0"/>
    </xf>
    <xf numFmtId="0" fontId="6" fillId="2" borderId="3" xfId="1" applyFill="1" applyBorder="1" applyAlignment="1" applyProtection="1">
      <alignment vertical="center"/>
      <protection locked="0"/>
    </xf>
    <xf numFmtId="0" fontId="6" fillId="2" borderId="4" xfId="1" applyFill="1" applyBorder="1" applyAlignment="1" applyProtection="1">
      <alignment vertical="center"/>
      <protection locked="0"/>
    </xf>
    <xf numFmtId="0" fontId="6" fillId="0" borderId="0" xfId="1" applyAlignment="1" applyProtection="1">
      <alignment vertical="center"/>
      <protection locked="0"/>
    </xf>
    <xf numFmtId="0" fontId="6" fillId="0" borderId="0" xfId="0" applyFont="1"/>
    <xf numFmtId="0" fontId="9" fillId="0" borderId="0" xfId="0" applyFont="1"/>
    <xf numFmtId="0" fontId="6" fillId="0" borderId="31" xfId="0" applyFont="1" applyBorder="1" applyAlignment="1" applyProtection="1">
      <alignment horizontal="center" vertical="center"/>
      <protection locked="0"/>
    </xf>
    <xf numFmtId="0" fontId="6" fillId="0" borderId="24" xfId="1" applyBorder="1" applyProtection="1">
      <protection locked="0"/>
    </xf>
    <xf numFmtId="164" fontId="23" fillId="0" borderId="3" xfId="0" applyNumberFormat="1" applyFont="1" applyBorder="1" applyAlignment="1" applyProtection="1">
      <alignment horizontal="center" vertical="center" wrapText="1"/>
      <protection locked="0"/>
    </xf>
    <xf numFmtId="0" fontId="17" fillId="0" borderId="0" xfId="0" applyFont="1" applyAlignment="1">
      <alignment horizontal="center" vertical="center" wrapText="1"/>
    </xf>
    <xf numFmtId="1" fontId="82" fillId="24" borderId="24" xfId="0" applyNumberFormat="1" applyFont="1" applyFill="1" applyBorder="1" applyAlignment="1" applyProtection="1">
      <alignment horizontal="center" vertical="center" wrapText="1"/>
      <protection locked="0"/>
    </xf>
    <xf numFmtId="1" fontId="82" fillId="5" borderId="24" xfId="0" applyNumberFormat="1" applyFont="1" applyFill="1" applyBorder="1" applyAlignment="1" applyProtection="1">
      <alignment horizontal="center" vertical="center" wrapText="1"/>
      <protection locked="0"/>
    </xf>
    <xf numFmtId="1" fontId="6" fillId="5" borderId="24" xfId="0" applyNumberFormat="1" applyFont="1" applyFill="1" applyBorder="1" applyAlignment="1" applyProtection="1">
      <alignment horizontal="center" vertical="center"/>
      <protection locked="0"/>
    </xf>
    <xf numFmtId="0" fontId="22" fillId="3" borderId="0" xfId="0" applyFont="1" applyFill="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xf>
    <xf numFmtId="9" fontId="0" fillId="19" borderId="24" xfId="0" applyNumberFormat="1" applyFill="1" applyBorder="1" applyAlignment="1">
      <alignment horizontal="center" vertical="center"/>
    </xf>
    <xf numFmtId="164" fontId="0" fillId="19" borderId="24" xfId="0" applyNumberFormat="1" applyFill="1" applyBorder="1" applyAlignment="1">
      <alignment horizontal="center" vertical="center"/>
    </xf>
    <xf numFmtId="0" fontId="16" fillId="3" borderId="24" xfId="0" applyFont="1" applyFill="1" applyBorder="1" applyAlignment="1" applyProtection="1">
      <alignment horizontal="center" vertical="center"/>
      <protection locked="0"/>
    </xf>
    <xf numFmtId="0" fontId="26" fillId="12" borderId="0" xfId="1" applyFont="1" applyFill="1" applyAlignment="1">
      <alignment vertical="center"/>
    </xf>
    <xf numFmtId="0" fontId="6" fillId="0" borderId="28" xfId="1" applyBorder="1" applyAlignment="1">
      <alignment horizontal="left" vertical="center"/>
    </xf>
    <xf numFmtId="0" fontId="6" fillId="0" borderId="31" xfId="1" applyBorder="1" applyAlignment="1">
      <alignment horizontal="left" vertical="center"/>
    </xf>
    <xf numFmtId="0" fontId="6" fillId="0" borderId="34" xfId="1" applyBorder="1" applyAlignment="1">
      <alignment horizontal="left" vertical="center"/>
    </xf>
    <xf numFmtId="0" fontId="23" fillId="0" borderId="0" xfId="1" applyFont="1" applyAlignment="1">
      <alignment vertical="center"/>
    </xf>
    <xf numFmtId="0" fontId="47" fillId="0" borderId="0" xfId="1" applyFont="1" applyAlignment="1">
      <alignment vertical="center"/>
    </xf>
    <xf numFmtId="0" fontId="9" fillId="0" borderId="0" xfId="1" applyFont="1" applyAlignment="1">
      <alignment horizontal="left" vertical="center"/>
    </xf>
    <xf numFmtId="0" fontId="6" fillId="0" borderId="0" xfId="1" applyAlignment="1">
      <alignment horizontal="center" vertical="center" textRotation="90"/>
    </xf>
    <xf numFmtId="0" fontId="6" fillId="0" borderId="8" xfId="1" applyBorder="1" applyAlignment="1">
      <alignment horizontal="center" vertical="center" textRotation="90"/>
    </xf>
    <xf numFmtId="0" fontId="6" fillId="0" borderId="20" xfId="1" applyBorder="1" applyAlignment="1">
      <alignment horizontal="center" vertical="center" textRotation="90"/>
    </xf>
    <xf numFmtId="0" fontId="6" fillId="0" borderId="29" xfId="1" applyBorder="1" applyAlignment="1">
      <alignment horizontal="center" vertical="center" textRotation="90"/>
    </xf>
    <xf numFmtId="0" fontId="9" fillId="0" borderId="1" xfId="1" applyFont="1" applyBorder="1" applyAlignment="1">
      <alignment horizontal="center" vertical="center" textRotation="90"/>
    </xf>
    <xf numFmtId="0" fontId="9" fillId="0" borderId="20" xfId="1" applyFont="1" applyBorder="1" applyAlignment="1">
      <alignment horizontal="center" vertical="center" textRotation="90"/>
    </xf>
    <xf numFmtId="0" fontId="6" fillId="0" borderId="21" xfId="1" applyBorder="1" applyAlignment="1">
      <alignment horizontal="center" vertical="center" textRotation="90"/>
    </xf>
    <xf numFmtId="0" fontId="6" fillId="0" borderId="1" xfId="1" applyBorder="1" applyAlignment="1">
      <alignment horizontal="center" vertical="center" textRotation="90"/>
    </xf>
    <xf numFmtId="0" fontId="6" fillId="0" borderId="22" xfId="1" applyBorder="1" applyAlignment="1">
      <alignment horizontal="center" vertical="center" textRotation="90"/>
    </xf>
    <xf numFmtId="0" fontId="80" fillId="0" borderId="0" xfId="1" applyFont="1" applyAlignment="1">
      <alignment horizontal="center" vertical="center"/>
    </xf>
    <xf numFmtId="164" fontId="21" fillId="0" borderId="0" xfId="1" applyNumberFormat="1" applyFont="1" applyAlignment="1">
      <alignment vertical="center"/>
    </xf>
    <xf numFmtId="0" fontId="6" fillId="0" borderId="1" xfId="1" applyBorder="1" applyAlignment="1">
      <alignment horizontal="center" vertical="center" textRotation="90" wrapText="1"/>
    </xf>
    <xf numFmtId="0" fontId="25" fillId="0" borderId="1" xfId="1" applyFont="1" applyBorder="1" applyAlignment="1">
      <alignment horizontal="center" vertical="center" textRotation="90" wrapText="1"/>
    </xf>
    <xf numFmtId="0" fontId="25" fillId="3" borderId="9" xfId="1" applyFont="1" applyFill="1" applyBorder="1" applyAlignment="1">
      <alignment horizontal="center" vertical="center" textRotation="90"/>
    </xf>
    <xf numFmtId="0" fontId="6" fillId="2" borderId="37" xfId="1" applyFill="1" applyBorder="1" applyAlignment="1" applyProtection="1">
      <alignment horizontal="center" vertical="center"/>
      <protection locked="0"/>
    </xf>
    <xf numFmtId="0" fontId="84" fillId="8" borderId="24" xfId="1" applyFont="1" applyFill="1" applyBorder="1" applyAlignment="1" applyProtection="1">
      <alignment horizontal="center"/>
      <protection locked="0"/>
    </xf>
    <xf numFmtId="0" fontId="12" fillId="0" borderId="0" xfId="1" applyFont="1"/>
    <xf numFmtId="1" fontId="6" fillId="0" borderId="0" xfId="1" applyNumberFormat="1" applyAlignment="1" applyProtection="1">
      <alignment horizontal="left"/>
      <protection locked="0"/>
    </xf>
    <xf numFmtId="1" fontId="21" fillId="0" borderId="0" xfId="1" applyNumberFormat="1" applyFont="1" applyAlignment="1" applyProtection="1">
      <alignment horizontal="left"/>
      <protection locked="0"/>
    </xf>
    <xf numFmtId="0" fontId="81" fillId="0" borderId="0" xfId="1" applyFont="1" applyAlignment="1">
      <alignment horizontal="center" vertical="center" textRotation="180"/>
    </xf>
    <xf numFmtId="0" fontId="6" fillId="0" borderId="26" xfId="1" applyBorder="1"/>
    <xf numFmtId="0" fontId="6" fillId="0" borderId="26" xfId="1" applyBorder="1" applyAlignment="1">
      <alignment horizontal="center"/>
    </xf>
    <xf numFmtId="0" fontId="6" fillId="0" borderId="25" xfId="1" applyBorder="1"/>
    <xf numFmtId="0" fontId="81" fillId="9" borderId="24" xfId="1" applyFont="1" applyFill="1" applyBorder="1" applyAlignment="1" applyProtection="1">
      <alignment horizontal="center" vertical="center" wrapText="1"/>
      <protection locked="0"/>
    </xf>
    <xf numFmtId="0" fontId="6" fillId="19" borderId="0" xfId="1" applyFill="1"/>
    <xf numFmtId="0" fontId="81" fillId="19" borderId="26" xfId="1" applyFont="1" applyFill="1" applyBorder="1" applyAlignment="1">
      <alignment horizontal="center" vertical="center" wrapText="1"/>
    </xf>
    <xf numFmtId="0" fontId="81" fillId="0" borderId="26" xfId="1" applyFont="1" applyBorder="1" applyAlignment="1">
      <alignment horizontal="center" vertical="center"/>
    </xf>
    <xf numFmtId="0" fontId="81" fillId="0" borderId="25" xfId="1" applyFont="1" applyBorder="1" applyAlignment="1">
      <alignment vertical="center"/>
    </xf>
    <xf numFmtId="0" fontId="81" fillId="2" borderId="24" xfId="1" applyFont="1" applyFill="1" applyBorder="1" applyAlignment="1" applyProtection="1">
      <alignment horizontal="center" vertical="center"/>
      <protection locked="0"/>
    </xf>
    <xf numFmtId="0" fontId="81" fillId="0" borderId="25" xfId="1" applyFont="1" applyBorder="1" applyAlignment="1">
      <alignment vertical="center" wrapText="1"/>
    </xf>
    <xf numFmtId="0" fontId="81" fillId="0" borderId="26" xfId="1" applyFont="1" applyBorder="1" applyAlignment="1">
      <alignment textRotation="180" wrapText="1"/>
    </xf>
    <xf numFmtId="0" fontId="6" fillId="0" borderId="0" xfId="1" applyAlignment="1">
      <alignment wrapText="1"/>
    </xf>
    <xf numFmtId="0" fontId="81" fillId="0" borderId="0" xfId="1" applyFont="1"/>
    <xf numFmtId="0" fontId="87" fillId="0" borderId="24" xfId="1" applyFont="1" applyBorder="1" applyAlignment="1">
      <alignment horizontal="center" vertical="center"/>
    </xf>
    <xf numFmtId="0" fontId="81" fillId="2" borderId="24" xfId="1" applyFont="1" applyFill="1" applyBorder="1" applyAlignment="1">
      <alignment horizontal="center" vertical="center"/>
    </xf>
    <xf numFmtId="0" fontId="81" fillId="0" borderId="0" xfId="1" applyFont="1" applyAlignment="1">
      <alignment horizontal="center" vertical="center"/>
    </xf>
    <xf numFmtId="0" fontId="81" fillId="0" borderId="0" xfId="1" applyFont="1" applyAlignment="1">
      <alignment vertical="center"/>
    </xf>
    <xf numFmtId="0" fontId="60" fillId="0" borderId="0" xfId="1" applyFont="1" applyAlignment="1">
      <alignment horizontal="center" vertical="center" textRotation="180"/>
    </xf>
    <xf numFmtId="0" fontId="60" fillId="0" borderId="24" xfId="1" applyFont="1" applyBorder="1" applyAlignment="1">
      <alignment horizontal="center" vertical="center"/>
    </xf>
    <xf numFmtId="0" fontId="60" fillId="0" borderId="24" xfId="1" applyFont="1" applyBorder="1" applyAlignment="1">
      <alignment vertical="center"/>
    </xf>
    <xf numFmtId="0" fontId="60" fillId="0" borderId="24" xfId="1" applyFont="1" applyBorder="1" applyAlignment="1">
      <alignment horizontal="left" vertical="center"/>
    </xf>
    <xf numFmtId="0" fontId="60" fillId="0" borderId="26" xfId="1" applyFont="1" applyBorder="1" applyAlignment="1">
      <alignment horizontal="center" vertical="center"/>
    </xf>
    <xf numFmtId="0" fontId="60" fillId="0" borderId="25" xfId="1" applyFont="1" applyBorder="1" applyAlignment="1">
      <alignment vertical="center"/>
    </xf>
    <xf numFmtId="0" fontId="60" fillId="0" borderId="25" xfId="1" applyFont="1" applyBorder="1" applyAlignment="1">
      <alignment vertical="center" wrapText="1"/>
    </xf>
    <xf numFmtId="0" fontId="89" fillId="0" borderId="25" xfId="1" applyFont="1" applyBorder="1" applyAlignment="1">
      <alignment vertical="center"/>
    </xf>
    <xf numFmtId="0" fontId="88" fillId="0" borderId="26" xfId="1" applyFont="1" applyBorder="1" applyAlignment="1">
      <alignment textRotation="180"/>
    </xf>
    <xf numFmtId="0" fontId="60" fillId="0" borderId="71" xfId="1" applyFont="1" applyBorder="1" applyAlignment="1">
      <alignment horizontal="center" vertical="center"/>
    </xf>
    <xf numFmtId="0" fontId="60" fillId="0" borderId="72" xfId="1" applyFont="1" applyBorder="1" applyAlignment="1">
      <alignment vertical="center" wrapText="1"/>
    </xf>
    <xf numFmtId="0" fontId="60" fillId="0" borderId="0" xfId="1" applyFont="1"/>
    <xf numFmtId="0" fontId="60" fillId="0" borderId="10" xfId="1" applyFont="1" applyBorder="1" applyAlignment="1">
      <alignment horizontal="center" vertical="center"/>
    </xf>
    <xf numFmtId="0" fontId="60" fillId="0" borderId="0" xfId="1" applyFont="1" applyAlignment="1">
      <alignment horizontal="center" vertical="center"/>
    </xf>
    <xf numFmtId="0" fontId="81" fillId="19" borderId="24" xfId="1" applyFont="1" applyFill="1" applyBorder="1" applyAlignment="1">
      <alignment horizontal="center" vertical="center" textRotation="180" wrapText="1"/>
    </xf>
    <xf numFmtId="0" fontId="81" fillId="0" borderId="24" xfId="1" applyFont="1" applyBorder="1" applyAlignment="1">
      <alignment horizontal="center" vertical="center"/>
    </xf>
    <xf numFmtId="0" fontId="81" fillId="0" borderId="24" xfId="1" applyFont="1" applyBorder="1" applyAlignment="1">
      <alignment vertical="center"/>
    </xf>
    <xf numFmtId="0" fontId="81" fillId="0" borderId="24" xfId="1" applyFont="1" applyBorder="1" applyAlignment="1">
      <alignment vertical="center" wrapText="1"/>
    </xf>
    <xf numFmtId="0" fontId="87" fillId="0" borderId="24" xfId="1" applyFont="1" applyBorder="1" applyAlignment="1">
      <alignment vertical="center"/>
    </xf>
    <xf numFmtId="0" fontId="81" fillId="0" borderId="24" xfId="1" applyFont="1" applyBorder="1" applyAlignment="1">
      <alignment horizontal="center" vertical="top" textRotation="180" wrapText="1"/>
    </xf>
    <xf numFmtId="0" fontId="81" fillId="0" borderId="25" xfId="1" applyFont="1" applyBorder="1" applyAlignment="1">
      <alignment horizontal="center" vertical="top" textRotation="180" wrapText="1"/>
    </xf>
    <xf numFmtId="0" fontId="6" fillId="0" borderId="10" xfId="1" applyBorder="1"/>
    <xf numFmtId="0" fontId="81" fillId="19" borderId="25" xfId="1" applyFont="1" applyFill="1" applyBorder="1" applyAlignment="1">
      <alignment horizontal="center" vertical="center" textRotation="180" wrapText="1"/>
    </xf>
    <xf numFmtId="0" fontId="81" fillId="19" borderId="10" xfId="1" applyFont="1" applyFill="1" applyBorder="1" applyAlignment="1">
      <alignment horizontal="center" vertical="center" wrapText="1"/>
    </xf>
    <xf numFmtId="0" fontId="81" fillId="19" borderId="25" xfId="1" applyFont="1" applyFill="1" applyBorder="1" applyAlignment="1">
      <alignment horizontal="center" vertical="center" wrapText="1"/>
    </xf>
    <xf numFmtId="0" fontId="81" fillId="0" borderId="25" xfId="1" applyFont="1" applyBorder="1" applyAlignment="1" applyProtection="1">
      <alignment horizontal="center" vertical="center" textRotation="180" wrapText="1"/>
      <protection locked="0"/>
    </xf>
    <xf numFmtId="0" fontId="81" fillId="0" borderId="30" xfId="1" applyFont="1" applyBorder="1" applyAlignment="1">
      <alignment horizontal="center" vertical="center" textRotation="180"/>
    </xf>
    <xf numFmtId="0" fontId="87" fillId="0" borderId="30" xfId="1" applyFont="1" applyBorder="1" applyAlignment="1">
      <alignment vertical="center"/>
    </xf>
    <xf numFmtId="0" fontId="6" fillId="0" borderId="10" xfId="1" applyBorder="1" applyAlignment="1">
      <alignment wrapText="1"/>
    </xf>
    <xf numFmtId="0" fontId="81" fillId="0" borderId="26" xfId="1" applyFont="1" applyBorder="1" applyAlignment="1">
      <alignment horizontal="center" vertical="center" wrapText="1"/>
    </xf>
    <xf numFmtId="0" fontId="81" fillId="0" borderId="25" xfId="1" applyFont="1" applyBorder="1" applyAlignment="1">
      <alignment horizontal="center" vertical="center" textRotation="180"/>
    </xf>
    <xf numFmtId="0" fontId="6" fillId="0" borderId="30" xfId="1" applyBorder="1" applyAlignment="1">
      <alignment horizontal="center" vertical="center" textRotation="180"/>
    </xf>
    <xf numFmtId="0" fontId="81" fillId="0" borderId="30" xfId="1" applyFont="1" applyBorder="1" applyAlignment="1">
      <alignment vertical="center"/>
    </xf>
    <xf numFmtId="0" fontId="6" fillId="0" borderId="74" xfId="1" applyBorder="1" applyAlignment="1">
      <alignment horizontal="center"/>
    </xf>
    <xf numFmtId="0" fontId="6" fillId="0" borderId="74" xfId="1" applyBorder="1"/>
    <xf numFmtId="0" fontId="60" fillId="19" borderId="25" xfId="1" applyFont="1" applyFill="1" applyBorder="1" applyAlignment="1">
      <alignment horizontal="center" vertical="center"/>
    </xf>
    <xf numFmtId="0" fontId="60" fillId="2" borderId="33" xfId="1" applyFont="1" applyFill="1" applyBorder="1" applyAlignment="1">
      <alignment horizontal="center" vertical="center"/>
    </xf>
    <xf numFmtId="0" fontId="90" fillId="0" borderId="33" xfId="1" applyFont="1" applyBorder="1" applyAlignment="1">
      <alignment horizontal="center" vertical="center"/>
    </xf>
    <xf numFmtId="0" fontId="6" fillId="0" borderId="69" xfId="1" applyBorder="1"/>
    <xf numFmtId="0" fontId="91" fillId="0" borderId="75" xfId="1" applyFont="1" applyBorder="1" applyAlignment="1">
      <alignment horizontal="center" vertical="center" textRotation="180"/>
    </xf>
    <xf numFmtId="0" fontId="91" fillId="0" borderId="33" xfId="1" applyFont="1" applyBorder="1" applyAlignment="1">
      <alignment horizontal="center" vertical="center" textRotation="180"/>
    </xf>
    <xf numFmtId="0" fontId="6" fillId="0" borderId="0" xfId="0" applyFont="1" applyAlignment="1">
      <alignment horizontal="center" vertical="center"/>
    </xf>
    <xf numFmtId="0" fontId="0" fillId="0" borderId="0" xfId="0" applyAlignment="1">
      <alignment horizontal="right" vertical="center"/>
    </xf>
    <xf numFmtId="164" fontId="23" fillId="17" borderId="0" xfId="0" applyNumberFormat="1" applyFont="1" applyFill="1" applyAlignment="1" applyProtection="1">
      <alignment horizontal="left" vertical="center" wrapText="1"/>
      <protection locked="0"/>
    </xf>
    <xf numFmtId="0" fontId="0" fillId="17" borderId="0" xfId="0" applyFill="1" applyAlignment="1" applyProtection="1">
      <alignment horizontal="center" vertical="center"/>
      <protection locked="0"/>
    </xf>
    <xf numFmtId="0" fontId="23" fillId="17" borderId="0" xfId="0" applyFont="1" applyFill="1" applyAlignment="1">
      <alignment horizontal="center" vertical="center"/>
    </xf>
    <xf numFmtId="164" fontId="23" fillId="0" borderId="0" xfId="0" applyNumberFormat="1" applyFont="1" applyAlignment="1" applyProtection="1">
      <alignment horizontal="left" vertical="center" wrapText="1"/>
      <protection locked="0"/>
    </xf>
    <xf numFmtId="0" fontId="0" fillId="0" borderId="0" xfId="0" applyAlignment="1" applyProtection="1">
      <alignment horizontal="center" vertical="center"/>
      <protection locked="0"/>
    </xf>
    <xf numFmtId="0" fontId="6" fillId="7" borderId="69" xfId="0" applyFont="1" applyFill="1" applyBorder="1" applyAlignment="1">
      <alignment horizontal="center"/>
    </xf>
    <xf numFmtId="0" fontId="23" fillId="0" borderId="74" xfId="0" applyFont="1" applyBorder="1" applyAlignment="1">
      <alignment horizontal="center"/>
    </xf>
    <xf numFmtId="0" fontId="6" fillId="16" borderId="62" xfId="0" applyFont="1" applyFill="1" applyBorder="1" applyAlignment="1">
      <alignment horizontal="center" vertical="center" wrapText="1"/>
    </xf>
    <xf numFmtId="0" fontId="6" fillId="17" borderId="62" xfId="0" applyFont="1" applyFill="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23" fillId="0" borderId="53" xfId="0" applyFont="1" applyBorder="1" applyAlignment="1">
      <alignment horizontal="center" vertical="center"/>
    </xf>
    <xf numFmtId="0" fontId="6" fillId="9" borderId="62" xfId="0" applyFont="1" applyFill="1" applyBorder="1" applyAlignment="1">
      <alignment horizontal="center" vertical="center" wrapText="1"/>
    </xf>
    <xf numFmtId="0" fontId="6" fillId="9" borderId="62" xfId="0" applyFont="1" applyFill="1" applyBorder="1" applyAlignment="1" applyProtection="1">
      <alignment horizontal="center" vertical="center" wrapText="1"/>
      <protection locked="0"/>
    </xf>
    <xf numFmtId="0" fontId="6" fillId="25" borderId="30" xfId="0" applyFont="1" applyFill="1" applyBorder="1" applyAlignment="1" applyProtection="1">
      <alignment horizontal="center" vertical="center" wrapText="1"/>
      <protection locked="0"/>
    </xf>
    <xf numFmtId="0" fontId="6" fillId="17" borderId="56" xfId="0" applyFont="1" applyFill="1" applyBorder="1" applyAlignment="1" applyProtection="1">
      <alignment horizontal="center" vertical="center" wrapText="1"/>
      <protection locked="0"/>
    </xf>
    <xf numFmtId="0" fontId="6" fillId="0" borderId="56" xfId="0" applyFont="1" applyBorder="1" applyAlignment="1" applyProtection="1">
      <alignment horizontal="center" vertical="center"/>
      <protection locked="0"/>
    </xf>
    <xf numFmtId="0" fontId="6" fillId="17" borderId="56" xfId="0" applyFont="1" applyFill="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165" fontId="0" fillId="6" borderId="25" xfId="0" applyNumberFormat="1" applyFill="1" applyBorder="1" applyAlignment="1" applyProtection="1">
      <alignment horizontal="center" vertical="center"/>
      <protection locked="0"/>
    </xf>
    <xf numFmtId="0" fontId="6" fillId="0" borderId="30" xfId="0" applyFont="1" applyBorder="1" applyAlignment="1">
      <alignment horizontal="center" vertical="center"/>
    </xf>
    <xf numFmtId="164" fontId="37" fillId="0" borderId="0" xfId="1" applyNumberFormat="1" applyFont="1" applyAlignment="1">
      <alignment horizontal="center" vertical="center"/>
    </xf>
    <xf numFmtId="164" fontId="6" fillId="19" borderId="3" xfId="0" applyNumberFormat="1" applyFont="1" applyFill="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164" fontId="0" fillId="19" borderId="3" xfId="0" applyNumberFormat="1" applyFill="1" applyBorder="1" applyAlignment="1" applyProtection="1">
      <alignment horizontal="center" vertical="center"/>
      <protection locked="0"/>
    </xf>
    <xf numFmtId="0" fontId="0" fillId="19" borderId="3" xfId="0"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6" fillId="26" borderId="1" xfId="0" applyFont="1" applyFill="1" applyBorder="1" applyAlignment="1" applyProtection="1">
      <alignment horizontal="center" textRotation="90"/>
      <protection locked="0"/>
    </xf>
    <xf numFmtId="0" fontId="6" fillId="26" borderId="8" xfId="0" applyFont="1" applyFill="1" applyBorder="1" applyAlignment="1" applyProtection="1">
      <alignment horizontal="center" textRotation="90"/>
      <protection locked="0"/>
    </xf>
    <xf numFmtId="0" fontId="6" fillId="25" borderId="8" xfId="0" applyFont="1" applyFill="1" applyBorder="1" applyAlignment="1" applyProtection="1">
      <alignment horizontal="center" textRotation="90"/>
      <protection locked="0"/>
    </xf>
    <xf numFmtId="0" fontId="6" fillId="5" borderId="8" xfId="0" applyFont="1" applyFill="1" applyBorder="1" applyAlignment="1" applyProtection="1">
      <alignment horizontal="center" textRotation="90"/>
      <protection locked="0"/>
    </xf>
    <xf numFmtId="0" fontId="76" fillId="14" borderId="42" xfId="1" applyFont="1" applyFill="1" applyBorder="1" applyAlignment="1" applyProtection="1">
      <alignment horizontal="center" vertical="center"/>
      <protection locked="0"/>
    </xf>
    <xf numFmtId="0" fontId="37" fillId="27" borderId="1" xfId="1" applyFont="1" applyFill="1" applyBorder="1" applyAlignment="1">
      <alignment horizontal="center" textRotation="90"/>
    </xf>
    <xf numFmtId="0" fontId="6" fillId="13" borderId="8" xfId="1" applyFill="1" applyBorder="1" applyAlignment="1">
      <alignment horizontal="center" textRotation="90"/>
    </xf>
    <xf numFmtId="0" fontId="37" fillId="8" borderId="8" xfId="1" applyFont="1" applyFill="1" applyBorder="1" applyAlignment="1" applyProtection="1">
      <alignment horizontal="center" textRotation="90"/>
      <protection locked="0"/>
    </xf>
    <xf numFmtId="0" fontId="6" fillId="6" borderId="3" xfId="1" applyFill="1" applyBorder="1" applyAlignment="1" applyProtection="1">
      <alignment horizontal="center" vertical="center"/>
      <protection locked="0"/>
    </xf>
    <xf numFmtId="0" fontId="6" fillId="6" borderId="6" xfId="1" applyFill="1" applyBorder="1" applyAlignment="1" applyProtection="1">
      <alignment horizontal="center" vertical="center"/>
      <protection locked="0"/>
    </xf>
    <xf numFmtId="0" fontId="6" fillId="6" borderId="4" xfId="1" applyFill="1" applyBorder="1" applyAlignment="1" applyProtection="1">
      <alignment horizontal="center" vertical="center"/>
      <protection locked="0"/>
    </xf>
    <xf numFmtId="0" fontId="6" fillId="6" borderId="7" xfId="1" applyFill="1" applyBorder="1" applyAlignment="1" applyProtection="1">
      <alignment horizontal="center" vertical="center"/>
      <protection locked="0"/>
    </xf>
    <xf numFmtId="0" fontId="6" fillId="0" borderId="35" xfId="1" applyBorder="1"/>
    <xf numFmtId="0" fontId="6" fillId="0" borderId="36" xfId="1" applyBorder="1"/>
    <xf numFmtId="0" fontId="6" fillId="6" borderId="20" xfId="1" applyFill="1" applyBorder="1" applyProtection="1">
      <protection locked="0"/>
    </xf>
    <xf numFmtId="0" fontId="6" fillId="0" borderId="65" xfId="1" applyBorder="1" applyAlignment="1">
      <alignment horizontal="center" textRotation="90"/>
    </xf>
    <xf numFmtId="0" fontId="6" fillId="0" borderId="73" xfId="1" applyBorder="1" applyAlignment="1">
      <alignment horizontal="center" textRotation="90"/>
    </xf>
    <xf numFmtId="0" fontId="60" fillId="0" borderId="0" xfId="1" applyFont="1" applyAlignment="1">
      <alignment horizontal="left" vertical="center"/>
    </xf>
    <xf numFmtId="0" fontId="60" fillId="0" borderId="0" xfId="1" applyFont="1" applyAlignment="1">
      <alignment horizontal="center"/>
    </xf>
    <xf numFmtId="0" fontId="52" fillId="17" borderId="18" xfId="1" applyFont="1" applyFill="1" applyBorder="1" applyAlignment="1">
      <alignment horizontal="center"/>
    </xf>
    <xf numFmtId="0" fontId="57" fillId="17" borderId="25" xfId="1" applyFont="1" applyFill="1" applyBorder="1" applyAlignment="1">
      <alignment horizontal="center"/>
    </xf>
    <xf numFmtId="165" fontId="0" fillId="6" borderId="24" xfId="0" applyNumberFormat="1" applyFill="1" applyBorder="1" applyAlignment="1" applyProtection="1">
      <alignment horizontal="center" vertical="center"/>
      <protection locked="0"/>
    </xf>
    <xf numFmtId="0" fontId="6" fillId="2" borderId="10" xfId="1" applyFill="1" applyBorder="1" applyAlignment="1" applyProtection="1">
      <alignment horizontal="center" vertical="center"/>
      <protection locked="0"/>
    </xf>
    <xf numFmtId="0" fontId="6" fillId="0" borderId="0" xfId="1" applyAlignment="1">
      <alignment horizontal="right" vertical="center"/>
    </xf>
    <xf numFmtId="0" fontId="6" fillId="0" borderId="79" xfId="1" applyBorder="1" applyAlignment="1">
      <alignment horizontal="right" vertical="center"/>
    </xf>
    <xf numFmtId="0" fontId="6" fillId="0" borderId="27" xfId="1" applyBorder="1" applyAlignment="1">
      <alignment vertical="center"/>
    </xf>
    <xf numFmtId="0" fontId="23" fillId="28" borderId="27" xfId="1" applyFont="1" applyFill="1" applyBorder="1" applyAlignment="1">
      <alignment vertical="center"/>
    </xf>
    <xf numFmtId="0" fontId="6" fillId="29" borderId="27" xfId="1" applyFill="1" applyBorder="1" applyAlignment="1">
      <alignment vertical="center"/>
    </xf>
    <xf numFmtId="0" fontId="6" fillId="5" borderId="27" xfId="1" applyFill="1" applyBorder="1" applyAlignment="1">
      <alignment vertical="center"/>
    </xf>
    <xf numFmtId="0" fontId="23" fillId="20" borderId="27" xfId="1" applyFont="1" applyFill="1" applyBorder="1" applyAlignment="1">
      <alignment vertical="center"/>
    </xf>
    <xf numFmtId="0" fontId="6" fillId="0" borderId="83" xfId="1" applyBorder="1" applyAlignment="1">
      <alignment horizontal="right"/>
    </xf>
    <xf numFmtId="0" fontId="6" fillId="0" borderId="26" xfId="1" applyBorder="1" applyAlignment="1">
      <alignment horizontal="left" vertical="center"/>
    </xf>
    <xf numFmtId="0" fontId="6" fillId="0" borderId="84" xfId="1" applyBorder="1"/>
    <xf numFmtId="0" fontId="6" fillId="0" borderId="85" xfId="1" applyBorder="1" applyAlignment="1">
      <alignment horizontal="right" vertical="center"/>
    </xf>
    <xf numFmtId="0" fontId="20" fillId="16" borderId="24" xfId="1" applyFont="1" applyFill="1" applyBorder="1" applyAlignment="1" applyProtection="1">
      <alignment horizontal="left" vertical="center" wrapText="1"/>
      <protection locked="0"/>
    </xf>
    <xf numFmtId="0" fontId="6" fillId="0" borderId="24" xfId="1" applyBorder="1" applyAlignment="1" applyProtection="1">
      <alignment horizontal="center" vertical="center"/>
      <protection locked="0"/>
    </xf>
    <xf numFmtId="0" fontId="6" fillId="0" borderId="81" xfId="1" applyBorder="1" applyAlignment="1" applyProtection="1">
      <alignment horizontal="center" vertical="center"/>
      <protection locked="0"/>
    </xf>
    <xf numFmtId="0" fontId="6" fillId="0" borderId="86" xfId="1" applyBorder="1" applyAlignment="1">
      <alignment horizontal="right" vertical="center"/>
    </xf>
    <xf numFmtId="0" fontId="20" fillId="16" borderId="87" xfId="1" applyFont="1" applyFill="1" applyBorder="1" applyAlignment="1" applyProtection="1">
      <alignment horizontal="left" vertical="center" wrapText="1"/>
      <protection locked="0"/>
    </xf>
    <xf numFmtId="0" fontId="6" fillId="0" borderId="87" xfId="1" applyBorder="1" applyAlignment="1" applyProtection="1">
      <alignment horizontal="center" vertical="center"/>
      <protection locked="0"/>
    </xf>
    <xf numFmtId="0" fontId="6" fillId="0" borderId="88" xfId="1" applyBorder="1" applyAlignment="1" applyProtection="1">
      <alignment horizontal="center" vertical="center"/>
      <protection locked="0"/>
    </xf>
    <xf numFmtId="0" fontId="6" fillId="0" borderId="89" xfId="1" applyBorder="1" applyAlignment="1">
      <alignment horizontal="right" vertical="center"/>
    </xf>
    <xf numFmtId="0" fontId="23" fillId="28" borderId="90" xfId="1" applyFont="1" applyFill="1" applyBorder="1" applyAlignment="1">
      <alignment vertical="center"/>
    </xf>
    <xf numFmtId="0" fontId="6" fillId="0" borderId="89" xfId="1" applyBorder="1" applyAlignment="1">
      <alignment horizontal="center" vertical="center"/>
    </xf>
    <xf numFmtId="0" fontId="6" fillId="0" borderId="90" xfId="1" applyBorder="1" applyAlignment="1">
      <alignment horizontal="center" vertical="center"/>
    </xf>
    <xf numFmtId="9" fontId="6" fillId="0" borderId="91" xfId="1" applyNumberFormat="1" applyBorder="1" applyAlignment="1">
      <alignment horizontal="center" vertical="center"/>
    </xf>
    <xf numFmtId="0" fontId="6" fillId="0" borderId="92" xfId="1" applyBorder="1" applyAlignment="1">
      <alignment horizontal="right" vertical="center"/>
    </xf>
    <xf numFmtId="0" fontId="6" fillId="29" borderId="0" xfId="1" applyFill="1" applyAlignment="1">
      <alignment vertical="center"/>
    </xf>
    <xf numFmtId="0" fontId="6" fillId="0" borderId="92" xfId="1" applyBorder="1" applyAlignment="1">
      <alignment horizontal="center" vertical="center"/>
    </xf>
    <xf numFmtId="0" fontId="6" fillId="0" borderId="93" xfId="1" applyBorder="1" applyAlignment="1">
      <alignment horizontal="center" vertical="center"/>
    </xf>
    <xf numFmtId="9" fontId="6" fillId="0" borderId="0" xfId="1" applyNumberFormat="1" applyAlignment="1">
      <alignment horizontal="center" vertical="center"/>
    </xf>
    <xf numFmtId="0" fontId="6" fillId="5" borderId="0" xfId="1" applyFill="1" applyAlignment="1">
      <alignment vertical="center"/>
    </xf>
    <xf numFmtId="9" fontId="6" fillId="0" borderId="94" xfId="1" applyNumberFormat="1" applyBorder="1" applyAlignment="1">
      <alignment horizontal="center" vertical="center"/>
    </xf>
    <xf numFmtId="0" fontId="6" fillId="0" borderId="95" xfId="1" applyBorder="1" applyAlignment="1">
      <alignment horizontal="right" vertical="center"/>
    </xf>
    <xf numFmtId="0" fontId="23" fillId="20" borderId="96" xfId="1" applyFont="1" applyFill="1" applyBorder="1" applyAlignment="1">
      <alignment vertical="center"/>
    </xf>
    <xf numFmtId="0" fontId="6" fillId="0" borderId="95" xfId="1" applyBorder="1" applyAlignment="1">
      <alignment horizontal="center" vertical="center"/>
    </xf>
    <xf numFmtId="0" fontId="6" fillId="0" borderId="96" xfId="1" applyBorder="1" applyAlignment="1">
      <alignment horizontal="center" vertical="center"/>
    </xf>
    <xf numFmtId="0" fontId="6" fillId="0" borderId="97" xfId="1" applyBorder="1" applyAlignment="1">
      <alignment horizontal="center" vertical="center"/>
    </xf>
    <xf numFmtId="9" fontId="6" fillId="0" borderId="96" xfId="1" applyNumberFormat="1" applyBorder="1" applyAlignment="1">
      <alignment horizontal="center" vertical="center"/>
    </xf>
    <xf numFmtId="0" fontId="6" fillId="0" borderId="0" xfId="0" applyFont="1" applyAlignment="1">
      <alignment horizontal="right" vertical="center"/>
    </xf>
    <xf numFmtId="0" fontId="6" fillId="0" borderId="24" xfId="0" applyFont="1" applyBorder="1" applyAlignment="1">
      <alignment horizontal="right" vertical="center"/>
    </xf>
    <xf numFmtId="0" fontId="6" fillId="0" borderId="24" xfId="0" applyFont="1" applyBorder="1"/>
    <xf numFmtId="0" fontId="6" fillId="0" borderId="0" xfId="0" applyFont="1" applyAlignment="1">
      <alignment horizontal="center" textRotation="90"/>
    </xf>
    <xf numFmtId="0" fontId="6" fillId="0" borderId="24" xfId="0" applyFont="1" applyBorder="1" applyAlignment="1">
      <alignment horizontal="left" vertical="center"/>
    </xf>
    <xf numFmtId="164" fontId="6" fillId="4" borderId="0" xfId="0" applyNumberFormat="1" applyFont="1" applyFill="1" applyAlignment="1">
      <alignment horizontal="center" vertical="center"/>
    </xf>
    <xf numFmtId="164" fontId="6" fillId="0" borderId="0" xfId="0" applyNumberFormat="1" applyFont="1" applyAlignment="1">
      <alignment horizontal="center" vertical="center"/>
    </xf>
    <xf numFmtId="14" fontId="6" fillId="0" borderId="0" xfId="0" applyNumberFormat="1" applyFont="1" applyAlignment="1">
      <alignment horizontal="left" textRotation="90"/>
    </xf>
    <xf numFmtId="0" fontId="6" fillId="0" borderId="0" xfId="0" applyFont="1" applyAlignment="1">
      <alignment horizontal="left" textRotation="90"/>
    </xf>
    <xf numFmtId="0" fontId="6" fillId="0" borderId="24" xfId="0" applyFont="1" applyBorder="1" applyAlignment="1">
      <alignment horizontal="right"/>
    </xf>
    <xf numFmtId="0" fontId="6" fillId="17" borderId="24" xfId="0" applyFont="1" applyFill="1" applyBorder="1" applyAlignment="1">
      <alignment horizontal="left" vertical="center"/>
    </xf>
    <xf numFmtId="0" fontId="6" fillId="0" borderId="30"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right" vertical="center"/>
    </xf>
    <xf numFmtId="0" fontId="6" fillId="0" borderId="24" xfId="1" applyBorder="1" applyAlignment="1">
      <alignment horizontal="center" vertical="center"/>
    </xf>
    <xf numFmtId="0" fontId="6" fillId="15" borderId="24" xfId="1" applyFill="1" applyBorder="1" applyAlignment="1">
      <alignment horizontal="center" vertical="center"/>
    </xf>
    <xf numFmtId="9" fontId="6" fillId="15" borderId="24" xfId="4" applyFont="1" applyFill="1" applyBorder="1" applyAlignment="1">
      <alignment horizontal="center" vertical="center"/>
    </xf>
    <xf numFmtId="0" fontId="6" fillId="15" borderId="24" xfId="7" applyFont="1" applyFill="1" applyBorder="1" applyAlignment="1">
      <alignment horizontal="center" vertical="center"/>
    </xf>
    <xf numFmtId="0" fontId="8" fillId="0" borderId="0" xfId="0" applyFont="1" applyAlignment="1">
      <alignment horizontal="center" vertical="center"/>
    </xf>
    <xf numFmtId="168" fontId="0" fillId="0" borderId="0" xfId="8" applyNumberFormat="1" applyFont="1" applyBorder="1" applyProtection="1"/>
    <xf numFmtId="0" fontId="96" fillId="0" borderId="0" xfId="9"/>
    <xf numFmtId="169" fontId="0" fillId="0" borderId="0" xfId="8" applyNumberFormat="1" applyFont="1" applyBorder="1" applyProtection="1"/>
    <xf numFmtId="166" fontId="96" fillId="0" borderId="0" xfId="9" applyNumberFormat="1"/>
    <xf numFmtId="166" fontId="96" fillId="0" borderId="0" xfId="10" applyNumberFormat="1"/>
    <xf numFmtId="9" fontId="102" fillId="0" borderId="110" xfId="10" applyFont="1" applyBorder="1" applyAlignment="1" applyProtection="1">
      <alignment horizontal="center" vertical="center"/>
    </xf>
    <xf numFmtId="166" fontId="103" fillId="0" borderId="0" xfId="10" applyNumberFormat="1" applyFont="1" applyBorder="1" applyAlignment="1" applyProtection="1">
      <alignment horizontal="center" vertical="center"/>
    </xf>
    <xf numFmtId="9" fontId="105" fillId="0" borderId="113" xfId="10" applyFont="1" applyBorder="1" applyAlignment="1" applyProtection="1">
      <alignment horizontal="center" vertical="center"/>
    </xf>
    <xf numFmtId="9" fontId="108" fillId="0" borderId="115" xfId="10" applyFont="1" applyBorder="1" applyAlignment="1" applyProtection="1">
      <alignment horizontal="center" vertical="center"/>
    </xf>
    <xf numFmtId="0" fontId="97" fillId="6" borderId="105" xfId="11" applyFont="1" applyFill="1" applyBorder="1" applyAlignment="1" applyProtection="1">
      <alignment horizontal="center" vertical="center"/>
      <protection locked="0"/>
    </xf>
    <xf numFmtId="0" fontId="23" fillId="0" borderId="0" xfId="0" applyFont="1" applyAlignment="1">
      <alignment vertical="center"/>
    </xf>
    <xf numFmtId="0" fontId="22" fillId="0" borderId="0" xfId="1" applyFont="1" applyAlignment="1">
      <alignment vertical="center"/>
    </xf>
    <xf numFmtId="0" fontId="22" fillId="0" borderId="0" xfId="1" applyFont="1" applyAlignment="1">
      <alignment horizontal="center" vertical="center"/>
    </xf>
    <xf numFmtId="0" fontId="47" fillId="0" borderId="0" xfId="1" applyFont="1" applyAlignment="1">
      <alignment horizontal="center" vertical="center"/>
    </xf>
    <xf numFmtId="0" fontId="6" fillId="0" borderId="24" xfId="1" applyBorder="1" applyAlignment="1">
      <alignment horizontal="center" textRotation="90"/>
    </xf>
    <xf numFmtId="0" fontId="6" fillId="0" borderId="0" xfId="1" applyAlignment="1">
      <alignment horizontal="center" textRotation="90"/>
    </xf>
    <xf numFmtId="0" fontId="6" fillId="0" borderId="24" xfId="1" applyBorder="1" applyAlignment="1">
      <alignment horizontal="right" vertical="center"/>
    </xf>
    <xf numFmtId="0" fontId="6" fillId="0" borderId="24" xfId="1" applyBorder="1" applyAlignment="1">
      <alignment horizontal="left" vertical="center"/>
    </xf>
    <xf numFmtId="0" fontId="6" fillId="0" borderId="24" xfId="1" applyBorder="1" applyAlignment="1">
      <alignment horizontal="center"/>
    </xf>
    <xf numFmtId="0" fontId="23" fillId="0" borderId="0" xfId="1" applyFont="1" applyAlignment="1">
      <alignment horizontal="center" textRotation="90"/>
    </xf>
    <xf numFmtId="0" fontId="54" fillId="0" borderId="0" xfId="1" applyFont="1" applyAlignment="1">
      <alignment horizontal="center" textRotation="90"/>
    </xf>
    <xf numFmtId="0" fontId="48" fillId="0" borderId="0" xfId="1" applyFont="1" applyAlignment="1">
      <alignment horizontal="left" vertical="center" textRotation="90"/>
    </xf>
    <xf numFmtId="164" fontId="6" fillId="0" borderId="0" xfId="1" applyNumberFormat="1" applyAlignment="1">
      <alignment horizontal="center"/>
    </xf>
    <xf numFmtId="164" fontId="6" fillId="0" borderId="0" xfId="1" applyNumberFormat="1" applyAlignment="1">
      <alignment horizontal="center" vertical="center" wrapText="1"/>
    </xf>
    <xf numFmtId="164" fontId="21" fillId="0" borderId="24" xfId="1" applyNumberFormat="1" applyFont="1" applyBorder="1" applyAlignment="1">
      <alignment horizontal="center" vertical="center" wrapText="1"/>
    </xf>
    <xf numFmtId="164" fontId="6" fillId="0" borderId="0" xfId="1" applyNumberFormat="1" applyAlignment="1">
      <alignment horizontal="center" vertical="center"/>
    </xf>
    <xf numFmtId="164" fontId="23" fillId="0" borderId="0" xfId="1" applyNumberFormat="1" applyFont="1" applyAlignment="1">
      <alignment horizontal="center" vertical="center" wrapText="1"/>
    </xf>
    <xf numFmtId="1" fontId="6" fillId="0" borderId="0" xfId="1" applyNumberFormat="1" applyAlignment="1">
      <alignment horizontal="center" vertical="center"/>
    </xf>
    <xf numFmtId="164" fontId="82" fillId="0" borderId="0" xfId="1" applyNumberFormat="1" applyFont="1" applyAlignment="1">
      <alignment horizontal="center" vertical="center" wrapText="1"/>
    </xf>
    <xf numFmtId="1" fontId="6" fillId="0" borderId="0" xfId="1" applyNumberFormat="1" applyAlignment="1">
      <alignment vertical="center"/>
    </xf>
    <xf numFmtId="164" fontId="21" fillId="0" borderId="0" xfId="0" applyNumberFormat="1" applyFont="1" applyAlignment="1">
      <alignment vertical="center"/>
    </xf>
    <xf numFmtId="164" fontId="21" fillId="0" borderId="0" xfId="0" applyNumberFormat="1" applyFont="1" applyAlignment="1">
      <alignment horizontal="center"/>
    </xf>
    <xf numFmtId="9" fontId="21" fillId="0" borderId="0" xfId="0" applyNumberFormat="1" applyFont="1" applyAlignment="1">
      <alignment horizontal="left" vertical="center"/>
    </xf>
    <xf numFmtId="0" fontId="54" fillId="0" borderId="0" xfId="0" applyFont="1" applyAlignment="1">
      <alignment horizontal="center" textRotation="90"/>
    </xf>
    <xf numFmtId="0" fontId="113" fillId="0" borderId="0" xfId="0" applyFont="1" applyAlignment="1">
      <alignment horizontal="center"/>
    </xf>
    <xf numFmtId="0" fontId="21" fillId="0" borderId="0" xfId="0" applyFont="1" applyAlignment="1">
      <alignment horizontal="right" vertical="center"/>
    </xf>
    <xf numFmtId="0" fontId="16" fillId="0" borderId="44" xfId="1" applyFont="1" applyBorder="1" applyAlignment="1">
      <alignment vertical="center"/>
    </xf>
    <xf numFmtId="0" fontId="16" fillId="0" borderId="14" xfId="1" applyFont="1" applyBorder="1" applyAlignment="1">
      <alignment vertical="center"/>
    </xf>
    <xf numFmtId="0" fontId="16" fillId="0" borderId="5" xfId="1" applyFont="1" applyBorder="1" applyAlignment="1">
      <alignment vertical="center"/>
    </xf>
    <xf numFmtId="0" fontId="16" fillId="0" borderId="46" xfId="1" applyFont="1" applyBorder="1" applyAlignment="1">
      <alignment vertical="center"/>
    </xf>
    <xf numFmtId="0" fontId="16" fillId="7" borderId="4" xfId="1" applyFont="1" applyFill="1" applyBorder="1" applyAlignment="1">
      <alignment horizontal="center" vertical="center"/>
    </xf>
    <xf numFmtId="0" fontId="16" fillId="21" borderId="19" xfId="1" applyFont="1" applyFill="1" applyBorder="1" applyAlignment="1">
      <alignment horizontal="center" vertical="center"/>
    </xf>
    <xf numFmtId="1" fontId="16" fillId="14" borderId="19" xfId="1" applyNumberFormat="1" applyFont="1" applyFill="1" applyBorder="1" applyAlignment="1">
      <alignment horizontal="center" vertical="center"/>
    </xf>
    <xf numFmtId="2" fontId="16" fillId="9" borderId="7" xfId="1" applyNumberFormat="1" applyFont="1" applyFill="1" applyBorder="1" applyAlignment="1">
      <alignment horizontal="center" vertical="center"/>
    </xf>
    <xf numFmtId="1" fontId="16" fillId="0" borderId="0" xfId="1" applyNumberFormat="1" applyFont="1" applyAlignment="1">
      <alignment horizontal="center" vertical="center"/>
    </xf>
    <xf numFmtId="2" fontId="16" fillId="0" borderId="0" xfId="1" applyNumberFormat="1" applyFont="1" applyAlignment="1">
      <alignment horizontal="center" vertical="center"/>
    </xf>
    <xf numFmtId="0" fontId="16" fillId="0" borderId="0" xfId="1" applyFont="1" applyAlignment="1" applyProtection="1">
      <alignment horizontal="center" vertical="center"/>
      <protection locked="0"/>
    </xf>
    <xf numFmtId="0" fontId="16" fillId="15" borderId="14" xfId="1" applyFont="1" applyFill="1" applyBorder="1" applyAlignment="1">
      <alignment horizontal="center" vertical="center"/>
    </xf>
    <xf numFmtId="0" fontId="65" fillId="19" borderId="7" xfId="1" applyFont="1" applyFill="1" applyBorder="1" applyAlignment="1">
      <alignment horizontal="center" vertical="center"/>
    </xf>
    <xf numFmtId="0" fontId="16" fillId="0" borderId="3" xfId="1" applyFont="1" applyBorder="1" applyAlignment="1">
      <alignment horizontal="left" vertical="center"/>
    </xf>
    <xf numFmtId="0" fontId="16" fillId="0" borderId="6" xfId="1" applyFont="1" applyBorder="1" applyAlignment="1">
      <alignment horizontal="center" vertical="center"/>
    </xf>
    <xf numFmtId="0" fontId="65" fillId="0" borderId="7" xfId="1" applyFont="1" applyBorder="1" applyAlignment="1">
      <alignment horizontal="center" vertical="center"/>
    </xf>
    <xf numFmtId="0" fontId="65" fillId="0" borderId="0" xfId="1" applyFont="1" applyAlignment="1">
      <alignment horizontal="left" vertical="center"/>
    </xf>
    <xf numFmtId="2" fontId="16" fillId="0" borderId="0" xfId="1" applyNumberFormat="1" applyFont="1" applyAlignment="1">
      <alignment horizontal="left" vertical="center"/>
    </xf>
    <xf numFmtId="0" fontId="23" fillId="0" borderId="0" xfId="1" applyFont="1" applyAlignment="1">
      <alignment horizontal="left" vertical="center"/>
    </xf>
    <xf numFmtId="0" fontId="115" fillId="0" borderId="0" xfId="1" applyFont="1" applyAlignment="1">
      <alignment horizontal="center" vertical="center"/>
    </xf>
    <xf numFmtId="164" fontId="23" fillId="0" borderId="0" xfId="1" applyNumberFormat="1" applyFont="1" applyAlignment="1">
      <alignment horizontal="center"/>
    </xf>
    <xf numFmtId="2" fontId="23" fillId="0" borderId="74" xfId="1" applyNumberFormat="1" applyFont="1" applyBorder="1" applyAlignment="1">
      <alignment horizontal="center" vertical="center"/>
    </xf>
    <xf numFmtId="2" fontId="23" fillId="0" borderId="0" xfId="1" applyNumberFormat="1" applyFont="1" applyAlignment="1">
      <alignment horizontal="center"/>
    </xf>
    <xf numFmtId="0" fontId="6" fillId="0" borderId="74" xfId="1" applyBorder="1" applyAlignment="1">
      <alignment horizontal="center" vertical="center"/>
    </xf>
    <xf numFmtId="164" fontId="112" fillId="0" borderId="74" xfId="1" applyNumberFormat="1" applyFont="1" applyBorder="1" applyAlignment="1">
      <alignment horizontal="center" vertical="center" wrapText="1"/>
    </xf>
    <xf numFmtId="164" fontId="112" fillId="0" borderId="0" xfId="1" applyNumberFormat="1" applyFont="1" applyAlignment="1">
      <alignment horizontal="center" vertical="center" wrapText="1"/>
    </xf>
    <xf numFmtId="164" fontId="21" fillId="0" borderId="0" xfId="1" applyNumberFormat="1" applyFont="1" applyAlignment="1">
      <alignment horizontal="center" vertical="center" wrapText="1"/>
    </xf>
    <xf numFmtId="164" fontId="37" fillId="0" borderId="74" xfId="1" applyNumberFormat="1" applyFont="1" applyBorder="1" applyAlignment="1">
      <alignment horizontal="center" vertical="center"/>
    </xf>
    <xf numFmtId="0" fontId="37" fillId="0" borderId="74" xfId="1" applyFont="1" applyBorder="1" applyAlignment="1">
      <alignment horizontal="center"/>
    </xf>
    <xf numFmtId="164" fontId="37" fillId="0" borderId="70" xfId="1" applyNumberFormat="1" applyFont="1" applyBorder="1" applyAlignment="1">
      <alignment horizontal="center" vertical="center"/>
    </xf>
    <xf numFmtId="2" fontId="23" fillId="0" borderId="0" xfId="1" applyNumberFormat="1" applyFont="1" applyAlignment="1">
      <alignment horizontal="center" vertical="center"/>
    </xf>
    <xf numFmtId="164" fontId="37" fillId="0" borderId="27" xfId="1" applyNumberFormat="1" applyFont="1" applyBorder="1" applyAlignment="1">
      <alignment horizontal="center" vertical="center"/>
    </xf>
    <xf numFmtId="2" fontId="23" fillId="0" borderId="53" xfId="1" applyNumberFormat="1" applyFont="1" applyBorder="1" applyAlignment="1">
      <alignment horizontal="center" vertical="center"/>
    </xf>
    <xf numFmtId="164" fontId="37" fillId="0" borderId="53" xfId="1" applyNumberFormat="1" applyFont="1" applyBorder="1" applyAlignment="1">
      <alignment horizontal="center" vertical="center"/>
    </xf>
    <xf numFmtId="0" fontId="37" fillId="0" borderId="53" xfId="1" applyFont="1" applyBorder="1" applyAlignment="1">
      <alignment horizontal="center"/>
    </xf>
    <xf numFmtId="164" fontId="37" fillId="0" borderId="72" xfId="1" applyNumberFormat="1" applyFont="1" applyBorder="1" applyAlignment="1">
      <alignment horizontal="center" vertical="center"/>
    </xf>
    <xf numFmtId="0" fontId="22" fillId="0" borderId="74" xfId="1" applyFont="1" applyBorder="1" applyAlignment="1">
      <alignment vertical="center"/>
    </xf>
    <xf numFmtId="0" fontId="26" fillId="0" borderId="74" xfId="1" applyFont="1" applyBorder="1" applyAlignment="1">
      <alignment vertical="center"/>
    </xf>
    <xf numFmtId="0" fontId="46" fillId="0" borderId="74" xfId="1" applyFont="1" applyBorder="1" applyAlignment="1">
      <alignment horizontal="center" vertical="center"/>
    </xf>
    <xf numFmtId="0" fontId="46" fillId="0" borderId="70" xfId="1" applyFont="1" applyBorder="1" applyAlignment="1">
      <alignment horizontal="center" vertical="center"/>
    </xf>
    <xf numFmtId="0" fontId="22" fillId="0" borderId="53" xfId="1" applyFont="1" applyBorder="1" applyAlignment="1">
      <alignment horizontal="center" vertical="center"/>
    </xf>
    <xf numFmtId="0" fontId="6" fillId="0" borderId="53" xfId="1" applyBorder="1" applyAlignment="1">
      <alignment horizontal="center"/>
    </xf>
    <xf numFmtId="0" fontId="46" fillId="0" borderId="53" xfId="1" applyFont="1" applyBorder="1" applyAlignment="1">
      <alignment horizontal="center" vertical="center"/>
    </xf>
    <xf numFmtId="0" fontId="46" fillId="0" borderId="72" xfId="1" applyFont="1" applyBorder="1" applyAlignment="1">
      <alignment horizontal="center" vertical="center"/>
    </xf>
    <xf numFmtId="164" fontId="23" fillId="0" borderId="0" xfId="0" applyNumberFormat="1" applyFont="1" applyAlignment="1">
      <alignment vertical="center"/>
    </xf>
    <xf numFmtId="164" fontId="21" fillId="0" borderId="0" xfId="1" applyNumberFormat="1" applyFont="1" applyAlignment="1" applyProtection="1">
      <alignment horizontal="center" vertical="center"/>
      <protection locked="0"/>
    </xf>
    <xf numFmtId="0" fontId="116" fillId="0" borderId="0" xfId="0" applyFont="1"/>
    <xf numFmtId="0" fontId="76" fillId="0" borderId="0" xfId="0" applyFont="1"/>
    <xf numFmtId="9" fontId="6" fillId="5" borderId="0" xfId="1" applyNumberFormat="1" applyFill="1" applyAlignment="1">
      <alignment horizontal="center" vertical="center"/>
    </xf>
    <xf numFmtId="9" fontId="23" fillId="5" borderId="0" xfId="1" applyNumberFormat="1" applyFont="1" applyFill="1" applyAlignment="1">
      <alignment horizontal="center" vertical="center"/>
    </xf>
    <xf numFmtId="9" fontId="23" fillId="0" borderId="0" xfId="1" applyNumberFormat="1" applyFont="1" applyAlignment="1">
      <alignment vertical="center"/>
    </xf>
    <xf numFmtId="1" fontId="23" fillId="0" borderId="0" xfId="1" applyNumberFormat="1" applyFont="1" applyAlignment="1">
      <alignment horizontal="center" vertical="center"/>
    </xf>
    <xf numFmtId="0" fontId="6" fillId="16" borderId="24" xfId="0" applyFont="1" applyFill="1" applyBorder="1" applyAlignment="1" applyProtection="1">
      <alignment horizontal="center" vertical="center"/>
      <protection locked="0"/>
    </xf>
    <xf numFmtId="165" fontId="6" fillId="6" borderId="24" xfId="0" applyNumberFormat="1" applyFont="1" applyFill="1" applyBorder="1" applyAlignment="1" applyProtection="1">
      <alignment horizontal="center" vertical="center"/>
      <protection locked="0"/>
    </xf>
    <xf numFmtId="9" fontId="8" fillId="0" borderId="0" xfId="0" applyNumberFormat="1" applyFont="1" applyAlignment="1">
      <alignment horizontal="center" vertical="center"/>
    </xf>
    <xf numFmtId="0" fontId="2" fillId="0" borderId="99" xfId="11" applyBorder="1"/>
    <xf numFmtId="9" fontId="95" fillId="0" borderId="0" xfId="11" applyNumberFormat="1" applyFont="1" applyAlignment="1">
      <alignment horizontal="center" vertical="center"/>
    </xf>
    <xf numFmtId="0" fontId="2" fillId="0" borderId="0" xfId="11"/>
    <xf numFmtId="0" fontId="95" fillId="0" borderId="0" xfId="11" applyFont="1"/>
    <xf numFmtId="9" fontId="98" fillId="0" borderId="0" xfId="11" applyNumberFormat="1" applyFont="1" applyAlignment="1">
      <alignment horizontal="center" vertical="center"/>
    </xf>
    <xf numFmtId="0" fontId="2" fillId="0" borderId="0" xfId="11" applyAlignment="1">
      <alignment vertical="center"/>
    </xf>
    <xf numFmtId="0" fontId="1" fillId="0" borderId="0" xfId="11" applyFont="1" applyAlignment="1">
      <alignment vertical="center"/>
    </xf>
    <xf numFmtId="0" fontId="95" fillId="0" borderId="0" xfId="11" applyFont="1" applyAlignment="1">
      <alignment vertical="center"/>
    </xf>
    <xf numFmtId="9" fontId="2" fillId="0" borderId="0" xfId="11" applyNumberFormat="1" applyAlignment="1">
      <alignment vertical="center"/>
    </xf>
    <xf numFmtId="0" fontId="97" fillId="19" borderId="105" xfId="11" applyFont="1" applyFill="1" applyBorder="1" applyAlignment="1">
      <alignment horizontal="left" vertical="center"/>
    </xf>
    <xf numFmtId="9" fontId="95" fillId="0" borderId="0" xfId="11" applyNumberFormat="1" applyFont="1" applyAlignment="1">
      <alignment vertical="center"/>
    </xf>
    <xf numFmtId="0" fontId="99" fillId="0" borderId="0" xfId="11" applyFont="1" applyAlignment="1">
      <alignment horizontal="left" vertical="center"/>
    </xf>
    <xf numFmtId="0" fontId="97" fillId="0" borderId="0" xfId="11" applyFont="1" applyAlignment="1">
      <alignment horizontal="center" vertical="center"/>
    </xf>
    <xf numFmtId="9" fontId="98" fillId="0" borderId="0" xfId="11" applyNumberFormat="1" applyFont="1" applyAlignment="1">
      <alignment horizontal="center"/>
    </xf>
    <xf numFmtId="0" fontId="97" fillId="0" borderId="106" xfId="11" applyFont="1" applyBorder="1" applyAlignment="1">
      <alignment horizontal="center" vertical="center"/>
    </xf>
    <xf numFmtId="0" fontId="100" fillId="0" borderId="107" xfId="11" applyFont="1" applyBorder="1" applyAlignment="1">
      <alignment horizontal="left" vertical="center"/>
    </xf>
    <xf numFmtId="9" fontId="100" fillId="0" borderId="108" xfId="11" applyNumberFormat="1" applyFont="1" applyBorder="1" applyAlignment="1">
      <alignment horizontal="center" vertical="center"/>
    </xf>
    <xf numFmtId="0" fontId="98" fillId="0" borderId="0" xfId="11" applyFont="1" applyAlignment="1">
      <alignment horizontal="left" vertical="center"/>
    </xf>
    <xf numFmtId="9" fontId="99" fillId="0" borderId="0" xfId="11" applyNumberFormat="1" applyFont="1" applyAlignment="1">
      <alignment horizontal="center" vertical="center"/>
    </xf>
    <xf numFmtId="0" fontId="101" fillId="0" borderId="109" xfId="11" applyFont="1" applyBorder="1" applyAlignment="1">
      <alignment horizontal="left" vertical="center"/>
    </xf>
    <xf numFmtId="0" fontId="97" fillId="0" borderId="111" xfId="11" applyFont="1" applyBorder="1" applyAlignment="1">
      <alignment horizontal="center" vertical="center"/>
    </xf>
    <xf numFmtId="0" fontId="104" fillId="0" borderId="112" xfId="11" applyFont="1" applyBorder="1" applyAlignment="1">
      <alignment horizontal="left" vertical="center"/>
    </xf>
    <xf numFmtId="0" fontId="106" fillId="0" borderId="0" xfId="11" applyFont="1" applyAlignment="1">
      <alignment horizontal="left"/>
    </xf>
    <xf numFmtId="0" fontId="107" fillId="0" borderId="114" xfId="11" applyFont="1" applyBorder="1" applyAlignment="1">
      <alignment horizontal="center" vertical="center"/>
    </xf>
    <xf numFmtId="9" fontId="104" fillId="0" borderId="0" xfId="11" applyNumberFormat="1" applyFont="1" applyAlignment="1">
      <alignment vertical="center"/>
    </xf>
    <xf numFmtId="9" fontId="97" fillId="0" borderId="0" xfId="11" applyNumberFormat="1" applyFont="1" applyAlignment="1">
      <alignment vertical="center"/>
    </xf>
    <xf numFmtId="0" fontId="104" fillId="0" borderId="0" xfId="11" applyFont="1" applyAlignment="1">
      <alignment vertical="center"/>
    </xf>
    <xf numFmtId="0" fontId="97" fillId="0" borderId="0" xfId="11" applyFont="1" applyAlignment="1">
      <alignment vertical="center"/>
    </xf>
    <xf numFmtId="0" fontId="104" fillId="0" borderId="0" xfId="11" applyFont="1" applyAlignment="1">
      <alignment horizontal="center" vertical="center"/>
    </xf>
    <xf numFmtId="0" fontId="2" fillId="0" borderId="0" xfId="11" applyAlignment="1">
      <alignment horizontal="center" vertical="center"/>
    </xf>
    <xf numFmtId="9" fontId="98" fillId="0" borderId="12" xfId="11" applyNumberFormat="1" applyFont="1" applyBorder="1" applyAlignment="1">
      <alignment horizontal="center"/>
    </xf>
    <xf numFmtId="0" fontId="114" fillId="0" borderId="0" xfId="11" applyFont="1"/>
    <xf numFmtId="0" fontId="97" fillId="0" borderId="45" xfId="11" applyFont="1" applyBorder="1" applyAlignment="1">
      <alignment horizontal="center" vertical="center"/>
    </xf>
    <xf numFmtId="0" fontId="97" fillId="0" borderId="12" xfId="11" applyFont="1" applyBorder="1" applyAlignment="1">
      <alignment horizontal="center" vertical="center"/>
    </xf>
    <xf numFmtId="0" fontId="97" fillId="0" borderId="46" xfId="11" applyFont="1" applyBorder="1" applyAlignment="1">
      <alignment horizontal="center" vertical="center"/>
    </xf>
    <xf numFmtId="0" fontId="97" fillId="0" borderId="13" xfId="11" applyFont="1" applyBorder="1" applyAlignment="1">
      <alignment horizontal="center" vertical="center"/>
    </xf>
    <xf numFmtId="0" fontId="109" fillId="7" borderId="44" xfId="11" applyFont="1" applyFill="1" applyBorder="1" applyAlignment="1">
      <alignment horizontal="center" vertical="center"/>
    </xf>
    <xf numFmtId="0" fontId="109" fillId="7" borderId="45" xfId="11" applyFont="1" applyFill="1" applyBorder="1" applyAlignment="1">
      <alignment horizontal="center" vertical="center"/>
    </xf>
    <xf numFmtId="0" fontId="111" fillId="32" borderId="46" xfId="11" applyFont="1" applyFill="1" applyBorder="1" applyAlignment="1">
      <alignment horizontal="center" vertical="center"/>
    </xf>
    <xf numFmtId="0" fontId="109" fillId="0" borderId="45" xfId="11" applyFont="1" applyBorder="1" applyAlignment="1">
      <alignment horizontal="center" vertical="center"/>
    </xf>
    <xf numFmtId="0" fontId="109" fillId="0" borderId="12" xfId="11" applyFont="1" applyBorder="1" applyAlignment="1">
      <alignment horizontal="center"/>
    </xf>
    <xf numFmtId="0" fontId="109" fillId="21" borderId="44" xfId="11" applyFont="1" applyFill="1" applyBorder="1" applyAlignment="1">
      <alignment horizontal="center" vertical="center"/>
    </xf>
    <xf numFmtId="9" fontId="98" fillId="0" borderId="12" xfId="11" applyNumberFormat="1" applyFont="1" applyBorder="1" applyAlignment="1">
      <alignment horizontal="center" vertical="center"/>
    </xf>
    <xf numFmtId="0" fontId="111" fillId="31" borderId="46" xfId="11" applyFont="1" applyFill="1" applyBorder="1" applyAlignment="1">
      <alignment horizontal="center" vertical="center"/>
    </xf>
    <xf numFmtId="0" fontId="2" fillId="0" borderId="45" xfId="11" applyBorder="1"/>
    <xf numFmtId="0" fontId="2" fillId="0" borderId="12" xfId="11" applyBorder="1"/>
    <xf numFmtId="0" fontId="109" fillId="30" borderId="44" xfId="11" applyFont="1" applyFill="1" applyBorder="1" applyAlignment="1">
      <alignment horizontal="center" vertical="center"/>
    </xf>
    <xf numFmtId="0" fontId="111" fillId="33" borderId="46" xfId="11" applyFont="1" applyFill="1" applyBorder="1" applyAlignment="1">
      <alignment horizontal="center" vertical="center"/>
    </xf>
    <xf numFmtId="0" fontId="2" fillId="0" borderId="14" xfId="11" applyBorder="1"/>
    <xf numFmtId="0" fontId="99" fillId="0" borderId="0" xfId="11" applyFont="1" applyAlignment="1">
      <alignment horizontal="center"/>
    </xf>
    <xf numFmtId="0" fontId="99" fillId="0" borderId="0" xfId="11" applyFont="1"/>
    <xf numFmtId="9" fontId="109" fillId="0" borderId="5" xfId="11" applyNumberFormat="1" applyFont="1" applyBorder="1" applyAlignment="1">
      <alignment horizontal="center"/>
    </xf>
    <xf numFmtId="9" fontId="109" fillId="0" borderId="13" xfId="11" applyNumberFormat="1" applyFont="1" applyBorder="1" applyAlignment="1">
      <alignment horizontal="center"/>
    </xf>
    <xf numFmtId="9" fontId="109" fillId="0" borderId="5" xfId="11" applyNumberFormat="1" applyFont="1" applyBorder="1" applyAlignment="1">
      <alignment horizontal="center" vertical="center"/>
    </xf>
    <xf numFmtId="9" fontId="109" fillId="0" borderId="13" xfId="11" applyNumberFormat="1" applyFont="1" applyBorder="1" applyAlignment="1">
      <alignment horizontal="center" vertical="center"/>
    </xf>
    <xf numFmtId="0" fontId="20" fillId="16" borderId="117" xfId="1" applyFont="1" applyFill="1" applyBorder="1" applyAlignment="1" applyProtection="1">
      <alignment horizontal="left" vertical="center" wrapText="1"/>
      <protection locked="0"/>
    </xf>
    <xf numFmtId="0" fontId="17" fillId="0" borderId="0" xfId="0" applyFont="1" applyAlignment="1">
      <alignment vertical="center"/>
    </xf>
    <xf numFmtId="0" fontId="0" fillId="17" borderId="0" xfId="0" applyFill="1" applyAlignment="1">
      <alignment horizontal="center" vertical="center"/>
    </xf>
    <xf numFmtId="0" fontId="21" fillId="0" borderId="0" xfId="0" applyFont="1" applyAlignment="1">
      <alignment horizontal="center"/>
    </xf>
    <xf numFmtId="0" fontId="0" fillId="0" borderId="0" xfId="0" applyAlignment="1">
      <alignment horizontal="center"/>
    </xf>
    <xf numFmtId="0" fontId="59" fillId="17" borderId="0" xfId="0" applyFont="1" applyFill="1" applyAlignment="1">
      <alignment horizontal="center"/>
    </xf>
    <xf numFmtId="0" fontId="0" fillId="0" borderId="70" xfId="0" applyBorder="1"/>
    <xf numFmtId="0" fontId="0" fillId="0" borderId="27" xfId="0" applyBorder="1"/>
    <xf numFmtId="0" fontId="0" fillId="0" borderId="27" xfId="0" applyBorder="1" applyAlignment="1">
      <alignment horizontal="center" vertical="center"/>
    </xf>
    <xf numFmtId="0" fontId="0" fillId="17" borderId="27" xfId="0" applyFill="1" applyBorder="1" applyAlignment="1">
      <alignment horizontal="center" vertical="center"/>
    </xf>
    <xf numFmtId="0" fontId="0" fillId="0" borderId="72" xfId="0" applyBorder="1" applyAlignment="1">
      <alignment horizontal="center" vertical="center"/>
    </xf>
    <xf numFmtId="0" fontId="17" fillId="0" borderId="27" xfId="0" applyFont="1" applyBorder="1" applyAlignment="1">
      <alignment vertical="center"/>
    </xf>
    <xf numFmtId="164" fontId="20" fillId="16" borderId="33" xfId="0" applyNumberFormat="1" applyFont="1" applyFill="1" applyBorder="1" applyAlignment="1" applyProtection="1">
      <alignment vertical="center" wrapText="1"/>
      <protection locked="0"/>
    </xf>
    <xf numFmtId="0" fontId="123" fillId="16" borderId="24" xfId="0" applyFont="1" applyFill="1" applyBorder="1" applyAlignment="1" applyProtection="1">
      <alignment horizontal="left" vertical="center" wrapText="1"/>
      <protection locked="0"/>
    </xf>
    <xf numFmtId="0" fontId="123" fillId="16" borderId="24" xfId="0" applyFont="1" applyFill="1" applyBorder="1" applyAlignment="1" applyProtection="1">
      <alignment vertical="center" wrapText="1"/>
      <protection locked="0"/>
    </xf>
    <xf numFmtId="0" fontId="0" fillId="16" borderId="25" xfId="0" applyFill="1" applyBorder="1" applyAlignment="1" applyProtection="1">
      <alignment horizontal="center" vertical="center"/>
      <protection locked="0"/>
    </xf>
    <xf numFmtId="0" fontId="65" fillId="0" borderId="0" xfId="1" applyFont="1" applyAlignment="1">
      <alignment horizontal="left"/>
    </xf>
    <xf numFmtId="0" fontId="125" fillId="0" borderId="0" xfId="1" applyFont="1" applyAlignment="1">
      <alignment horizontal="center" vertical="top" wrapText="1"/>
    </xf>
    <xf numFmtId="0" fontId="6" fillId="0" borderId="0" xfId="1" applyAlignment="1">
      <alignment shrinkToFit="1"/>
    </xf>
    <xf numFmtId="0" fontId="6" fillId="0" borderId="0" xfId="1" applyAlignment="1">
      <alignment horizontal="center" shrinkToFit="1"/>
    </xf>
    <xf numFmtId="0" fontId="126" fillId="9" borderId="44" xfId="1" applyFont="1" applyFill="1" applyBorder="1" applyAlignment="1">
      <alignment horizontal="center" vertical="top" wrapText="1"/>
    </xf>
    <xf numFmtId="0" fontId="6" fillId="9" borderId="14" xfId="1" applyFill="1" applyBorder="1"/>
    <xf numFmtId="0" fontId="6" fillId="9" borderId="44" xfId="1" applyFill="1" applyBorder="1" applyAlignment="1">
      <alignment horizontal="center"/>
    </xf>
    <xf numFmtId="0" fontId="6" fillId="9" borderId="9" xfId="1" applyFill="1" applyBorder="1" applyAlignment="1">
      <alignment horizontal="center"/>
    </xf>
    <xf numFmtId="0" fontId="6" fillId="9" borderId="14" xfId="1" applyFill="1" applyBorder="1" applyAlignment="1">
      <alignment horizontal="center"/>
    </xf>
    <xf numFmtId="0" fontId="6" fillId="4" borderId="17" xfId="1" applyFill="1" applyBorder="1"/>
    <xf numFmtId="0" fontId="6" fillId="4" borderId="18" xfId="1" applyFill="1" applyBorder="1"/>
    <xf numFmtId="0" fontId="127" fillId="9" borderId="45" xfId="1" applyFont="1" applyFill="1" applyBorder="1" applyAlignment="1">
      <alignment horizontal="center" vertical="top" wrapText="1"/>
    </xf>
    <xf numFmtId="0" fontId="128" fillId="9" borderId="0" xfId="1" applyFont="1" applyFill="1"/>
    <xf numFmtId="0" fontId="6" fillId="9" borderId="46" xfId="1" applyFill="1" applyBorder="1" applyAlignment="1">
      <alignment horizontal="center"/>
    </xf>
    <xf numFmtId="0" fontId="6" fillId="9" borderId="23" xfId="1" applyFill="1" applyBorder="1" applyAlignment="1">
      <alignment horizontal="center"/>
    </xf>
    <xf numFmtId="0" fontId="6" fillId="9" borderId="15" xfId="1" applyFill="1" applyBorder="1" applyAlignment="1">
      <alignment horizontal="center"/>
    </xf>
    <xf numFmtId="0" fontId="6" fillId="35" borderId="45" xfId="1" applyFill="1" applyBorder="1" applyAlignment="1">
      <alignment horizontal="center"/>
    </xf>
    <xf numFmtId="0" fontId="6" fillId="35" borderId="0" xfId="1" applyFill="1"/>
    <xf numFmtId="0" fontId="6" fillId="35" borderId="12" xfId="1" applyFill="1" applyBorder="1"/>
    <xf numFmtId="0" fontId="6" fillId="4" borderId="46" xfId="1" applyFill="1" applyBorder="1" applyAlignment="1">
      <alignment horizontal="center"/>
    </xf>
    <xf numFmtId="0" fontId="128" fillId="4" borderId="15" xfId="1" applyFont="1" applyFill="1" applyBorder="1" applyAlignment="1">
      <alignment horizontal="left"/>
    </xf>
    <xf numFmtId="0" fontId="6" fillId="4" borderId="44" xfId="1" applyFill="1" applyBorder="1" applyAlignment="1">
      <alignment horizontal="center"/>
    </xf>
    <xf numFmtId="0" fontId="6" fillId="4" borderId="118" xfId="1" applyFill="1" applyBorder="1" applyAlignment="1">
      <alignment horizontal="center" shrinkToFit="1"/>
    </xf>
    <xf numFmtId="0" fontId="6" fillId="4" borderId="22" xfId="1" applyFill="1" applyBorder="1" applyAlignment="1">
      <alignment horizontal="center"/>
    </xf>
    <xf numFmtId="0" fontId="6" fillId="4" borderId="22" xfId="1" applyFill="1" applyBorder="1" applyAlignment="1">
      <alignment horizontal="center" shrinkToFit="1"/>
    </xf>
    <xf numFmtId="0" fontId="6" fillId="4" borderId="45" xfId="1" applyFill="1" applyBorder="1" applyAlignment="1">
      <alignment horizontal="center" shrinkToFit="1"/>
    </xf>
    <xf numFmtId="0" fontId="6" fillId="4" borderId="0" xfId="1" applyFill="1" applyAlignment="1">
      <alignment horizontal="center" shrinkToFit="1"/>
    </xf>
    <xf numFmtId="0" fontId="6" fillId="4" borderId="23" xfId="1" applyFill="1" applyBorder="1" applyAlignment="1">
      <alignment horizontal="center" shrinkToFit="1"/>
    </xf>
    <xf numFmtId="0" fontId="6" fillId="0" borderId="1" xfId="1" applyBorder="1" applyAlignment="1">
      <alignment horizontal="center"/>
    </xf>
    <xf numFmtId="49" fontId="6" fillId="0" borderId="8" xfId="1" applyNumberFormat="1" applyBorder="1" applyAlignment="1">
      <alignment horizontal="left"/>
    </xf>
    <xf numFmtId="0" fontId="6" fillId="0" borderId="28" xfId="1" applyBorder="1" applyAlignment="1" applyProtection="1">
      <alignment horizontal="center"/>
      <protection locked="0"/>
    </xf>
    <xf numFmtId="0" fontId="6" fillId="0" borderId="36" xfId="1" applyBorder="1" applyAlignment="1" applyProtection="1">
      <alignment horizontal="center"/>
      <protection locked="0"/>
    </xf>
    <xf numFmtId="0" fontId="6" fillId="0" borderId="35" xfId="1" applyBorder="1" applyAlignment="1" applyProtection="1">
      <alignment horizontal="center"/>
      <protection locked="0"/>
    </xf>
    <xf numFmtId="0" fontId="6" fillId="0" borderId="29" xfId="1" applyBorder="1" applyAlignment="1" applyProtection="1">
      <alignment horizontal="center"/>
      <protection locked="0"/>
    </xf>
    <xf numFmtId="0" fontId="6" fillId="0" borderId="3" xfId="1" applyBorder="1" applyAlignment="1">
      <alignment horizontal="center"/>
    </xf>
    <xf numFmtId="49" fontId="6" fillId="0" borderId="24" xfId="1" applyNumberFormat="1" applyBorder="1" applyAlignment="1">
      <alignment horizontal="left"/>
    </xf>
    <xf numFmtId="0" fontId="6" fillId="0" borderId="31" xfId="1" applyBorder="1" applyAlignment="1" applyProtection="1">
      <alignment horizontal="center"/>
      <protection locked="0"/>
    </xf>
    <xf numFmtId="0" fontId="6" fillId="0" borderId="26" xfId="1" applyBorder="1" applyAlignment="1" applyProtection="1">
      <alignment horizontal="center"/>
      <protection locked="0"/>
    </xf>
    <xf numFmtId="0" fontId="6" fillId="0" borderId="37" xfId="1" applyBorder="1" applyAlignment="1" applyProtection="1">
      <alignment horizontal="center"/>
      <protection locked="0"/>
    </xf>
    <xf numFmtId="0" fontId="6" fillId="0" borderId="32" xfId="1" applyBorder="1" applyAlignment="1" applyProtection="1">
      <alignment horizontal="center"/>
      <protection locked="0"/>
    </xf>
    <xf numFmtId="0" fontId="6" fillId="0" borderId="26" xfId="1" applyBorder="1" applyAlignment="1" applyProtection="1">
      <alignment horizontal="center" shrinkToFit="1"/>
      <protection locked="0"/>
    </xf>
    <xf numFmtId="0" fontId="6" fillId="0" borderId="32" xfId="1" applyBorder="1" applyAlignment="1" applyProtection="1">
      <alignment horizontal="center" shrinkToFit="1"/>
      <protection locked="0"/>
    </xf>
    <xf numFmtId="0" fontId="6" fillId="0" borderId="31" xfId="1" applyBorder="1" applyAlignment="1" applyProtection="1">
      <alignment horizontal="center" shrinkToFit="1"/>
      <protection locked="0"/>
    </xf>
    <xf numFmtId="0" fontId="6" fillId="0" borderId="4" xfId="1" applyBorder="1" applyAlignment="1">
      <alignment horizontal="center"/>
    </xf>
    <xf numFmtId="49" fontId="6" fillId="0" borderId="19" xfId="1" applyNumberFormat="1" applyBorder="1" applyAlignment="1">
      <alignment horizontal="left"/>
    </xf>
    <xf numFmtId="0" fontId="6" fillId="0" borderId="34" xfId="1" applyBorder="1" applyAlignment="1" applyProtection="1">
      <alignment horizontal="center"/>
      <protection locked="0"/>
    </xf>
    <xf numFmtId="0" fontId="6" fillId="0" borderId="40" xfId="1" applyBorder="1" applyAlignment="1" applyProtection="1">
      <alignment horizontal="center" shrinkToFit="1"/>
      <protection locked="0"/>
    </xf>
    <xf numFmtId="0" fontId="6" fillId="0" borderId="38" xfId="1" applyBorder="1" applyAlignment="1" applyProtection="1">
      <alignment horizontal="center"/>
      <protection locked="0"/>
    </xf>
    <xf numFmtId="0" fontId="6" fillId="0" borderId="40" xfId="1" applyBorder="1" applyAlignment="1" applyProtection="1">
      <alignment horizontal="center"/>
      <protection locked="0"/>
    </xf>
    <xf numFmtId="0" fontId="6" fillId="0" borderId="41" xfId="1" applyBorder="1" applyAlignment="1" applyProtection="1">
      <alignment horizontal="center" shrinkToFit="1"/>
      <protection locked="0"/>
    </xf>
    <xf numFmtId="0" fontId="6" fillId="0" borderId="34" xfId="1" applyBorder="1" applyAlignment="1" applyProtection="1">
      <alignment horizontal="center" shrinkToFit="1"/>
      <protection locked="0"/>
    </xf>
    <xf numFmtId="0" fontId="6" fillId="0" borderId="10" xfId="1" applyBorder="1" applyAlignment="1">
      <alignment horizontal="center"/>
    </xf>
    <xf numFmtId="9" fontId="0" fillId="0" borderId="26" xfId="4" applyFont="1" applyBorder="1" applyAlignment="1" applyProtection="1">
      <alignment horizontal="center"/>
    </xf>
    <xf numFmtId="9" fontId="0" fillId="0" borderId="25" xfId="4" applyFont="1" applyBorder="1" applyAlignment="1" applyProtection="1">
      <alignment horizontal="center"/>
    </xf>
    <xf numFmtId="9" fontId="0" fillId="0" borderId="0" xfId="4" applyFont="1" applyFill="1" applyBorder="1" applyAlignment="1" applyProtection="1">
      <alignment horizontal="center"/>
    </xf>
    <xf numFmtId="0" fontId="6" fillId="0" borderId="69" xfId="1" applyBorder="1" applyAlignment="1">
      <alignment horizontal="center" vertical="center"/>
    </xf>
    <xf numFmtId="0" fontId="6" fillId="0" borderId="70" xfId="1" applyBorder="1"/>
    <xf numFmtId="0" fontId="6" fillId="0" borderId="62" xfId="1" applyBorder="1" applyAlignment="1">
      <alignment horizontal="center" vertical="center"/>
    </xf>
    <xf numFmtId="0" fontId="6" fillId="0" borderId="27" xfId="1" applyBorder="1"/>
    <xf numFmtId="0" fontId="125" fillId="0" borderId="1" xfId="1" applyFont="1" applyBorder="1" applyAlignment="1">
      <alignment horizontal="center" vertical="top" wrapText="1"/>
    </xf>
    <xf numFmtId="0" fontId="6" fillId="0" borderId="8" xfId="1" applyBorder="1"/>
    <xf numFmtId="0" fontId="37" fillId="36" borderId="14" xfId="1" applyFont="1" applyFill="1" applyBorder="1" applyAlignment="1">
      <alignment horizontal="center"/>
    </xf>
    <xf numFmtId="0" fontId="6" fillId="16" borderId="44" xfId="1" applyFill="1" applyBorder="1" applyAlignment="1">
      <alignment horizontal="center"/>
    </xf>
    <xf numFmtId="0" fontId="6" fillId="16" borderId="14" xfId="1" applyFill="1" applyBorder="1"/>
    <xf numFmtId="0" fontId="6" fillId="16" borderId="58" xfId="1" applyFill="1" applyBorder="1" applyAlignment="1">
      <alignment horizontal="center"/>
    </xf>
    <xf numFmtId="0" fontId="126" fillId="9" borderId="3" xfId="1" applyFont="1" applyFill="1" applyBorder="1" applyAlignment="1">
      <alignment horizontal="center" vertical="top" wrapText="1"/>
    </xf>
    <xf numFmtId="0" fontId="6" fillId="9" borderId="24" xfId="1" applyFill="1" applyBorder="1"/>
    <xf numFmtId="0" fontId="6" fillId="9" borderId="24" xfId="1" applyFill="1" applyBorder="1" applyAlignment="1">
      <alignment horizontal="center" shrinkToFit="1"/>
    </xf>
    <xf numFmtId="0" fontId="6" fillId="35" borderId="0" xfId="1" applyFill="1" applyAlignment="1">
      <alignment horizontal="center"/>
    </xf>
    <xf numFmtId="0" fontId="6" fillId="16" borderId="0" xfId="1" applyFill="1"/>
    <xf numFmtId="0" fontId="6" fillId="16" borderId="55" xfId="1" applyFill="1" applyBorder="1" applyAlignment="1">
      <alignment horizontal="center"/>
    </xf>
    <xf numFmtId="0" fontId="127" fillId="9" borderId="3" xfId="1" applyFont="1" applyFill="1" applyBorder="1" applyAlignment="1">
      <alignment horizontal="center" vertical="top" wrapText="1"/>
    </xf>
    <xf numFmtId="0" fontId="6" fillId="35" borderId="53" xfId="1" applyFill="1" applyBorder="1" applyAlignment="1">
      <alignment horizontal="center"/>
    </xf>
    <xf numFmtId="0" fontId="6" fillId="16" borderId="52" xfId="1" applyFill="1" applyBorder="1" applyAlignment="1">
      <alignment horizontal="center"/>
    </xf>
    <xf numFmtId="0" fontId="6" fillId="16" borderId="53" xfId="1" applyFill="1" applyBorder="1"/>
    <xf numFmtId="0" fontId="6" fillId="4" borderId="3" xfId="1" applyFill="1" applyBorder="1" applyAlignment="1">
      <alignment horizontal="center"/>
    </xf>
    <xf numFmtId="0" fontId="6" fillId="4" borderId="24" xfId="1" applyFill="1" applyBorder="1" applyAlignment="1">
      <alignment horizontal="center"/>
    </xf>
    <xf numFmtId="0" fontId="6" fillId="4" borderId="24" xfId="1" applyFill="1" applyBorder="1" applyAlignment="1">
      <alignment horizontal="center" shrinkToFit="1"/>
    </xf>
    <xf numFmtId="0" fontId="6" fillId="4" borderId="6" xfId="1" applyFill="1" applyBorder="1" applyAlignment="1">
      <alignment horizontal="center" shrinkToFit="1"/>
    </xf>
    <xf numFmtId="0" fontId="6" fillId="4" borderId="53" xfId="1" applyFill="1" applyBorder="1" applyAlignment="1">
      <alignment horizontal="center" shrinkToFit="1"/>
    </xf>
    <xf numFmtId="0" fontId="6" fillId="35" borderId="65" xfId="1" applyFill="1" applyBorder="1" applyAlignment="1">
      <alignment horizontal="center"/>
    </xf>
    <xf numFmtId="0" fontId="6" fillId="5" borderId="33" xfId="1" applyFill="1" applyBorder="1" applyAlignment="1">
      <alignment horizontal="center" vertical="center"/>
    </xf>
    <xf numFmtId="0" fontId="6" fillId="35" borderId="33" xfId="1" applyFill="1" applyBorder="1" applyAlignment="1">
      <alignment horizontal="center" vertical="center"/>
    </xf>
    <xf numFmtId="0" fontId="6" fillId="16" borderId="33" xfId="1" applyFill="1" applyBorder="1" applyAlignment="1">
      <alignment horizontal="center" vertical="center"/>
    </xf>
    <xf numFmtId="0" fontId="6" fillId="16" borderId="71" xfId="1" applyFill="1" applyBorder="1" applyAlignment="1">
      <alignment horizontal="center" vertical="center"/>
    </xf>
    <xf numFmtId="0" fontId="6" fillId="16" borderId="65" xfId="1" applyFill="1" applyBorder="1" applyAlignment="1">
      <alignment horizontal="center"/>
    </xf>
    <xf numFmtId="49" fontId="23" fillId="0" borderId="24" xfId="1" applyNumberFormat="1" applyFont="1" applyBorder="1" applyAlignment="1" applyProtection="1">
      <alignment horizontal="left"/>
      <protection locked="0"/>
    </xf>
    <xf numFmtId="0" fontId="6" fillId="0" borderId="24" xfId="1" applyBorder="1" applyAlignment="1" applyProtection="1">
      <alignment horizontal="center"/>
      <protection locked="0"/>
    </xf>
    <xf numFmtId="0" fontId="6" fillId="0" borderId="24" xfId="1" applyBorder="1" applyAlignment="1" applyProtection="1">
      <alignment horizontal="center" shrinkToFit="1"/>
      <protection locked="0"/>
    </xf>
    <xf numFmtId="0" fontId="6" fillId="0" borderId="6" xfId="1" applyBorder="1" applyAlignment="1" applyProtection="1">
      <alignment horizontal="center"/>
      <protection locked="0"/>
    </xf>
    <xf numFmtId="0" fontId="6" fillId="0" borderId="53" xfId="1" applyBorder="1" applyAlignment="1" applyProtection="1">
      <alignment horizontal="center"/>
      <protection locked="0"/>
    </xf>
    <xf numFmtId="49" fontId="6" fillId="0" borderId="52" xfId="1" applyNumberFormat="1" applyBorder="1" applyAlignment="1">
      <alignment horizontal="left"/>
    </xf>
    <xf numFmtId="0" fontId="6" fillId="5" borderId="65" xfId="1" applyFill="1" applyBorder="1" applyAlignment="1" applyProtection="1">
      <alignment horizontal="center" vertical="center"/>
      <protection locked="0"/>
    </xf>
    <xf numFmtId="0" fontId="6" fillId="5" borderId="33" xfId="1" applyFill="1" applyBorder="1" applyAlignment="1" applyProtection="1">
      <alignment horizontal="center" vertical="center"/>
      <protection locked="0"/>
    </xf>
    <xf numFmtId="0" fontId="6" fillId="5" borderId="73" xfId="1" applyFill="1" applyBorder="1" applyAlignment="1" applyProtection="1">
      <alignment horizontal="center" vertical="center"/>
      <protection locked="0"/>
    </xf>
    <xf numFmtId="0" fontId="6" fillId="0" borderId="65" xfId="1" applyBorder="1" applyAlignment="1" applyProtection="1">
      <alignment horizontal="center" vertical="center"/>
      <protection locked="0"/>
    </xf>
    <xf numFmtId="0" fontId="6" fillId="0" borderId="33" xfId="1" applyBorder="1" applyAlignment="1" applyProtection="1">
      <alignment horizontal="center" vertical="center"/>
      <protection locked="0"/>
    </xf>
    <xf numFmtId="0" fontId="6" fillId="0" borderId="73" xfId="1" applyBorder="1" applyAlignment="1" applyProtection="1">
      <alignment horizontal="center" vertical="center"/>
      <protection locked="0"/>
    </xf>
    <xf numFmtId="0" fontId="6" fillId="0" borderId="71" xfId="1" applyBorder="1" applyAlignment="1" applyProtection="1">
      <alignment horizontal="center" vertical="center"/>
      <protection locked="0"/>
    </xf>
    <xf numFmtId="0" fontId="6" fillId="0" borderId="6" xfId="1" applyBorder="1" applyAlignment="1">
      <alignment horizontal="center" vertical="center"/>
    </xf>
    <xf numFmtId="0" fontId="6" fillId="0" borderId="3" xfId="1" applyBorder="1" applyAlignment="1">
      <alignment horizontal="left" vertical="center"/>
    </xf>
    <xf numFmtId="0" fontId="6" fillId="0" borderId="6" xfId="1" applyBorder="1" applyAlignment="1" applyProtection="1">
      <alignment horizontal="left" vertical="center"/>
      <protection locked="0"/>
    </xf>
    <xf numFmtId="49" fontId="6" fillId="0" borderId="37" xfId="1" applyNumberFormat="1" applyBorder="1" applyAlignment="1">
      <alignment horizontal="left"/>
    </xf>
    <xf numFmtId="0" fontId="6" fillId="5" borderId="3" xfId="1" applyFill="1" applyBorder="1" applyAlignment="1" applyProtection="1">
      <alignment horizontal="center" vertical="center"/>
      <protection locked="0"/>
    </xf>
    <xf numFmtId="0" fontId="6" fillId="5" borderId="24" xfId="1" applyFill="1" applyBorder="1" applyAlignment="1" applyProtection="1">
      <alignment horizontal="center" vertical="center"/>
      <protection locked="0"/>
    </xf>
    <xf numFmtId="0" fontId="6" fillId="5" borderId="6" xfId="1" applyFill="1" applyBorder="1" applyAlignment="1" applyProtection="1">
      <alignment horizontal="center" vertical="center"/>
      <protection locked="0"/>
    </xf>
    <xf numFmtId="0" fontId="6" fillId="0" borderId="3" xfId="1" applyBorder="1" applyAlignment="1" applyProtection="1">
      <alignment horizontal="center" vertical="center"/>
      <protection locked="0"/>
    </xf>
    <xf numFmtId="0" fontId="6" fillId="0" borderId="6" xfId="1" applyBorder="1" applyAlignment="1" applyProtection="1">
      <alignment horizontal="center" vertical="center"/>
      <protection locked="0"/>
    </xf>
    <xf numFmtId="0" fontId="6" fillId="0" borderId="10" xfId="1" applyBorder="1" applyAlignment="1" applyProtection="1">
      <alignment horizontal="center" vertical="center"/>
      <protection locked="0"/>
    </xf>
    <xf numFmtId="49" fontId="23" fillId="0" borderId="19" xfId="1" applyNumberFormat="1" applyFont="1" applyBorder="1" applyAlignment="1" applyProtection="1">
      <alignment horizontal="left"/>
      <protection locked="0"/>
    </xf>
    <xf numFmtId="0" fontId="6" fillId="0" borderId="19" xfId="1" applyBorder="1" applyAlignment="1" applyProtection="1">
      <alignment horizontal="center"/>
      <protection locked="0"/>
    </xf>
    <xf numFmtId="0" fontId="6" fillId="0" borderId="19" xfId="1" applyBorder="1" applyAlignment="1" applyProtection="1">
      <alignment horizontal="center" shrinkToFit="1"/>
      <protection locked="0"/>
    </xf>
    <xf numFmtId="0" fontId="6" fillId="0" borderId="7" xfId="1" applyBorder="1" applyAlignment="1" applyProtection="1">
      <alignment horizontal="center"/>
      <protection locked="0"/>
    </xf>
    <xf numFmtId="49" fontId="6" fillId="0" borderId="38" xfId="1" applyNumberFormat="1" applyBorder="1" applyAlignment="1">
      <alignment horizontal="left"/>
    </xf>
    <xf numFmtId="0" fontId="6" fillId="5" borderId="4" xfId="1" applyFill="1" applyBorder="1" applyAlignment="1" applyProtection="1">
      <alignment horizontal="center" vertical="center"/>
      <protection locked="0"/>
    </xf>
    <xf numFmtId="0" fontId="6" fillId="5" borderId="19" xfId="1" applyFill="1" applyBorder="1" applyAlignment="1" applyProtection="1">
      <alignment horizontal="center" vertical="center"/>
      <protection locked="0"/>
    </xf>
    <xf numFmtId="0" fontId="6" fillId="5" borderId="7" xfId="1" applyFill="1" applyBorder="1" applyAlignment="1" applyProtection="1">
      <alignment horizontal="center" vertical="center"/>
      <protection locked="0"/>
    </xf>
    <xf numFmtId="0" fontId="6" fillId="0" borderId="4" xfId="1" applyBorder="1" applyAlignment="1" applyProtection="1">
      <alignment horizontal="center" vertical="center"/>
      <protection locked="0"/>
    </xf>
    <xf numFmtId="0" fontId="6" fillId="0" borderId="19" xfId="1" applyBorder="1" applyAlignment="1" applyProtection="1">
      <alignment horizontal="center" vertical="center"/>
      <protection locked="0"/>
    </xf>
    <xf numFmtId="0" fontId="6" fillId="0" borderId="7" xfId="1" applyBorder="1" applyAlignment="1" applyProtection="1">
      <alignment horizontal="center" vertical="center"/>
      <protection locked="0"/>
    </xf>
    <xf numFmtId="0" fontId="6" fillId="0" borderId="11" xfId="1" applyBorder="1" applyAlignment="1" applyProtection="1">
      <alignment horizontal="center" vertical="center"/>
      <protection locked="0"/>
    </xf>
    <xf numFmtId="0" fontId="6" fillId="0" borderId="7" xfId="1" applyBorder="1" applyAlignment="1">
      <alignment horizontal="center" vertical="center"/>
    </xf>
    <xf numFmtId="0" fontId="6" fillId="0" borderId="4" xfId="1" applyBorder="1" applyAlignment="1">
      <alignment horizontal="left" vertical="center"/>
    </xf>
    <xf numFmtId="0" fontId="6" fillId="0" borderId="7" xfId="1" applyBorder="1" applyAlignment="1" applyProtection="1">
      <alignment horizontal="left" vertical="center"/>
      <protection locked="0"/>
    </xf>
    <xf numFmtId="0" fontId="6" fillId="0" borderId="33" xfId="1" applyBorder="1" applyAlignment="1">
      <alignment horizontal="center"/>
    </xf>
    <xf numFmtId="0" fontId="6" fillId="0" borderId="33" xfId="1" applyBorder="1"/>
    <xf numFmtId="0" fontId="6" fillId="0" borderId="71" xfId="1" applyBorder="1" applyAlignment="1">
      <alignment horizontal="center"/>
    </xf>
    <xf numFmtId="0" fontId="6" fillId="0" borderId="72" xfId="1" applyBorder="1" applyAlignment="1">
      <alignment horizontal="center"/>
    </xf>
    <xf numFmtId="0" fontId="6" fillId="0" borderId="56" xfId="1" applyBorder="1" applyAlignment="1">
      <alignment horizontal="center" vertical="center"/>
    </xf>
    <xf numFmtId="0" fontId="6" fillId="0" borderId="69" xfId="1" applyBorder="1" applyAlignment="1">
      <alignment horizontal="center"/>
    </xf>
    <xf numFmtId="9" fontId="6" fillId="0" borderId="62" xfId="1" applyNumberFormat="1" applyBorder="1" applyAlignment="1">
      <alignment horizontal="center" textRotation="180"/>
    </xf>
    <xf numFmtId="9" fontId="6" fillId="0" borderId="24" xfId="4" applyFont="1" applyFill="1" applyBorder="1" applyAlignment="1" applyProtection="1">
      <alignment horizontal="center"/>
    </xf>
    <xf numFmtId="9" fontId="6" fillId="0" borderId="24" xfId="4" applyFont="1" applyBorder="1" applyAlignment="1" applyProtection="1">
      <alignment horizontal="center"/>
    </xf>
    <xf numFmtId="9" fontId="6" fillId="0" borderId="71" xfId="4" applyFont="1" applyBorder="1" applyAlignment="1" applyProtection="1">
      <alignment horizontal="center"/>
    </xf>
    <xf numFmtId="0" fontId="21" fillId="0" borderId="71" xfId="1" applyFont="1" applyBorder="1" applyAlignment="1">
      <alignment horizontal="center"/>
    </xf>
    <xf numFmtId="9" fontId="6" fillId="0" borderId="71" xfId="1" applyNumberFormat="1" applyBorder="1" applyAlignment="1">
      <alignment horizontal="center" textRotation="180"/>
    </xf>
    <xf numFmtId="0" fontId="6" fillId="0" borderId="72" xfId="1" applyBorder="1"/>
    <xf numFmtId="170" fontId="6" fillId="4" borderId="24" xfId="1" applyNumberFormat="1" applyFill="1" applyBorder="1" applyAlignment="1" applyProtection="1">
      <alignment horizontal="center"/>
      <protection locked="0"/>
    </xf>
    <xf numFmtId="49" fontId="6" fillId="0" borderId="31" xfId="1" applyNumberFormat="1" applyBorder="1" applyAlignment="1">
      <alignment horizontal="left"/>
    </xf>
    <xf numFmtId="49" fontId="6" fillId="0" borderId="34" xfId="1" applyNumberFormat="1" applyBorder="1" applyAlignment="1">
      <alignment horizontal="left"/>
    </xf>
    <xf numFmtId="49" fontId="6" fillId="0" borderId="42" xfId="1" applyNumberFormat="1" applyBorder="1" applyAlignment="1">
      <alignment horizontal="left"/>
    </xf>
    <xf numFmtId="0" fontId="6" fillId="35" borderId="46" xfId="1" applyFill="1" applyBorder="1" applyAlignment="1">
      <alignment horizontal="center"/>
    </xf>
    <xf numFmtId="14" fontId="6" fillId="4" borderId="24" xfId="1" applyNumberFormat="1" applyFill="1" applyBorder="1" applyAlignment="1" applyProtection="1">
      <alignment horizontal="center"/>
      <protection locked="0"/>
    </xf>
    <xf numFmtId="0" fontId="128" fillId="4" borderId="0" xfId="1" applyFont="1" applyFill="1" applyAlignment="1">
      <alignment horizontal="left"/>
    </xf>
    <xf numFmtId="49" fontId="6" fillId="0" borderId="36" xfId="1" applyNumberFormat="1" applyBorder="1" applyAlignment="1">
      <alignment horizontal="left"/>
    </xf>
    <xf numFmtId="49" fontId="6" fillId="0" borderId="26" xfId="1" applyNumberFormat="1" applyBorder="1" applyAlignment="1">
      <alignment horizontal="left"/>
    </xf>
    <xf numFmtId="49" fontId="6" fillId="0" borderId="40" xfId="1" applyNumberFormat="1" applyBorder="1" applyAlignment="1">
      <alignment horizontal="left"/>
    </xf>
    <xf numFmtId="0" fontId="1" fillId="0" borderId="0" xfId="11" applyFont="1"/>
    <xf numFmtId="0" fontId="12" fillId="0" borderId="0" xfId="1" applyFont="1" applyAlignment="1">
      <alignment horizontal="center"/>
    </xf>
    <xf numFmtId="0" fontId="6" fillId="16" borderId="69" xfId="0" applyFont="1" applyFill="1" applyBorder="1" applyAlignment="1">
      <alignment horizontal="center"/>
    </xf>
    <xf numFmtId="0" fontId="6" fillId="2" borderId="24" xfId="1" applyFill="1" applyBorder="1" applyAlignment="1" applyProtection="1">
      <alignment horizontal="left" vertical="center"/>
      <protection locked="0"/>
    </xf>
    <xf numFmtId="9" fontId="6" fillId="0" borderId="24" xfId="4" applyFont="1" applyBorder="1" applyAlignment="1">
      <alignment horizontal="center" vertical="center"/>
    </xf>
    <xf numFmtId="0" fontId="65" fillId="0" borderId="0" xfId="1" applyFont="1" applyAlignment="1">
      <alignment horizontal="center"/>
    </xf>
    <xf numFmtId="0" fontId="6" fillId="9" borderId="16" xfId="1" applyFill="1" applyBorder="1" applyAlignment="1">
      <alignment horizontal="center"/>
    </xf>
    <xf numFmtId="0" fontId="6" fillId="9" borderId="24" xfId="1" applyFill="1" applyBorder="1" applyAlignment="1">
      <alignment horizontal="center"/>
    </xf>
    <xf numFmtId="0" fontId="6" fillId="35" borderId="24" xfId="1" applyFill="1" applyBorder="1" applyAlignment="1">
      <alignment horizontal="center"/>
    </xf>
    <xf numFmtId="0" fontId="6" fillId="35" borderId="6" xfId="1" applyFill="1" applyBorder="1" applyAlignment="1">
      <alignment horizontal="center"/>
    </xf>
    <xf numFmtId="0" fontId="81" fillId="0" borderId="30" xfId="1" applyFont="1" applyBorder="1" applyAlignment="1">
      <alignment horizontal="center" vertical="center"/>
    </xf>
    <xf numFmtId="0" fontId="81" fillId="0" borderId="24" xfId="1" applyFont="1" applyBorder="1" applyAlignment="1">
      <alignment horizontal="center" vertical="center" textRotation="180"/>
    </xf>
    <xf numFmtId="0" fontId="6" fillId="0" borderId="24" xfId="1" applyBorder="1" applyAlignment="1">
      <alignment horizontal="center" vertical="center" textRotation="180"/>
    </xf>
    <xf numFmtId="0" fontId="36" fillId="0" borderId="0" xfId="0" applyFont="1" applyAlignment="1">
      <alignment horizontal="center" textRotation="90"/>
    </xf>
    <xf numFmtId="0" fontId="21" fillId="0" borderId="0" xfId="0" applyFont="1"/>
    <xf numFmtId="0" fontId="6" fillId="17" borderId="62" xfId="0" applyFont="1" applyFill="1" applyBorder="1" applyAlignment="1">
      <alignment horizontal="center" vertical="center"/>
    </xf>
    <xf numFmtId="0" fontId="6" fillId="0" borderId="62" xfId="0" applyFont="1" applyBorder="1" applyAlignment="1">
      <alignment horizontal="center" vertical="center"/>
    </xf>
    <xf numFmtId="0" fontId="6" fillId="0" borderId="71" xfId="0" applyFont="1" applyBorder="1" applyAlignment="1">
      <alignment horizontal="center" vertical="center"/>
    </xf>
    <xf numFmtId="0" fontId="0" fillId="0" borderId="0" xfId="0" applyAlignment="1">
      <alignment wrapText="1"/>
    </xf>
    <xf numFmtId="0" fontId="6" fillId="0" borderId="0" xfId="0" applyFont="1" applyAlignment="1">
      <alignment horizontal="center" vertical="center" wrapText="1"/>
    </xf>
    <xf numFmtId="0" fontId="6" fillId="0" borderId="0" xfId="0" applyFont="1" applyAlignment="1">
      <alignment vertical="center" wrapText="1"/>
    </xf>
    <xf numFmtId="0" fontId="0" fillId="0" borderId="0" xfId="0" applyAlignment="1">
      <alignment horizontal="center" wrapText="1"/>
    </xf>
    <xf numFmtId="0" fontId="14" fillId="0" borderId="0" xfId="1" applyFont="1" applyAlignment="1">
      <alignment horizontal="left" wrapText="1"/>
    </xf>
    <xf numFmtId="0" fontId="14" fillId="0" borderId="0" xfId="1" applyFont="1" applyAlignment="1">
      <alignment wrapText="1"/>
    </xf>
    <xf numFmtId="0" fontId="0" fillId="0" borderId="0" xfId="0" applyAlignment="1">
      <alignment vertical="top" wrapText="1"/>
    </xf>
    <xf numFmtId="0" fontId="0" fillId="0" borderId="24" xfId="0" applyBorder="1" applyAlignment="1">
      <alignmen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123" fillId="16" borderId="24" xfId="0" applyFont="1" applyFill="1" applyBorder="1" applyAlignment="1" applyProtection="1">
      <alignment horizontal="left" vertical="top" wrapText="1"/>
      <protection locked="0"/>
    </xf>
    <xf numFmtId="171" fontId="123" fillId="16" borderId="24" xfId="0" applyNumberFormat="1" applyFont="1" applyFill="1" applyBorder="1" applyAlignment="1" applyProtection="1">
      <alignment horizontal="left" vertical="top" wrapText="1"/>
      <protection locked="0"/>
    </xf>
    <xf numFmtId="0" fontId="6" fillId="0" borderId="24" xfId="0" applyFont="1" applyBorder="1" applyAlignment="1">
      <alignment horizontal="center" vertical="top" wrapText="1"/>
    </xf>
    <xf numFmtId="0" fontId="6" fillId="17" borderId="24" xfId="0" applyFont="1" applyFill="1" applyBorder="1" applyAlignment="1">
      <alignment horizontal="left" vertical="top" wrapText="1"/>
    </xf>
    <xf numFmtId="0" fontId="0" fillId="0" borderId="24" xfId="0" applyBorder="1" applyAlignment="1">
      <alignment horizontal="center" vertical="top" wrapText="1"/>
    </xf>
    <xf numFmtId="0" fontId="123" fillId="0" borderId="24" xfId="0" applyFont="1" applyBorder="1" applyAlignment="1" applyProtection="1">
      <alignment horizontal="left" vertical="top" wrapText="1"/>
      <protection locked="0"/>
    </xf>
    <xf numFmtId="171" fontId="123" fillId="0" borderId="24" xfId="0" applyNumberFormat="1" applyFont="1" applyBorder="1" applyAlignment="1" applyProtection="1">
      <alignment horizontal="left" vertical="top" wrapText="1"/>
      <protection locked="0"/>
    </xf>
    <xf numFmtId="0" fontId="0" fillId="16" borderId="24" xfId="0" applyFill="1" applyBorder="1" applyAlignment="1">
      <alignment horizontal="center" vertical="top" wrapText="1"/>
    </xf>
    <xf numFmtId="0" fontId="20" fillId="0" borderId="24" xfId="0" applyFont="1" applyBorder="1" applyAlignment="1" applyProtection="1">
      <alignment horizontal="left" vertical="top" wrapText="1"/>
      <protection locked="0"/>
    </xf>
    <xf numFmtId="164" fontId="20" fillId="0" borderId="24" xfId="0" applyNumberFormat="1" applyFont="1" applyBorder="1" applyAlignment="1" applyProtection="1">
      <alignment vertical="top" wrapText="1"/>
      <protection locked="0"/>
    </xf>
    <xf numFmtId="0" fontId="20" fillId="16" borderId="24" xfId="0" applyFont="1" applyFill="1" applyBorder="1" applyAlignment="1" applyProtection="1">
      <alignment horizontal="left" vertical="top" wrapText="1"/>
      <protection locked="0"/>
    </xf>
    <xf numFmtId="164" fontId="20" fillId="16" borderId="24" xfId="0" applyNumberFormat="1" applyFont="1" applyFill="1" applyBorder="1" applyAlignment="1" applyProtection="1">
      <alignment vertical="top" wrapText="1"/>
      <protection locked="0"/>
    </xf>
    <xf numFmtId="0" fontId="123" fillId="16" borderId="24" xfId="0" applyFont="1" applyFill="1" applyBorder="1" applyAlignment="1" applyProtection="1">
      <alignment vertical="top" wrapText="1"/>
      <protection locked="0"/>
    </xf>
    <xf numFmtId="0" fontId="123" fillId="0" borderId="24" xfId="0" applyFont="1" applyBorder="1" applyAlignment="1" applyProtection="1">
      <alignment vertical="top" wrapText="1"/>
      <protection locked="0"/>
    </xf>
    <xf numFmtId="0" fontId="130" fillId="0" borderId="0" xfId="0" applyFont="1" applyAlignment="1">
      <alignment horizontal="center" vertical="center"/>
    </xf>
    <xf numFmtId="0" fontId="6" fillId="17" borderId="35" xfId="1" applyFill="1" applyBorder="1" applyAlignment="1">
      <alignment horizontal="center" vertical="center" textRotation="90" wrapText="1"/>
    </xf>
    <xf numFmtId="0" fontId="6" fillId="2" borderId="38" xfId="1" applyFill="1" applyBorder="1" applyAlignment="1" applyProtection="1">
      <alignment horizontal="center" vertical="center"/>
      <protection locked="0"/>
    </xf>
    <xf numFmtId="0" fontId="6" fillId="16" borderId="24" xfId="0" applyFont="1" applyFill="1" applyBorder="1" applyAlignment="1" applyProtection="1">
      <alignment horizontal="left" vertical="top" wrapText="1"/>
      <protection locked="0"/>
    </xf>
    <xf numFmtId="0" fontId="0" fillId="16" borderId="24" xfId="0" applyFill="1" applyBorder="1" applyAlignment="1" applyProtection="1">
      <alignment vertical="top" wrapText="1"/>
      <protection locked="0"/>
    </xf>
    <xf numFmtId="0" fontId="6" fillId="0" borderId="24" xfId="0" applyFont="1" applyBorder="1" applyAlignment="1" applyProtection="1">
      <alignment vertical="top" wrapText="1"/>
      <protection locked="0"/>
    </xf>
    <xf numFmtId="0" fontId="6" fillId="0" borderId="24" xfId="0" applyFont="1" applyBorder="1" applyAlignment="1" applyProtection="1">
      <alignment horizontal="left" vertical="top" wrapText="1"/>
      <protection locked="0"/>
    </xf>
    <xf numFmtId="0" fontId="0" fillId="0" borderId="24" xfId="0" applyBorder="1" applyAlignment="1" applyProtection="1">
      <alignment vertical="top" wrapText="1"/>
      <protection locked="0"/>
    </xf>
    <xf numFmtId="0" fontId="6" fillId="16" borderId="24" xfId="0" applyFont="1" applyFill="1" applyBorder="1" applyAlignment="1" applyProtection="1">
      <alignment vertical="top" wrapText="1"/>
      <protection locked="0"/>
    </xf>
    <xf numFmtId="0" fontId="0" fillId="0" borderId="24" xfId="0" applyBorder="1" applyAlignment="1" applyProtection="1">
      <alignment horizontal="left" vertical="top" wrapText="1"/>
      <protection locked="0"/>
    </xf>
    <xf numFmtId="0" fontId="0" fillId="16" borderId="24" xfId="0" applyFill="1" applyBorder="1" applyAlignment="1" applyProtection="1">
      <alignment horizontal="left" vertical="top" wrapText="1"/>
      <protection locked="0"/>
    </xf>
    <xf numFmtId="164" fontId="23" fillId="6" borderId="24" xfId="0" applyNumberFormat="1" applyFont="1" applyFill="1" applyBorder="1" applyAlignment="1" applyProtection="1">
      <alignment horizontal="center" vertical="center" wrapText="1"/>
      <protection locked="0"/>
    </xf>
    <xf numFmtId="164" fontId="0" fillId="6" borderId="24" xfId="0" applyNumberFormat="1" applyFill="1" applyBorder="1" applyAlignment="1" applyProtection="1">
      <alignment horizontal="center" vertical="center" wrapText="1"/>
      <protection locked="0"/>
    </xf>
    <xf numFmtId="164" fontId="82" fillId="6" borderId="24" xfId="0" applyNumberFormat="1" applyFont="1" applyFill="1" applyBorder="1" applyAlignment="1" applyProtection="1">
      <alignment horizontal="center" vertical="center" wrapText="1"/>
      <protection locked="0"/>
    </xf>
    <xf numFmtId="164" fontId="6" fillId="6" borderId="24" xfId="0" applyNumberFormat="1" applyFont="1" applyFill="1" applyBorder="1" applyAlignment="1" applyProtection="1">
      <alignment horizontal="center" vertical="center"/>
      <protection locked="0"/>
    </xf>
    <xf numFmtId="164" fontId="0" fillId="6" borderId="24" xfId="0" applyNumberFormat="1" applyFill="1" applyBorder="1" applyAlignment="1" applyProtection="1">
      <alignment horizontal="center" vertical="center"/>
      <protection locked="0"/>
    </xf>
    <xf numFmtId="164" fontId="6" fillId="5" borderId="19" xfId="0" applyNumberFormat="1" applyFont="1" applyFill="1" applyBorder="1" applyAlignment="1" applyProtection="1">
      <alignment horizontal="center" vertical="center"/>
      <protection locked="0"/>
    </xf>
    <xf numFmtId="1" fontId="132" fillId="12" borderId="0" xfId="1" applyNumberFormat="1" applyFont="1" applyFill="1" applyAlignment="1" applyProtection="1">
      <alignment horizontal="center" vertical="center"/>
      <protection locked="0"/>
    </xf>
    <xf numFmtId="0" fontId="0" fillId="2" borderId="24" xfId="0" applyFill="1" applyBorder="1" applyAlignment="1">
      <alignment horizontal="center" vertical="center"/>
    </xf>
    <xf numFmtId="9" fontId="111" fillId="0" borderId="5" xfId="11" applyNumberFormat="1" applyFont="1" applyBorder="1" applyAlignment="1">
      <alignment horizontal="center"/>
    </xf>
    <xf numFmtId="9" fontId="111" fillId="0" borderId="13" xfId="11" applyNumberFormat="1" applyFont="1" applyBorder="1" applyAlignment="1">
      <alignment horizontal="center"/>
    </xf>
    <xf numFmtId="0" fontId="111" fillId="0" borderId="12" xfId="11" applyFont="1" applyBorder="1" applyAlignment="1">
      <alignment horizontal="center"/>
    </xf>
    <xf numFmtId="9" fontId="111" fillId="0" borderId="5" xfId="11" applyNumberFormat="1" applyFont="1" applyBorder="1" applyAlignment="1">
      <alignment horizontal="center" vertical="center"/>
    </xf>
    <xf numFmtId="9" fontId="111" fillId="0" borderId="13" xfId="11" applyNumberFormat="1" applyFont="1" applyBorder="1" applyAlignment="1">
      <alignment horizontal="center" vertical="center"/>
    </xf>
    <xf numFmtId="0" fontId="95" fillId="0" borderId="12" xfId="11" applyFont="1" applyBorder="1"/>
    <xf numFmtId="9" fontId="111" fillId="0" borderId="12" xfId="11" applyNumberFormat="1" applyFont="1" applyBorder="1" applyAlignment="1">
      <alignment horizontal="center"/>
    </xf>
    <xf numFmtId="0" fontId="111" fillId="0" borderId="18" xfId="11" applyFont="1" applyBorder="1" applyAlignment="1">
      <alignment horizontal="center" vertical="center"/>
    </xf>
    <xf numFmtId="0" fontId="95" fillId="0" borderId="12" xfId="11" applyFont="1" applyBorder="1" applyAlignment="1">
      <alignment horizontal="center" vertical="center"/>
    </xf>
    <xf numFmtId="166" fontId="96" fillId="10" borderId="0" xfId="9" applyNumberFormat="1" applyFill="1"/>
    <xf numFmtId="0" fontId="96" fillId="10" borderId="0" xfId="9" applyFill="1"/>
    <xf numFmtId="166" fontId="5" fillId="10" borderId="0" xfId="2" applyNumberFormat="1" applyFill="1"/>
    <xf numFmtId="166" fontId="96" fillId="38" borderId="0" xfId="9" applyNumberFormat="1" applyFill="1"/>
    <xf numFmtId="166" fontId="5" fillId="0" borderId="0" xfId="2" applyNumberFormat="1"/>
    <xf numFmtId="9" fontId="5" fillId="10" borderId="0" xfId="2" applyNumberFormat="1" applyFill="1"/>
    <xf numFmtId="9" fontId="5" fillId="0" borderId="0" xfId="2" applyNumberFormat="1"/>
    <xf numFmtId="166" fontId="96" fillId="10" borderId="0" xfId="10" applyNumberFormat="1" applyFill="1"/>
    <xf numFmtId="164" fontId="113" fillId="0" borderId="0" xfId="0" applyNumberFormat="1" applyFont="1" applyAlignment="1">
      <alignment horizontal="center"/>
    </xf>
    <xf numFmtId="0" fontId="83" fillId="3" borderId="16" xfId="0" applyFont="1" applyFill="1" applyBorder="1" applyAlignment="1">
      <alignment horizontal="center" vertical="center"/>
    </xf>
    <xf numFmtId="0" fontId="83" fillId="3" borderId="17" xfId="0" applyFont="1" applyFill="1" applyBorder="1" applyAlignment="1">
      <alignment horizontal="center" vertical="center"/>
    </xf>
    <xf numFmtId="0" fontId="83" fillId="3" borderId="18" xfId="0" applyFont="1" applyFill="1" applyBorder="1" applyAlignment="1">
      <alignment horizontal="center" vertical="center"/>
    </xf>
    <xf numFmtId="0" fontId="9" fillId="17" borderId="44" xfId="0" applyFont="1" applyFill="1" applyBorder="1" applyAlignment="1">
      <alignment horizontal="center" vertical="center" wrapText="1"/>
    </xf>
    <xf numFmtId="0" fontId="9" fillId="17" borderId="14" xfId="0" applyFont="1" applyFill="1" applyBorder="1" applyAlignment="1">
      <alignment horizontal="center" vertical="center" wrapText="1"/>
    </xf>
    <xf numFmtId="0" fontId="9" fillId="17" borderId="5" xfId="0" applyFont="1" applyFill="1" applyBorder="1" applyAlignment="1">
      <alignment horizontal="center" vertical="center" wrapText="1"/>
    </xf>
    <xf numFmtId="0" fontId="9" fillId="17" borderId="45" xfId="0" applyFont="1" applyFill="1" applyBorder="1" applyAlignment="1">
      <alignment horizontal="center" vertical="center" wrapText="1"/>
    </xf>
    <xf numFmtId="0" fontId="9" fillId="17" borderId="0" xfId="0" applyFont="1" applyFill="1" applyAlignment="1">
      <alignment horizontal="center" vertical="center" wrapText="1"/>
    </xf>
    <xf numFmtId="0" fontId="9" fillId="17" borderId="12" xfId="0" applyFont="1" applyFill="1" applyBorder="1" applyAlignment="1">
      <alignment horizontal="center" vertical="center" wrapText="1"/>
    </xf>
    <xf numFmtId="0" fontId="9" fillId="17" borderId="46" xfId="0" applyFont="1" applyFill="1" applyBorder="1" applyAlignment="1">
      <alignment horizontal="center" vertical="center" wrapText="1"/>
    </xf>
    <xf numFmtId="0" fontId="9" fillId="17" borderId="15" xfId="0" applyFont="1" applyFill="1" applyBorder="1" applyAlignment="1">
      <alignment horizontal="center" vertical="center" wrapText="1"/>
    </xf>
    <xf numFmtId="0" fontId="9" fillId="17" borderId="13" xfId="0" applyFont="1" applyFill="1" applyBorder="1" applyAlignment="1">
      <alignment horizontal="center" vertical="center" wrapText="1"/>
    </xf>
    <xf numFmtId="0" fontId="111" fillId="31" borderId="3" xfId="11" applyFont="1" applyFill="1" applyBorder="1" applyAlignment="1">
      <alignment horizontal="center" vertical="center"/>
    </xf>
    <xf numFmtId="0" fontId="111" fillId="31" borderId="24" xfId="11" applyFont="1" applyFill="1" applyBorder="1" applyAlignment="1">
      <alignment horizontal="center" vertical="center"/>
    </xf>
    <xf numFmtId="0" fontId="111" fillId="31" borderId="6" xfId="11" applyFont="1" applyFill="1" applyBorder="1" applyAlignment="1">
      <alignment horizontal="center" vertical="center"/>
    </xf>
    <xf numFmtId="0" fontId="2" fillId="0" borderId="37" xfId="11" applyBorder="1" applyAlignment="1">
      <alignment horizontal="center"/>
    </xf>
    <xf numFmtId="0" fontId="2" fillId="0" borderId="26" xfId="11" applyBorder="1" applyAlignment="1">
      <alignment horizontal="center"/>
    </xf>
    <xf numFmtId="0" fontId="2" fillId="0" borderId="32" xfId="11" applyBorder="1" applyAlignment="1">
      <alignment horizontal="center"/>
    </xf>
    <xf numFmtId="0" fontId="109" fillId="30" borderId="3" xfId="11" applyFont="1" applyFill="1" applyBorder="1" applyAlignment="1">
      <alignment horizontal="center" vertical="center"/>
    </xf>
    <xf numFmtId="0" fontId="109" fillId="30" borderId="24" xfId="11" applyFont="1" applyFill="1" applyBorder="1" applyAlignment="1">
      <alignment horizontal="center" vertical="center"/>
    </xf>
    <xf numFmtId="0" fontId="109" fillId="30" borderId="6" xfId="11" applyFont="1" applyFill="1" applyBorder="1" applyAlignment="1">
      <alignment horizontal="center" vertical="center"/>
    </xf>
    <xf numFmtId="0" fontId="111" fillId="33" borderId="4" xfId="11" applyFont="1" applyFill="1" applyBorder="1" applyAlignment="1">
      <alignment horizontal="center" vertical="center"/>
    </xf>
    <xf numFmtId="0" fontId="111" fillId="33" borderId="19" xfId="11" applyFont="1" applyFill="1" applyBorder="1" applyAlignment="1">
      <alignment horizontal="center" vertical="center"/>
    </xf>
    <xf numFmtId="0" fontId="111" fillId="33" borderId="7" xfId="11" applyFont="1" applyFill="1" applyBorder="1" applyAlignment="1">
      <alignment horizontal="center" vertical="center"/>
    </xf>
    <xf numFmtId="0" fontId="97" fillId="0" borderId="1" xfId="11" applyFont="1" applyBorder="1" applyAlignment="1">
      <alignment horizontal="center" vertical="center"/>
    </xf>
    <xf numFmtId="0" fontId="97" fillId="0" borderId="8" xfId="11" applyFont="1" applyBorder="1" applyAlignment="1">
      <alignment horizontal="center" vertical="center"/>
    </xf>
    <xf numFmtId="0" fontId="97" fillId="0" borderId="20" xfId="11" applyFont="1" applyBorder="1" applyAlignment="1">
      <alignment horizontal="center" vertical="center"/>
    </xf>
    <xf numFmtId="0" fontId="109" fillId="7" borderId="3" xfId="11" applyFont="1" applyFill="1" applyBorder="1" applyAlignment="1">
      <alignment horizontal="center" vertical="center"/>
    </xf>
    <xf numFmtId="0" fontId="109" fillId="7" borderId="24" xfId="11" applyFont="1" applyFill="1" applyBorder="1" applyAlignment="1">
      <alignment horizontal="center" vertical="center"/>
    </xf>
    <xf numFmtId="0" fontId="109" fillId="7" borderId="6" xfId="11" applyFont="1" applyFill="1" applyBorder="1" applyAlignment="1">
      <alignment horizontal="center" vertical="center"/>
    </xf>
    <xf numFmtId="0" fontId="111" fillId="32" borderId="3" xfId="11" applyFont="1" applyFill="1" applyBorder="1" applyAlignment="1">
      <alignment horizontal="center" vertical="center"/>
    </xf>
    <xf numFmtId="0" fontId="111" fillId="32" borderId="24" xfId="11" applyFont="1" applyFill="1" applyBorder="1" applyAlignment="1">
      <alignment horizontal="center" vertical="center"/>
    </xf>
    <xf numFmtId="0" fontId="111" fillId="32" borderId="6" xfId="11" applyFont="1" applyFill="1" applyBorder="1" applyAlignment="1">
      <alignment horizontal="center" vertical="center"/>
    </xf>
    <xf numFmtId="0" fontId="109" fillId="0" borderId="37" xfId="11" applyFont="1" applyBorder="1" applyAlignment="1">
      <alignment horizontal="center" vertical="center"/>
    </xf>
    <xf numFmtId="0" fontId="109" fillId="0" borderId="26" xfId="11" applyFont="1" applyBorder="1" applyAlignment="1">
      <alignment horizontal="center" vertical="center"/>
    </xf>
    <xf numFmtId="0" fontId="109" fillId="0" borderId="32" xfId="11" applyFont="1" applyBorder="1" applyAlignment="1">
      <alignment horizontal="center" vertical="center"/>
    </xf>
    <xf numFmtId="0" fontId="109" fillId="21" borderId="3" xfId="11" applyFont="1" applyFill="1" applyBorder="1" applyAlignment="1">
      <alignment horizontal="center" vertical="center"/>
    </xf>
    <xf numFmtId="0" fontId="109" fillId="21" borderId="24" xfId="11" applyFont="1" applyFill="1" applyBorder="1" applyAlignment="1">
      <alignment horizontal="center" vertical="center"/>
    </xf>
    <xf numFmtId="0" fontId="109" fillId="21" borderId="6" xfId="11" applyFont="1" applyFill="1" applyBorder="1" applyAlignment="1">
      <alignment horizontal="center" vertical="center"/>
    </xf>
    <xf numFmtId="0" fontId="97" fillId="0" borderId="44" xfId="11" applyFont="1" applyBorder="1" applyAlignment="1">
      <alignment horizontal="center"/>
    </xf>
    <xf numFmtId="0" fontId="97" fillId="0" borderId="5" xfId="11" applyFont="1" applyBorder="1" applyAlignment="1">
      <alignment horizontal="center"/>
    </xf>
    <xf numFmtId="0" fontId="110" fillId="0" borderId="0" xfId="11" applyFont="1" applyAlignment="1">
      <alignment horizontal="center"/>
    </xf>
    <xf numFmtId="0" fontId="97" fillId="6" borderId="100" xfId="11" applyFont="1" applyFill="1" applyBorder="1" applyAlignment="1" applyProtection="1">
      <alignment horizontal="center" vertical="center"/>
      <protection locked="0"/>
    </xf>
    <xf numFmtId="0" fontId="97" fillId="6" borderId="101" xfId="11" applyFont="1" applyFill="1" applyBorder="1" applyAlignment="1" applyProtection="1">
      <alignment horizontal="center" vertical="center"/>
      <protection locked="0"/>
    </xf>
    <xf numFmtId="0" fontId="97" fillId="6" borderId="102" xfId="11" applyFont="1" applyFill="1" applyBorder="1" applyAlignment="1" applyProtection="1">
      <alignment horizontal="center" vertical="center"/>
      <protection locked="0"/>
    </xf>
    <xf numFmtId="0" fontId="97" fillId="6" borderId="103" xfId="11" applyFont="1" applyFill="1" applyBorder="1" applyAlignment="1" applyProtection="1">
      <alignment horizontal="center" vertical="center"/>
      <protection locked="0"/>
    </xf>
    <xf numFmtId="0" fontId="97" fillId="0" borderId="104" xfId="11" applyFont="1" applyBorder="1" applyAlignment="1">
      <alignment horizontal="center"/>
    </xf>
    <xf numFmtId="0" fontId="95" fillId="0" borderId="0" xfId="11" applyFont="1" applyAlignment="1">
      <alignment horizontal="center" vertical="center"/>
    </xf>
    <xf numFmtId="0" fontId="35" fillId="10" borderId="0" xfId="1" applyFont="1" applyFill="1" applyAlignment="1">
      <alignment horizontal="center" vertical="center"/>
    </xf>
    <xf numFmtId="0" fontId="35" fillId="34" borderId="0" xfId="1" applyFont="1" applyFill="1" applyAlignment="1">
      <alignment horizontal="center" vertical="center"/>
    </xf>
    <xf numFmtId="0" fontId="52" fillId="0" borderId="44" xfId="1" applyFont="1" applyBorder="1" applyAlignment="1">
      <alignment horizontal="center" vertical="center" textRotation="90"/>
    </xf>
    <xf numFmtId="0" fontId="52" fillId="0" borderId="5" xfId="1" applyFont="1" applyBorder="1" applyAlignment="1">
      <alignment horizontal="center" vertical="center" textRotation="90"/>
    </xf>
    <xf numFmtId="0" fontId="52" fillId="0" borderId="45" xfId="1" applyFont="1" applyBorder="1" applyAlignment="1">
      <alignment horizontal="center" vertical="center" textRotation="90"/>
    </xf>
    <xf numFmtId="0" fontId="52" fillId="0" borderId="12" xfId="1" applyFont="1" applyBorder="1" applyAlignment="1">
      <alignment horizontal="center" vertical="center" textRotation="90"/>
    </xf>
    <xf numFmtId="0" fontId="52" fillId="0" borderId="46" xfId="1" applyFont="1" applyBorder="1" applyAlignment="1">
      <alignment horizontal="center" vertical="center" textRotation="90"/>
    </xf>
    <xf numFmtId="0" fontId="52" fillId="0" borderId="13" xfId="1" applyFont="1" applyBorder="1" applyAlignment="1">
      <alignment horizontal="center" vertical="center" textRotation="90"/>
    </xf>
    <xf numFmtId="0" fontId="56" fillId="0" borderId="44" xfId="1" applyFont="1" applyBorder="1" applyAlignment="1">
      <alignment horizontal="left" vertical="top" wrapText="1"/>
    </xf>
    <xf numFmtId="0" fontId="56" fillId="0" borderId="14" xfId="1" applyFont="1" applyBorder="1" applyAlignment="1">
      <alignment horizontal="left" vertical="top"/>
    </xf>
    <xf numFmtId="0" fontId="56" fillId="0" borderId="5" xfId="1" applyFont="1" applyBorder="1" applyAlignment="1">
      <alignment horizontal="left" vertical="top"/>
    </xf>
    <xf numFmtId="0" fontId="56" fillId="0" borderId="45" xfId="1" applyFont="1" applyBorder="1" applyAlignment="1">
      <alignment horizontal="left" vertical="top"/>
    </xf>
    <xf numFmtId="0" fontId="56" fillId="0" borderId="0" xfId="1" applyFont="1" applyAlignment="1">
      <alignment horizontal="left" vertical="top"/>
    </xf>
    <xf numFmtId="0" fontId="56" fillId="0" borderId="12" xfId="1" applyFont="1" applyBorder="1" applyAlignment="1">
      <alignment horizontal="left" vertical="top"/>
    </xf>
    <xf numFmtId="0" fontId="56" fillId="0" borderId="46" xfId="1" applyFont="1" applyBorder="1" applyAlignment="1">
      <alignment horizontal="left" vertical="top"/>
    </xf>
    <xf numFmtId="0" fontId="56" fillId="0" borderId="15" xfId="1" applyFont="1" applyBorder="1" applyAlignment="1">
      <alignment horizontal="left" vertical="top"/>
    </xf>
    <xf numFmtId="0" fontId="56" fillId="0" borderId="13" xfId="1" applyFont="1" applyBorder="1" applyAlignment="1">
      <alignment horizontal="left" vertical="top"/>
    </xf>
    <xf numFmtId="0" fontId="56" fillId="0" borderId="44" xfId="1" applyFont="1" applyBorder="1" applyAlignment="1">
      <alignment horizontal="left" vertical="top"/>
    </xf>
    <xf numFmtId="0" fontId="34" fillId="4" borderId="10" xfId="1" applyFont="1" applyFill="1" applyBorder="1" applyAlignment="1">
      <alignment horizontal="center"/>
    </xf>
    <xf numFmtId="0" fontId="34" fillId="4" borderId="25" xfId="1" applyFont="1" applyFill="1" applyBorder="1" applyAlignment="1">
      <alignment horizontal="center"/>
    </xf>
    <xf numFmtId="0" fontId="52" fillId="0" borderId="48" xfId="1" applyFont="1" applyBorder="1" applyAlignment="1">
      <alignment horizontal="center"/>
    </xf>
    <xf numFmtId="0" fontId="52" fillId="0" borderId="17" xfId="1" applyFont="1" applyBorder="1" applyAlignment="1">
      <alignment horizontal="center"/>
    </xf>
    <xf numFmtId="0" fontId="52" fillId="0" borderId="49" xfId="1" applyFont="1" applyBorder="1" applyAlignment="1">
      <alignment horizontal="center"/>
    </xf>
    <xf numFmtId="0" fontId="94" fillId="17" borderId="48" xfId="1" applyFont="1" applyFill="1" applyBorder="1" applyAlignment="1">
      <alignment horizontal="center"/>
    </xf>
    <xf numFmtId="0" fontId="94" fillId="17" borderId="17" xfId="1" applyFont="1" applyFill="1" applyBorder="1" applyAlignment="1">
      <alignment horizontal="center"/>
    </xf>
    <xf numFmtId="0" fontId="55" fillId="0" borderId="44" xfId="1" applyFont="1" applyBorder="1" applyAlignment="1">
      <alignment horizontal="left" vertical="top"/>
    </xf>
    <xf numFmtId="0" fontId="55" fillId="0" borderId="14" xfId="1" applyFont="1" applyBorder="1" applyAlignment="1">
      <alignment horizontal="left" vertical="top"/>
    </xf>
    <xf numFmtId="0" fontId="55" fillId="0" borderId="5" xfId="1" applyFont="1" applyBorder="1" applyAlignment="1">
      <alignment horizontal="left" vertical="top"/>
    </xf>
    <xf numFmtId="0" fontId="55" fillId="0" borderId="45" xfId="1" applyFont="1" applyBorder="1" applyAlignment="1">
      <alignment horizontal="left" vertical="top"/>
    </xf>
    <xf numFmtId="0" fontId="55" fillId="0" borderId="0" xfId="1" applyFont="1" applyAlignment="1">
      <alignment horizontal="left" vertical="top"/>
    </xf>
    <xf numFmtId="0" fontId="55" fillId="0" borderId="12" xfId="1" applyFont="1" applyBorder="1" applyAlignment="1">
      <alignment horizontal="left" vertical="top"/>
    </xf>
    <xf numFmtId="0" fontId="55" fillId="0" borderId="46" xfId="1" applyFont="1" applyBorder="1" applyAlignment="1">
      <alignment horizontal="left" vertical="top"/>
    </xf>
    <xf numFmtId="0" fontId="55" fillId="0" borderId="15" xfId="1" applyFont="1" applyBorder="1" applyAlignment="1">
      <alignment horizontal="left" vertical="top"/>
    </xf>
    <xf numFmtId="0" fontId="55" fillId="0" borderId="13" xfId="1" applyFont="1" applyBorder="1" applyAlignment="1">
      <alignment horizontal="left" vertical="top"/>
    </xf>
    <xf numFmtId="0" fontId="56" fillId="0" borderId="14" xfId="1" applyFont="1" applyBorder="1" applyAlignment="1">
      <alignment horizontal="left" vertical="top" wrapText="1"/>
    </xf>
    <xf numFmtId="0" fontId="12" fillId="0" borderId="0" xfId="1" applyFont="1" applyAlignment="1">
      <alignment horizontal="center"/>
    </xf>
    <xf numFmtId="0" fontId="129" fillId="0" borderId="0" xfId="1" applyFont="1" applyAlignment="1">
      <alignment horizontal="center"/>
    </xf>
    <xf numFmtId="0" fontId="57" fillId="4" borderId="10" xfId="1" applyFont="1" applyFill="1" applyBorder="1" applyAlignment="1">
      <alignment horizontal="center"/>
    </xf>
    <xf numFmtId="0" fontId="57" fillId="4" borderId="25" xfId="1" applyFont="1" applyFill="1" applyBorder="1" applyAlignment="1">
      <alignment horizontal="center"/>
    </xf>
    <xf numFmtId="0" fontId="17" fillId="0" borderId="74" xfId="1" applyFont="1" applyBorder="1" applyAlignment="1">
      <alignment horizontal="center" vertical="center"/>
    </xf>
    <xf numFmtId="0" fontId="57" fillId="3" borderId="10" xfId="1" applyFont="1" applyFill="1" applyBorder="1" applyAlignment="1" applyProtection="1">
      <alignment horizontal="center"/>
      <protection locked="0"/>
    </xf>
    <xf numFmtId="0" fontId="57" fillId="3" borderId="26" xfId="1" applyFont="1" applyFill="1" applyBorder="1" applyAlignment="1" applyProtection="1">
      <alignment horizontal="center"/>
      <protection locked="0"/>
    </xf>
    <xf numFmtId="0" fontId="12" fillId="0" borderId="10" xfId="1" applyFont="1" applyBorder="1" applyAlignment="1">
      <alignment horizontal="center"/>
    </xf>
    <xf numFmtId="0" fontId="12" fillId="0" borderId="26" xfId="1" applyFont="1" applyBorder="1" applyAlignment="1">
      <alignment horizontal="center"/>
    </xf>
    <xf numFmtId="0" fontId="12" fillId="0" borderId="25" xfId="1" applyFont="1" applyBorder="1" applyAlignment="1">
      <alignment horizontal="center"/>
    </xf>
    <xf numFmtId="0" fontId="129" fillId="37" borderId="2" xfId="1" applyFont="1" applyFill="1" applyBorder="1" applyAlignment="1">
      <alignment horizontal="left" vertical="top" wrapText="1"/>
    </xf>
    <xf numFmtId="0" fontId="129" fillId="37" borderId="36" xfId="1" applyFont="1" applyFill="1" applyBorder="1" applyAlignment="1">
      <alignment horizontal="left" vertical="top" wrapText="1"/>
    </xf>
    <xf numFmtId="0" fontId="129" fillId="37" borderId="29" xfId="1" applyFont="1" applyFill="1" applyBorder="1" applyAlignment="1">
      <alignment horizontal="left" vertical="top" wrapText="1"/>
    </xf>
    <xf numFmtId="0" fontId="129" fillId="0" borderId="10" xfId="1" applyFont="1" applyBorder="1" applyAlignment="1">
      <alignment horizontal="left" vertical="top" wrapText="1" shrinkToFit="1"/>
    </xf>
    <xf numFmtId="0" fontId="129" fillId="0" borderId="26" xfId="1" applyFont="1" applyBorder="1" applyAlignment="1">
      <alignment horizontal="left" vertical="top" wrapText="1" shrinkToFit="1"/>
    </xf>
    <xf numFmtId="0" fontId="129" fillId="0" borderId="32" xfId="1" applyFont="1" applyBorder="1" applyAlignment="1">
      <alignment horizontal="left" vertical="top" wrapText="1" shrinkToFit="1"/>
    </xf>
    <xf numFmtId="0" fontId="129" fillId="37" borderId="11" xfId="1" applyFont="1" applyFill="1" applyBorder="1" applyAlignment="1">
      <alignment horizontal="left" vertical="top" wrapText="1"/>
    </xf>
    <xf numFmtId="0" fontId="129" fillId="37" borderId="40" xfId="1" applyFont="1" applyFill="1" applyBorder="1" applyAlignment="1">
      <alignment horizontal="left" vertical="top" wrapText="1"/>
    </xf>
    <xf numFmtId="0" fontId="129" fillId="37" borderId="41" xfId="1" applyFont="1" applyFill="1" applyBorder="1" applyAlignment="1">
      <alignment horizontal="left" vertical="top" wrapText="1"/>
    </xf>
    <xf numFmtId="14" fontId="129" fillId="37" borderId="1" xfId="1" applyNumberFormat="1" applyFont="1" applyFill="1" applyBorder="1" applyAlignment="1">
      <alignment horizontal="center" vertical="center" wrapText="1"/>
    </xf>
    <xf numFmtId="14" fontId="129" fillId="37" borderId="8" xfId="1" applyNumberFormat="1" applyFont="1" applyFill="1" applyBorder="1" applyAlignment="1">
      <alignment horizontal="center" vertical="center" wrapText="1"/>
    </xf>
    <xf numFmtId="14" fontId="129" fillId="0" borderId="3" xfId="1" applyNumberFormat="1" applyFont="1" applyBorder="1" applyAlignment="1">
      <alignment horizontal="center" vertical="center" wrapText="1"/>
    </xf>
    <xf numFmtId="14" fontId="129" fillId="0" borderId="24" xfId="1" applyNumberFormat="1" applyFont="1" applyBorder="1" applyAlignment="1">
      <alignment horizontal="center" vertical="center" wrapText="1"/>
    </xf>
    <xf numFmtId="14" fontId="129" fillId="37" borderId="4" xfId="1" applyNumberFormat="1" applyFont="1" applyFill="1" applyBorder="1" applyAlignment="1">
      <alignment horizontal="center" vertical="center" wrapText="1"/>
    </xf>
    <xf numFmtId="14" fontId="129" fillId="37" borderId="19" xfId="1" applyNumberFormat="1" applyFont="1" applyFill="1" applyBorder="1" applyAlignment="1">
      <alignment horizontal="center" vertical="center" wrapText="1"/>
    </xf>
    <xf numFmtId="0" fontId="12" fillId="0" borderId="24" xfId="1" applyFont="1" applyBorder="1" applyAlignment="1">
      <alignment horizontal="center"/>
    </xf>
    <xf numFmtId="0" fontId="12" fillId="3" borderId="10" xfId="1" applyFont="1" applyFill="1" applyBorder="1" applyAlignment="1" applyProtection="1">
      <alignment horizontal="center"/>
      <protection locked="0"/>
    </xf>
    <xf numFmtId="0" fontId="12" fillId="3" borderId="26" xfId="1" applyFont="1" applyFill="1" applyBorder="1" applyAlignment="1" applyProtection="1">
      <alignment horizontal="center"/>
      <protection locked="0"/>
    </xf>
    <xf numFmtId="0" fontId="12" fillId="3" borderId="25" xfId="1" applyFont="1" applyFill="1" applyBorder="1" applyAlignment="1" applyProtection="1">
      <alignment horizontal="center"/>
      <protection locked="0"/>
    </xf>
    <xf numFmtId="0" fontId="48" fillId="7" borderId="0" xfId="1" applyFont="1" applyFill="1" applyAlignment="1">
      <alignment horizontal="center" vertical="center"/>
    </xf>
    <xf numFmtId="0" fontId="18" fillId="0" borderId="10" xfId="1" applyFont="1" applyBorder="1" applyAlignment="1">
      <alignment horizontal="center" vertical="center"/>
    </xf>
    <xf numFmtId="0" fontId="18" fillId="0" borderId="25" xfId="1" applyFont="1" applyBorder="1" applyAlignment="1">
      <alignment horizontal="center" vertical="center"/>
    </xf>
    <xf numFmtId="0" fontId="23" fillId="0" borderId="0" xfId="1" applyFont="1" applyAlignment="1">
      <alignment horizontal="center"/>
    </xf>
    <xf numFmtId="0" fontId="23" fillId="0" borderId="69" xfId="1" applyFont="1" applyBorder="1" applyAlignment="1">
      <alignment horizontal="left" vertical="center"/>
    </xf>
    <xf numFmtId="0" fontId="23" fillId="0" borderId="74" xfId="1" applyFont="1" applyBorder="1" applyAlignment="1">
      <alignment horizontal="left" vertical="center"/>
    </xf>
    <xf numFmtId="0" fontId="23" fillId="0" borderId="62" xfId="1" applyFont="1" applyBorder="1" applyAlignment="1">
      <alignment horizontal="left" vertical="center"/>
    </xf>
    <xf numFmtId="0" fontId="23" fillId="0" borderId="0" xfId="1" applyFont="1" applyAlignment="1">
      <alignment horizontal="left" vertical="center"/>
    </xf>
    <xf numFmtId="0" fontId="23" fillId="0" borderId="71" xfId="1" applyFont="1" applyBorder="1" applyAlignment="1">
      <alignment horizontal="left" vertical="center"/>
    </xf>
    <xf numFmtId="0" fontId="23" fillId="0" borderId="53" xfId="1" applyFont="1" applyBorder="1" applyAlignment="1">
      <alignment horizontal="left" vertical="center"/>
    </xf>
    <xf numFmtId="0" fontId="6" fillId="3" borderId="10" xfId="1" applyFill="1" applyBorder="1" applyAlignment="1">
      <alignment horizontal="center" vertical="center"/>
    </xf>
    <xf numFmtId="0" fontId="6" fillId="3" borderId="25" xfId="1" applyFill="1" applyBorder="1" applyAlignment="1">
      <alignment horizontal="center" vertical="center"/>
    </xf>
    <xf numFmtId="0" fontId="22" fillId="3" borderId="0" xfId="1" applyFont="1" applyFill="1" applyAlignment="1">
      <alignment horizontal="center" vertical="center"/>
    </xf>
    <xf numFmtId="0" fontId="16" fillId="15" borderId="0" xfId="1" applyFont="1" applyFill="1" applyAlignment="1">
      <alignment horizontal="center" vertical="center"/>
    </xf>
    <xf numFmtId="0" fontId="16" fillId="16" borderId="0" xfId="1" applyFont="1" applyFill="1" applyAlignment="1">
      <alignment horizontal="center" vertical="center"/>
    </xf>
    <xf numFmtId="0" fontId="22" fillId="0" borderId="69" xfId="1" applyFont="1" applyBorder="1" applyAlignment="1">
      <alignment horizontal="center" vertical="center"/>
    </xf>
    <xf numFmtId="0" fontId="22" fillId="0" borderId="74" xfId="1" applyFont="1" applyBorder="1" applyAlignment="1">
      <alignment horizontal="center" vertical="center"/>
    </xf>
    <xf numFmtId="0" fontId="17" fillId="0" borderId="71" xfId="1" applyFont="1" applyBorder="1" applyAlignment="1">
      <alignment horizontal="center" vertical="center"/>
    </xf>
    <xf numFmtId="0" fontId="17" fillId="0" borderId="53" xfId="1" applyFont="1" applyBorder="1" applyAlignment="1">
      <alignment horizontal="center" vertical="center"/>
    </xf>
    <xf numFmtId="0" fontId="23" fillId="0" borderId="0" xfId="1" applyFont="1" applyAlignment="1">
      <alignment horizontal="center" vertical="center"/>
    </xf>
    <xf numFmtId="0" fontId="6" fillId="0" borderId="0" xfId="1" applyAlignment="1">
      <alignment horizontal="center"/>
    </xf>
    <xf numFmtId="0" fontId="6" fillId="17" borderId="83" xfId="1" applyFill="1" applyBorder="1" applyAlignment="1">
      <alignment horizontal="center" vertical="center"/>
    </xf>
    <xf numFmtId="0" fontId="6" fillId="17" borderId="26" xfId="1" applyFill="1" applyBorder="1" applyAlignment="1">
      <alignment horizontal="center" vertical="center"/>
    </xf>
    <xf numFmtId="0" fontId="6" fillId="17" borderId="26" xfId="1" applyFill="1" applyBorder="1" applyAlignment="1">
      <alignment horizontal="center"/>
    </xf>
    <xf numFmtId="0" fontId="6" fillId="17" borderId="84" xfId="1" applyFill="1" applyBorder="1" applyAlignment="1">
      <alignment horizontal="center"/>
    </xf>
    <xf numFmtId="0" fontId="6" fillId="0" borderId="90" xfId="1" applyBorder="1" applyAlignment="1">
      <alignment horizontal="left" vertical="center"/>
    </xf>
    <xf numFmtId="0" fontId="6" fillId="0" borderId="91" xfId="1" applyBorder="1" applyAlignment="1">
      <alignment horizontal="center" vertical="center" textRotation="90" wrapText="1"/>
    </xf>
    <xf numFmtId="0" fontId="6" fillId="0" borderId="94" xfId="1" applyBorder="1" applyAlignment="1">
      <alignment horizontal="center" vertical="center" textRotation="90"/>
    </xf>
    <xf numFmtId="0" fontId="6" fillId="0" borderId="98" xfId="1" applyBorder="1" applyAlignment="1">
      <alignment horizontal="center" vertical="center" textRotation="90"/>
    </xf>
    <xf numFmtId="0" fontId="6" fillId="0" borderId="92" xfId="1" applyBorder="1" applyAlignment="1">
      <alignment horizontal="left" vertical="center"/>
    </xf>
    <xf numFmtId="0" fontId="6" fillId="0" borderId="0" xfId="1" applyAlignment="1">
      <alignment horizontal="left" vertical="center"/>
    </xf>
    <xf numFmtId="0" fontId="6" fillId="0" borderId="95" xfId="1" applyBorder="1" applyAlignment="1">
      <alignment horizontal="left" vertical="center"/>
    </xf>
    <xf numFmtId="0" fontId="6" fillId="0" borderId="96" xfId="1" applyBorder="1" applyAlignment="1">
      <alignment horizontal="left" vertical="center"/>
    </xf>
    <xf numFmtId="0" fontId="116" fillId="0" borderId="116" xfId="1" applyFont="1" applyBorder="1" applyAlignment="1">
      <alignment horizontal="center" vertical="center"/>
    </xf>
    <xf numFmtId="0" fontId="6" fillId="17" borderId="76" xfId="1" applyFill="1" applyBorder="1" applyAlignment="1">
      <alignment horizontal="center" vertical="center"/>
    </xf>
    <xf numFmtId="0" fontId="6" fillId="17" borderId="77" xfId="1" applyFill="1" applyBorder="1" applyAlignment="1">
      <alignment horizontal="center" vertical="center"/>
    </xf>
    <xf numFmtId="0" fontId="6" fillId="17" borderId="77" xfId="1" applyFill="1" applyBorder="1" applyAlignment="1">
      <alignment horizontal="center"/>
    </xf>
    <xf numFmtId="0" fontId="6" fillId="17" borderId="78" xfId="1" applyFill="1" applyBorder="1" applyAlignment="1">
      <alignment horizontal="center"/>
    </xf>
    <xf numFmtId="0" fontId="6" fillId="6" borderId="33" xfId="1" applyFill="1" applyBorder="1" applyAlignment="1" applyProtection="1">
      <alignment horizontal="center" textRotation="90"/>
      <protection locked="0"/>
    </xf>
    <xf numFmtId="0" fontId="6" fillId="6" borderId="24" xfId="1" applyFill="1" applyBorder="1" applyAlignment="1" applyProtection="1">
      <alignment horizontal="center" textRotation="90"/>
      <protection locked="0"/>
    </xf>
    <xf numFmtId="0" fontId="6" fillId="6" borderId="30" xfId="1" applyFill="1" applyBorder="1" applyAlignment="1" applyProtection="1">
      <alignment horizontal="center" textRotation="90"/>
      <protection locked="0"/>
    </xf>
    <xf numFmtId="0" fontId="6" fillId="6" borderId="80" xfId="1" applyFill="1" applyBorder="1" applyAlignment="1" applyProtection="1">
      <alignment horizontal="center" textRotation="90"/>
      <protection locked="0"/>
    </xf>
    <xf numFmtId="0" fontId="6" fillId="6" borderId="81" xfId="1" applyFill="1" applyBorder="1" applyAlignment="1" applyProtection="1">
      <alignment horizontal="center" textRotation="90"/>
      <protection locked="0"/>
    </xf>
    <xf numFmtId="0" fontId="6" fillId="6" borderId="82" xfId="1" applyFill="1" applyBorder="1" applyAlignment="1" applyProtection="1">
      <alignment horizontal="center" textRotation="90"/>
      <protection locked="0"/>
    </xf>
    <xf numFmtId="9" fontId="33" fillId="3" borderId="9" xfId="0" applyNumberFormat="1" applyFont="1" applyFill="1" applyBorder="1" applyAlignment="1">
      <alignment horizontal="center" vertical="center" textRotation="90"/>
    </xf>
    <xf numFmtId="9" fontId="33" fillId="3" borderId="22" xfId="0" applyNumberFormat="1" applyFont="1" applyFill="1" applyBorder="1" applyAlignment="1">
      <alignment horizontal="center" vertical="center" textRotation="90"/>
    </xf>
    <xf numFmtId="9" fontId="33" fillId="3" borderId="23" xfId="0" applyNumberFormat="1" applyFont="1" applyFill="1" applyBorder="1" applyAlignment="1">
      <alignment horizontal="center" vertical="center" textRotation="90"/>
    </xf>
    <xf numFmtId="0" fontId="33" fillId="3" borderId="10" xfId="0" applyFont="1" applyFill="1" applyBorder="1" applyAlignment="1">
      <alignment horizontal="center" vertical="center"/>
    </xf>
    <xf numFmtId="0" fontId="33" fillId="3" borderId="25" xfId="0" applyFont="1" applyFill="1" applyBorder="1" applyAlignment="1">
      <alignment horizontal="center" vertical="center"/>
    </xf>
    <xf numFmtId="0" fontId="6" fillId="2" borderId="43" xfId="0" applyFont="1" applyFill="1" applyBorder="1" applyAlignment="1" applyProtection="1">
      <alignment vertical="top" wrapText="1"/>
      <protection locked="0"/>
    </xf>
    <xf numFmtId="0" fontId="6" fillId="2" borderId="22" xfId="0" applyFont="1" applyFill="1" applyBorder="1" applyAlignment="1" applyProtection="1">
      <alignment vertical="top" wrapText="1"/>
      <protection locked="0"/>
    </xf>
    <xf numFmtId="0" fontId="6" fillId="2" borderId="23" xfId="0" applyFont="1" applyFill="1" applyBorder="1" applyAlignment="1" applyProtection="1">
      <alignment vertical="top" wrapText="1"/>
      <protection locked="0"/>
    </xf>
    <xf numFmtId="0" fontId="17" fillId="0" borderId="0" xfId="1" applyFont="1" applyAlignment="1">
      <alignment horizontal="center"/>
    </xf>
    <xf numFmtId="0" fontId="61" fillId="17" borderId="16" xfId="5" applyFont="1" applyFill="1" applyBorder="1" applyAlignment="1">
      <alignment horizontal="center" vertical="center"/>
    </xf>
    <xf numFmtId="0" fontId="61" fillId="17" borderId="18" xfId="5" applyFont="1" applyFill="1" applyBorder="1" applyAlignment="1">
      <alignment horizontal="center" vertical="center"/>
    </xf>
    <xf numFmtId="9" fontId="6" fillId="3" borderId="28" xfId="4" applyFont="1" applyFill="1" applyBorder="1" applyAlignment="1" applyProtection="1">
      <alignment horizontal="center" vertical="center" textRotation="90"/>
    </xf>
    <xf numFmtId="9" fontId="6" fillId="3" borderId="31" xfId="4" applyFont="1" applyFill="1" applyBorder="1" applyAlignment="1" applyProtection="1">
      <alignment horizontal="center" vertical="center" textRotation="90"/>
    </xf>
    <xf numFmtId="0" fontId="6" fillId="2" borderId="9" xfId="0" applyFont="1" applyFill="1" applyBorder="1" applyAlignment="1" applyProtection="1">
      <alignment vertical="top" wrapText="1"/>
      <protection locked="0"/>
    </xf>
    <xf numFmtId="0" fontId="6" fillId="2" borderId="42" xfId="0" applyFont="1" applyFill="1" applyBorder="1" applyAlignment="1" applyProtection="1">
      <alignment vertical="top" wrapText="1"/>
      <protection locked="0"/>
    </xf>
    <xf numFmtId="0" fontId="0" fillId="0" borderId="42" xfId="0" applyBorder="1" applyProtection="1">
      <protection locked="0"/>
    </xf>
    <xf numFmtId="9" fontId="6" fillId="3" borderId="34" xfId="4" applyFont="1" applyFill="1" applyBorder="1" applyAlignment="1" applyProtection="1">
      <alignment horizontal="center" vertical="center" textRotation="9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6" fillId="2" borderId="43" xfId="1" applyFill="1" applyBorder="1" applyAlignment="1" applyProtection="1">
      <alignment vertical="top" wrapText="1"/>
      <protection locked="0"/>
    </xf>
    <xf numFmtId="0" fontId="6" fillId="2" borderId="22" xfId="1" applyFill="1" applyBorder="1" applyAlignment="1" applyProtection="1">
      <alignment vertical="top" wrapText="1"/>
      <protection locked="0"/>
    </xf>
    <xf numFmtId="0" fontId="6" fillId="2" borderId="23" xfId="1" applyFill="1" applyBorder="1" applyAlignment="1" applyProtection="1">
      <alignment vertical="top" wrapText="1"/>
      <protection locked="0"/>
    </xf>
    <xf numFmtId="0" fontId="6" fillId="2" borderId="9" xfId="1" applyFill="1" applyBorder="1" applyAlignment="1" applyProtection="1">
      <alignment vertical="top" wrapText="1"/>
      <protection locked="0"/>
    </xf>
    <xf numFmtId="0" fontId="6" fillId="2" borderId="42" xfId="1" applyFill="1" applyBorder="1" applyAlignment="1" applyProtection="1">
      <alignment vertical="top" wrapText="1"/>
      <protection locked="0"/>
    </xf>
    <xf numFmtId="0" fontId="6" fillId="0" borderId="42" xfId="1" applyBorder="1" applyProtection="1">
      <protection locked="0"/>
    </xf>
    <xf numFmtId="0" fontId="6" fillId="0" borderId="22" xfId="1" applyBorder="1" applyAlignment="1" applyProtection="1">
      <alignment vertical="top" wrapText="1"/>
      <protection locked="0"/>
    </xf>
    <xf numFmtId="0" fontId="6" fillId="0" borderId="23" xfId="1" applyBorder="1" applyAlignment="1" applyProtection="1">
      <alignment vertical="top" wrapText="1"/>
      <protection locked="0"/>
    </xf>
    <xf numFmtId="49" fontId="6" fillId="2" borderId="43" xfId="1" applyNumberFormat="1" applyFill="1" applyBorder="1" applyAlignment="1" applyProtection="1">
      <alignment vertical="top" wrapText="1"/>
      <protection locked="0"/>
    </xf>
    <xf numFmtId="0" fontId="17" fillId="16" borderId="26" xfId="0" applyFont="1" applyFill="1" applyBorder="1" applyAlignment="1" applyProtection="1">
      <alignment horizontal="center" vertical="center"/>
      <protection locked="0"/>
    </xf>
    <xf numFmtId="0" fontId="17" fillId="16" borderId="25" xfId="0" applyFont="1" applyFill="1" applyBorder="1" applyAlignment="1" applyProtection="1">
      <alignment horizontal="center" vertical="center"/>
      <protection locked="0"/>
    </xf>
    <xf numFmtId="0" fontId="17" fillId="0" borderId="53" xfId="0" applyFont="1" applyBorder="1" applyAlignment="1">
      <alignment horizontal="center"/>
    </xf>
    <xf numFmtId="0" fontId="17" fillId="16" borderId="10" xfId="0" applyFont="1" applyFill="1" applyBorder="1" applyAlignment="1" applyProtection="1">
      <alignment horizontal="center" vertical="center"/>
      <protection locked="0"/>
    </xf>
    <xf numFmtId="0" fontId="6" fillId="16" borderId="69" xfId="0" applyFont="1" applyFill="1" applyBorder="1" applyAlignment="1">
      <alignment horizontal="center"/>
    </xf>
    <xf numFmtId="0" fontId="6" fillId="16" borderId="74" xfId="0" applyFont="1" applyFill="1" applyBorder="1" applyAlignment="1">
      <alignment horizontal="center"/>
    </xf>
    <xf numFmtId="0" fontId="6" fillId="15" borderId="46" xfId="1" applyFill="1" applyBorder="1" applyAlignment="1">
      <alignment horizontal="center"/>
    </xf>
    <xf numFmtId="0" fontId="6" fillId="15" borderId="15" xfId="1" applyFill="1" applyBorder="1" applyAlignment="1">
      <alignment horizontal="center"/>
    </xf>
    <xf numFmtId="0" fontId="6" fillId="15" borderId="13" xfId="1" applyFill="1" applyBorder="1" applyAlignment="1">
      <alignment horizontal="center"/>
    </xf>
    <xf numFmtId="0" fontId="6" fillId="15" borderId="44" xfId="1" applyFill="1" applyBorder="1" applyAlignment="1">
      <alignment horizontal="center" vertical="center" wrapText="1"/>
    </xf>
    <xf numFmtId="0" fontId="6" fillId="15" borderId="5" xfId="1" applyFill="1" applyBorder="1" applyAlignment="1">
      <alignment horizontal="center" vertical="center"/>
    </xf>
    <xf numFmtId="0" fontId="6" fillId="15" borderId="46" xfId="1" applyFill="1" applyBorder="1" applyAlignment="1">
      <alignment horizontal="center" vertical="center"/>
    </xf>
    <xf numFmtId="0" fontId="6" fillId="15" borderId="13" xfId="1" applyFill="1" applyBorder="1" applyAlignment="1">
      <alignment horizontal="center" vertical="center"/>
    </xf>
    <xf numFmtId="0" fontId="9" fillId="3" borderId="9" xfId="1" applyFont="1" applyFill="1" applyBorder="1" applyAlignment="1">
      <alignment horizontal="center" textRotation="90"/>
    </xf>
    <xf numFmtId="0" fontId="9" fillId="3" borderId="22" xfId="1" applyFont="1" applyFill="1" applyBorder="1" applyAlignment="1">
      <alignment horizontal="center" textRotation="90"/>
    </xf>
    <xf numFmtId="0" fontId="9" fillId="3" borderId="42" xfId="1" applyFont="1" applyFill="1" applyBorder="1" applyAlignment="1">
      <alignment horizontal="center" textRotation="90"/>
    </xf>
    <xf numFmtId="0" fontId="6" fillId="2" borderId="33" xfId="1" applyFill="1" applyBorder="1" applyAlignment="1" applyProtection="1">
      <alignment horizontal="left" vertical="center"/>
      <protection locked="0"/>
    </xf>
    <xf numFmtId="0" fontId="6" fillId="2" borderId="73" xfId="1" applyFill="1" applyBorder="1" applyAlignment="1" applyProtection="1">
      <alignment horizontal="left" vertical="center"/>
      <protection locked="0"/>
    </xf>
    <xf numFmtId="0" fontId="6" fillId="2" borderId="24" xfId="1" applyFill="1" applyBorder="1" applyAlignment="1" applyProtection="1">
      <alignment horizontal="left" vertical="center"/>
      <protection locked="0"/>
    </xf>
    <xf numFmtId="0" fontId="6" fillId="2" borderId="6" xfId="1" applyFill="1" applyBorder="1" applyAlignment="1" applyProtection="1">
      <alignment horizontal="left" vertical="center"/>
      <protection locked="0"/>
    </xf>
    <xf numFmtId="0" fontId="79" fillId="0" borderId="0" xfId="1" applyFont="1" applyAlignment="1">
      <alignment horizontal="left"/>
    </xf>
    <xf numFmtId="0" fontId="6" fillId="2" borderId="8" xfId="1" applyFill="1" applyBorder="1" applyAlignment="1" applyProtection="1">
      <alignment horizontal="center" vertical="center"/>
      <protection locked="0"/>
    </xf>
    <xf numFmtId="0" fontId="6" fillId="2" borderId="20" xfId="1" applyFill="1" applyBorder="1" applyAlignment="1" applyProtection="1">
      <alignment horizontal="center" vertical="center"/>
      <protection locked="0"/>
    </xf>
    <xf numFmtId="0" fontId="6" fillId="2" borderId="44" xfId="1" applyFill="1" applyBorder="1" applyAlignment="1" applyProtection="1">
      <alignment horizontal="left" vertical="center"/>
      <protection locked="0"/>
    </xf>
    <xf numFmtId="0" fontId="6" fillId="2" borderId="14" xfId="1" applyFill="1" applyBorder="1" applyAlignment="1" applyProtection="1">
      <alignment horizontal="left" vertical="center"/>
      <protection locked="0"/>
    </xf>
    <xf numFmtId="0" fontId="6" fillId="2" borderId="5" xfId="1" applyFill="1" applyBorder="1" applyAlignment="1" applyProtection="1">
      <alignment horizontal="left" vertical="center"/>
      <protection locked="0"/>
    </xf>
    <xf numFmtId="0" fontId="6" fillId="2" borderId="45" xfId="1" applyFill="1" applyBorder="1" applyAlignment="1" applyProtection="1">
      <alignment horizontal="left" vertical="center"/>
      <protection locked="0"/>
    </xf>
    <xf numFmtId="0" fontId="6" fillId="2" borderId="0" xfId="1" applyFill="1" applyAlignment="1" applyProtection="1">
      <alignment horizontal="left" vertical="center"/>
      <protection locked="0"/>
    </xf>
    <xf numFmtId="0" fontId="6" fillId="2" borderId="12" xfId="1" applyFill="1" applyBorder="1" applyAlignment="1" applyProtection="1">
      <alignment horizontal="left" vertical="center"/>
      <protection locked="0"/>
    </xf>
    <xf numFmtId="0" fontId="6" fillId="2" borderId="46" xfId="1" applyFill="1" applyBorder="1" applyAlignment="1" applyProtection="1">
      <alignment horizontal="left" vertical="center"/>
      <protection locked="0"/>
    </xf>
    <xf numFmtId="0" fontId="6" fillId="2" borderId="15" xfId="1" applyFill="1" applyBorder="1" applyAlignment="1" applyProtection="1">
      <alignment horizontal="left" vertical="center"/>
      <protection locked="0"/>
    </xf>
    <xf numFmtId="0" fontId="6" fillId="2" borderId="13" xfId="1" applyFill="1" applyBorder="1" applyAlignment="1" applyProtection="1">
      <alignment horizontal="left" vertical="center"/>
      <protection locked="0"/>
    </xf>
    <xf numFmtId="0" fontId="6" fillId="2" borderId="24"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19" xfId="1" applyFill="1" applyBorder="1" applyAlignment="1" applyProtection="1">
      <alignment horizontal="center" vertical="center"/>
      <protection locked="0"/>
    </xf>
    <xf numFmtId="0" fontId="6" fillId="2" borderId="7" xfId="1" applyFill="1" applyBorder="1" applyAlignment="1" applyProtection="1">
      <alignment horizontal="center" vertical="center"/>
      <protection locked="0"/>
    </xf>
    <xf numFmtId="0" fontId="6" fillId="0" borderId="27" xfId="1" applyBorder="1" applyAlignment="1">
      <alignment horizontal="center" vertical="center" textRotation="90"/>
    </xf>
    <xf numFmtId="0" fontId="6" fillId="0" borderId="15" xfId="1" applyBorder="1" applyAlignment="1">
      <alignment horizontal="center"/>
    </xf>
    <xf numFmtId="0" fontId="6" fillId="2" borderId="19" xfId="1" applyFill="1" applyBorder="1" applyAlignment="1" applyProtection="1">
      <alignment horizontal="left" vertical="center"/>
      <protection locked="0"/>
    </xf>
    <xf numFmtId="0" fontId="6" fillId="2" borderId="7" xfId="1" applyFill="1" applyBorder="1" applyAlignment="1" applyProtection="1">
      <alignment horizontal="left" vertical="center"/>
      <protection locked="0"/>
    </xf>
    <xf numFmtId="0" fontId="6" fillId="0" borderId="8" xfId="1" applyBorder="1" applyAlignment="1">
      <alignment horizontal="center"/>
    </xf>
    <xf numFmtId="0" fontId="6" fillId="0" borderId="24" xfId="1" applyBorder="1" applyAlignment="1">
      <alignment horizontal="center"/>
    </xf>
    <xf numFmtId="0" fontId="60" fillId="0" borderId="1" xfId="1" applyFont="1" applyBorder="1" applyAlignment="1">
      <alignment horizontal="center" vertical="center"/>
    </xf>
    <xf numFmtId="0" fontId="60" fillId="0" borderId="3" xfId="1" applyFont="1" applyBorder="1" applyAlignment="1">
      <alignment horizontal="center" vertical="center"/>
    </xf>
    <xf numFmtId="0" fontId="60" fillId="0" borderId="8" xfId="1" applyFont="1" applyBorder="1" applyAlignment="1">
      <alignment horizontal="center" vertical="center"/>
    </xf>
    <xf numFmtId="0" fontId="60" fillId="0" borderId="20" xfId="1" applyFont="1" applyBorder="1" applyAlignment="1">
      <alignment horizontal="center" vertical="center"/>
    </xf>
    <xf numFmtId="0" fontId="60" fillId="0" borderId="24" xfId="1" applyFont="1" applyBorder="1" applyAlignment="1">
      <alignment horizontal="center" vertical="center"/>
    </xf>
    <xf numFmtId="0" fontId="60" fillId="0" borderId="6" xfId="1" applyFont="1" applyBorder="1" applyAlignment="1">
      <alignment horizontal="center" vertical="center"/>
    </xf>
    <xf numFmtId="0" fontId="60" fillId="0" borderId="16" xfId="1" applyFont="1" applyBorder="1" applyAlignment="1">
      <alignment horizontal="left" vertical="center"/>
    </xf>
    <xf numFmtId="0" fontId="60" fillId="0" borderId="17" xfId="1" applyFont="1" applyBorder="1" applyAlignment="1">
      <alignment horizontal="left" vertical="center"/>
    </xf>
    <xf numFmtId="0" fontId="60" fillId="0" borderId="0" xfId="1" applyFont="1" applyAlignment="1">
      <alignment horizontal="center" vertical="center"/>
    </xf>
    <xf numFmtId="0" fontId="6" fillId="2" borderId="10" xfId="1" applyFill="1" applyBorder="1" applyAlignment="1" applyProtection="1">
      <alignment horizontal="left" vertical="center"/>
      <protection locked="0"/>
    </xf>
    <xf numFmtId="0" fontId="6" fillId="2" borderId="26" xfId="1" applyFill="1" applyBorder="1" applyAlignment="1" applyProtection="1">
      <alignment horizontal="left" vertical="center"/>
      <protection locked="0"/>
    </xf>
    <xf numFmtId="0" fontId="6" fillId="2" borderId="32" xfId="1" applyFill="1" applyBorder="1" applyAlignment="1" applyProtection="1">
      <alignment horizontal="left" vertical="center"/>
      <protection locked="0"/>
    </xf>
    <xf numFmtId="9" fontId="6" fillId="0" borderId="30" xfId="4" applyFont="1" applyBorder="1" applyAlignment="1">
      <alignment horizontal="center" vertical="center"/>
    </xf>
    <xf numFmtId="9" fontId="6" fillId="0" borderId="33" xfId="4" applyFont="1" applyBorder="1" applyAlignment="1">
      <alignment horizontal="center" vertical="center"/>
    </xf>
    <xf numFmtId="9" fontId="6" fillId="0" borderId="56" xfId="4" applyFont="1" applyBorder="1" applyAlignment="1">
      <alignment horizontal="center" vertical="center"/>
    </xf>
    <xf numFmtId="0" fontId="9" fillId="0" borderId="15" xfId="1" applyFont="1" applyBorder="1" applyAlignment="1">
      <alignment horizontal="left" vertical="center"/>
    </xf>
    <xf numFmtId="0" fontId="6" fillId="0" borderId="24" xfId="7" applyFont="1" applyBorder="1" applyAlignment="1">
      <alignment horizontal="center" vertical="center"/>
    </xf>
    <xf numFmtId="9" fontId="6" fillId="0" borderId="24" xfId="4" applyFont="1" applyBorder="1" applyAlignment="1">
      <alignment horizontal="center" vertical="center"/>
    </xf>
    <xf numFmtId="1" fontId="122" fillId="34" borderId="0" xfId="1" applyNumberFormat="1" applyFont="1" applyFill="1" applyAlignment="1">
      <alignment horizontal="center" vertical="center"/>
    </xf>
    <xf numFmtId="0" fontId="26" fillId="12" borderId="0" xfId="1" applyFont="1" applyFill="1" applyAlignment="1">
      <alignment horizontal="left" vertical="center"/>
    </xf>
    <xf numFmtId="0" fontId="46" fillId="12" borderId="0" xfId="1" applyFont="1" applyFill="1" applyAlignment="1">
      <alignment horizontal="left" vertical="center"/>
    </xf>
    <xf numFmtId="0" fontId="26" fillId="12" borderId="0" xfId="1" applyFont="1" applyFill="1" applyAlignment="1">
      <alignment horizontal="left"/>
    </xf>
    <xf numFmtId="0" fontId="6" fillId="14" borderId="24" xfId="7" applyFont="1" applyFill="1" applyBorder="1" applyAlignment="1">
      <alignment horizontal="center" vertical="center"/>
    </xf>
    <xf numFmtId="0" fontId="6" fillId="0" borderId="30" xfId="7" applyFont="1" applyBorder="1" applyAlignment="1">
      <alignment horizontal="center" vertical="center"/>
    </xf>
    <xf numFmtId="0" fontId="6" fillId="0" borderId="56" xfId="7" applyFont="1" applyBorder="1" applyAlignment="1">
      <alignment horizontal="center" vertical="center"/>
    </xf>
    <xf numFmtId="0" fontId="6" fillId="0" borderId="33" xfId="7" applyFont="1" applyBorder="1" applyAlignment="1">
      <alignment horizontal="center" vertical="center"/>
    </xf>
    <xf numFmtId="0" fontId="6" fillId="0" borderId="3" xfId="1" applyBorder="1" applyAlignment="1" applyProtection="1">
      <alignment horizontal="left"/>
      <protection locked="0"/>
    </xf>
    <xf numFmtId="0" fontId="6" fillId="0" borderId="24" xfId="1" applyBorder="1" applyAlignment="1" applyProtection="1">
      <alignment horizontal="left"/>
      <protection locked="0"/>
    </xf>
    <xf numFmtId="0" fontId="6" fillId="0" borderId="6" xfId="1" applyBorder="1" applyAlignment="1" applyProtection="1">
      <alignment horizontal="left"/>
      <protection locked="0"/>
    </xf>
    <xf numFmtId="0" fontId="65" fillId="0" borderId="0" xfId="1" applyFont="1" applyAlignment="1">
      <alignment horizontal="center"/>
    </xf>
    <xf numFmtId="0" fontId="6" fillId="9" borderId="16" xfId="1" applyFill="1" applyBorder="1" applyAlignment="1">
      <alignment horizontal="center"/>
    </xf>
    <xf numFmtId="0" fontId="6" fillId="9" borderId="17" xfId="1" applyFill="1" applyBorder="1" applyAlignment="1">
      <alignment horizontal="center"/>
    </xf>
    <xf numFmtId="0" fontId="6" fillId="4" borderId="16" xfId="1" applyFill="1" applyBorder="1" applyAlignment="1">
      <alignment horizontal="center"/>
    </xf>
    <xf numFmtId="0" fontId="6" fillId="4" borderId="17" xfId="1" applyFill="1" applyBorder="1" applyAlignment="1">
      <alignment horizontal="center"/>
    </xf>
    <xf numFmtId="0" fontId="6" fillId="0" borderId="1" xfId="1" applyBorder="1" applyAlignment="1" applyProtection="1">
      <alignment horizontal="left"/>
      <protection locked="0"/>
    </xf>
    <xf numFmtId="0" fontId="6" fillId="0" borderId="8" xfId="1" applyBorder="1" applyAlignment="1" applyProtection="1">
      <alignment horizontal="left"/>
      <protection locked="0"/>
    </xf>
    <xf numFmtId="0" fontId="6" fillId="0" borderId="20" xfId="1" applyBorder="1" applyAlignment="1" applyProtection="1">
      <alignment horizontal="left"/>
      <protection locked="0"/>
    </xf>
    <xf numFmtId="0" fontId="6" fillId="0" borderId="4" xfId="1" applyBorder="1" applyAlignment="1" applyProtection="1">
      <alignment horizontal="left"/>
      <protection locked="0"/>
    </xf>
    <xf numFmtId="0" fontId="6" fillId="0" borderId="19" xfId="1" applyBorder="1" applyAlignment="1" applyProtection="1">
      <alignment horizontal="left"/>
      <protection locked="0"/>
    </xf>
    <xf numFmtId="0" fontId="6" fillId="0" borderId="7" xfId="1" applyBorder="1" applyAlignment="1" applyProtection="1">
      <alignment horizontal="left"/>
      <protection locked="0"/>
    </xf>
    <xf numFmtId="9" fontId="8" fillId="0" borderId="74" xfId="1" applyNumberFormat="1" applyFont="1" applyBorder="1" applyAlignment="1">
      <alignment horizontal="center" textRotation="180"/>
    </xf>
    <xf numFmtId="9" fontId="8" fillId="0" borderId="53" xfId="1" applyNumberFormat="1" applyFont="1" applyBorder="1" applyAlignment="1">
      <alignment horizontal="center" textRotation="180"/>
    </xf>
    <xf numFmtId="0" fontId="6" fillId="4" borderId="8" xfId="1" applyFill="1" applyBorder="1" applyAlignment="1">
      <alignment horizontal="center" shrinkToFit="1"/>
    </xf>
    <xf numFmtId="0" fontId="37" fillId="36" borderId="8" xfId="1" applyFont="1" applyFill="1" applyBorder="1" applyAlignment="1">
      <alignment horizontal="center"/>
    </xf>
    <xf numFmtId="0" fontId="37" fillId="36" borderId="20" xfId="1" applyFont="1" applyFill="1" applyBorder="1" applyAlignment="1">
      <alignment horizontal="center"/>
    </xf>
    <xf numFmtId="0" fontId="6" fillId="16" borderId="20" xfId="1" applyFill="1" applyBorder="1" applyAlignment="1">
      <alignment horizontal="center"/>
    </xf>
    <xf numFmtId="0" fontId="6" fillId="16" borderId="6" xfId="1" applyFill="1" applyBorder="1" applyAlignment="1">
      <alignment horizontal="center"/>
    </xf>
    <xf numFmtId="0" fontId="6" fillId="5" borderId="60" xfId="1" applyFill="1" applyBorder="1" applyAlignment="1">
      <alignment horizontal="center" vertical="center"/>
    </xf>
    <xf numFmtId="0" fontId="6" fillId="5" borderId="57" xfId="1" applyFill="1" applyBorder="1" applyAlignment="1">
      <alignment horizontal="center" vertical="center"/>
    </xf>
    <xf numFmtId="0" fontId="6" fillId="5" borderId="73" xfId="1" applyFill="1" applyBorder="1" applyAlignment="1">
      <alignment horizontal="center" vertical="center"/>
    </xf>
    <xf numFmtId="0" fontId="6" fillId="9" borderId="24" xfId="1" applyFill="1" applyBorder="1" applyAlignment="1">
      <alignment horizontal="center"/>
    </xf>
    <xf numFmtId="0" fontId="6" fillId="35" borderId="24" xfId="1" applyFill="1" applyBorder="1" applyAlignment="1">
      <alignment horizontal="center"/>
    </xf>
    <xf numFmtId="0" fontId="6" fillId="35" borderId="6" xfId="1" applyFill="1" applyBorder="1" applyAlignment="1">
      <alignment horizontal="center"/>
    </xf>
    <xf numFmtId="0" fontId="6" fillId="16" borderId="45" xfId="1" applyFill="1" applyBorder="1" applyAlignment="1">
      <alignment horizontal="center"/>
    </xf>
    <xf numFmtId="0" fontId="6" fillId="16" borderId="0" xfId="1" applyFill="1" applyAlignment="1">
      <alignment horizontal="center"/>
    </xf>
    <xf numFmtId="9" fontId="8" fillId="0" borderId="70" xfId="1" applyNumberFormat="1" applyFont="1" applyBorder="1" applyAlignment="1">
      <alignment horizontal="center" textRotation="180"/>
    </xf>
    <xf numFmtId="9" fontId="8" fillId="0" borderId="72" xfId="1" applyNumberFormat="1" applyFont="1" applyBorder="1" applyAlignment="1">
      <alignment horizontal="center" textRotation="180"/>
    </xf>
    <xf numFmtId="9" fontId="6" fillId="0" borderId="56" xfId="1" applyNumberFormat="1" applyBorder="1" applyAlignment="1">
      <alignment horizontal="center" textRotation="180"/>
    </xf>
    <xf numFmtId="9" fontId="6" fillId="0" borderId="33" xfId="1" applyNumberFormat="1" applyBorder="1" applyAlignment="1">
      <alignment horizontal="center" textRotation="180"/>
    </xf>
    <xf numFmtId="9" fontId="6" fillId="3" borderId="1" xfId="4" applyFont="1" applyFill="1" applyBorder="1" applyAlignment="1" applyProtection="1">
      <alignment horizontal="center" vertical="center" textRotation="90"/>
    </xf>
    <xf numFmtId="9" fontId="6" fillId="3" borderId="3" xfId="4" applyFont="1" applyFill="1" applyBorder="1" applyAlignment="1" applyProtection="1">
      <alignment horizontal="center" vertical="center" textRotation="90"/>
    </xf>
    <xf numFmtId="0" fontId="6" fillId="2" borderId="20" xfId="1" applyFill="1" applyBorder="1" applyAlignment="1" applyProtection="1">
      <alignment horizontal="left" vertical="top" wrapText="1"/>
      <protection locked="0"/>
    </xf>
    <xf numFmtId="0" fontId="6" fillId="2" borderId="6" xfId="1" applyFill="1" applyBorder="1" applyAlignment="1" applyProtection="1">
      <alignment horizontal="left" vertical="top" wrapText="1"/>
      <protection locked="0"/>
    </xf>
    <xf numFmtId="0" fontId="60" fillId="0" borderId="17" xfId="1" applyFont="1" applyBorder="1" applyAlignment="1">
      <alignment horizontal="center" vertical="center"/>
    </xf>
    <xf numFmtId="0" fontId="6" fillId="0" borderId="36" xfId="0"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6" fillId="14" borderId="19" xfId="0" applyFont="1" applyFill="1" applyBorder="1" applyAlignment="1" applyProtection="1">
      <alignment horizontal="center" vertical="center"/>
      <protection locked="0"/>
    </xf>
    <xf numFmtId="0" fontId="0" fillId="14" borderId="19" xfId="0" applyFill="1" applyBorder="1" applyAlignment="1" applyProtection="1">
      <alignment horizontal="center" vertical="center"/>
      <protection locked="0"/>
    </xf>
    <xf numFmtId="0" fontId="0" fillId="14" borderId="11" xfId="0" applyFill="1" applyBorder="1" applyAlignment="1" applyProtection="1">
      <alignment horizontal="center" vertical="center"/>
      <protection locked="0"/>
    </xf>
    <xf numFmtId="0" fontId="23" fillId="2" borderId="38" xfId="1" applyFont="1" applyFill="1" applyBorder="1" applyAlignment="1" applyProtection="1">
      <alignment horizontal="center" vertical="center"/>
      <protection locked="0"/>
    </xf>
    <xf numFmtId="0" fontId="23" fillId="2" borderId="39" xfId="1" applyFont="1" applyFill="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21" fillId="0" borderId="0" xfId="1" applyFont="1" applyAlignment="1">
      <alignment horizontal="center"/>
    </xf>
    <xf numFmtId="0" fontId="6" fillId="14" borderId="24" xfId="0" applyFont="1" applyFill="1" applyBorder="1" applyAlignment="1" applyProtection="1">
      <alignment horizontal="center" vertical="center"/>
      <protection locked="0"/>
    </xf>
    <xf numFmtId="0" fontId="0" fillId="14" borderId="24" xfId="0" applyFill="1" applyBorder="1" applyAlignment="1" applyProtection="1">
      <alignment horizontal="center" vertical="center"/>
      <protection locked="0"/>
    </xf>
    <xf numFmtId="0" fontId="0" fillId="14" borderId="10" xfId="0" applyFill="1" applyBorder="1" applyAlignment="1" applyProtection="1">
      <alignment horizontal="center" vertical="center"/>
      <protection locked="0"/>
    </xf>
    <xf numFmtId="0" fontId="23" fillId="2" borderId="37" xfId="1" applyFont="1" applyFill="1" applyBorder="1" applyAlignment="1" applyProtection="1">
      <alignment horizontal="center" vertical="center"/>
      <protection locked="0"/>
    </xf>
    <xf numFmtId="0" fontId="23" fillId="2" borderId="25" xfId="1" applyFont="1" applyFill="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6" fillId="0" borderId="14" xfId="1" applyBorder="1" applyAlignment="1">
      <alignment horizontal="center" vertical="center"/>
    </xf>
    <xf numFmtId="49" fontId="6" fillId="2" borderId="6" xfId="1" applyNumberFormat="1" applyFill="1" applyBorder="1" applyAlignment="1" applyProtection="1">
      <alignment horizontal="left" vertical="top" wrapText="1"/>
      <protection locked="0"/>
    </xf>
    <xf numFmtId="49" fontId="6" fillId="2" borderId="7" xfId="1" applyNumberFormat="1" applyFill="1" applyBorder="1" applyAlignment="1" applyProtection="1">
      <alignment horizontal="left" vertical="top" wrapText="1"/>
      <protection locked="0"/>
    </xf>
    <xf numFmtId="9" fontId="6" fillId="3" borderId="4" xfId="4" applyFont="1" applyFill="1" applyBorder="1" applyAlignment="1" applyProtection="1">
      <alignment horizontal="center" vertical="center" textRotation="90"/>
    </xf>
    <xf numFmtId="0" fontId="6" fillId="6" borderId="6" xfId="1" applyFill="1" applyBorder="1" applyAlignment="1">
      <alignment horizontal="left" vertical="top" wrapText="1"/>
    </xf>
    <xf numFmtId="0" fontId="6" fillId="6" borderId="7" xfId="1" applyFill="1" applyBorder="1" applyAlignment="1">
      <alignment horizontal="left" vertical="top" wrapText="1"/>
    </xf>
    <xf numFmtId="9" fontId="6" fillId="3" borderId="3" xfId="4" applyFont="1" applyFill="1" applyBorder="1" applyAlignment="1" applyProtection="1">
      <alignment horizontal="left" vertical="center" textRotation="90"/>
    </xf>
    <xf numFmtId="9" fontId="6" fillId="3" borderId="4" xfId="4" applyFont="1" applyFill="1" applyBorder="1" applyAlignment="1" applyProtection="1">
      <alignment horizontal="left" vertical="center" textRotation="90"/>
    </xf>
    <xf numFmtId="0" fontId="6" fillId="2" borderId="7" xfId="1" applyFill="1" applyBorder="1" applyAlignment="1" applyProtection="1">
      <alignment horizontal="left" vertical="top" wrapText="1"/>
      <protection locked="0"/>
    </xf>
    <xf numFmtId="0" fontId="23" fillId="0" borderId="0" xfId="1" applyFont="1" applyAlignment="1" applyProtection="1">
      <alignment horizontal="center"/>
      <protection locked="0"/>
    </xf>
    <xf numFmtId="0" fontId="6" fillId="14" borderId="8" xfId="0" applyFont="1" applyFill="1" applyBorder="1" applyAlignment="1" applyProtection="1">
      <alignment horizontal="center" vertical="center"/>
      <protection locked="0"/>
    </xf>
    <xf numFmtId="0" fontId="0" fillId="14" borderId="8" xfId="0" applyFill="1" applyBorder="1" applyAlignment="1" applyProtection="1">
      <alignment horizontal="center" vertical="center"/>
      <protection locked="0"/>
    </xf>
    <xf numFmtId="0" fontId="0" fillId="14" borderId="2" xfId="0" applyFill="1" applyBorder="1" applyAlignment="1" applyProtection="1">
      <alignment horizontal="center" vertical="center"/>
      <protection locked="0"/>
    </xf>
    <xf numFmtId="0" fontId="23" fillId="2" borderId="35" xfId="1" applyFont="1" applyFill="1" applyBorder="1" applyAlignment="1" applyProtection="1">
      <alignment horizontal="center" vertical="center"/>
      <protection locked="0"/>
    </xf>
    <xf numFmtId="0" fontId="23" fillId="2" borderId="21" xfId="1" applyFont="1" applyFill="1" applyBorder="1" applyAlignment="1" applyProtection="1">
      <alignment horizontal="center" vertical="center"/>
      <protection locked="0"/>
    </xf>
    <xf numFmtId="0" fontId="23" fillId="0" borderId="14" xfId="1" applyFont="1" applyBorder="1" applyAlignment="1">
      <alignment horizontal="center" vertical="center"/>
    </xf>
    <xf numFmtId="0" fontId="23" fillId="0" borderId="26" xfId="1" applyFont="1" applyBorder="1" applyAlignment="1" applyProtection="1">
      <alignment horizontal="center" vertical="center"/>
      <protection locked="0"/>
    </xf>
    <xf numFmtId="0" fontId="23" fillId="0" borderId="32" xfId="1" applyFont="1" applyBorder="1" applyAlignment="1" applyProtection="1">
      <alignment horizontal="center" vertical="center"/>
      <protection locked="0"/>
    </xf>
    <xf numFmtId="0" fontId="23" fillId="14" borderId="19" xfId="1" applyFont="1" applyFill="1" applyBorder="1" applyAlignment="1" applyProtection="1">
      <alignment horizontal="center" vertical="center"/>
      <protection locked="0"/>
    </xf>
    <xf numFmtId="0" fontId="23" fillId="14" borderId="11" xfId="1" applyFont="1" applyFill="1" applyBorder="1" applyAlignment="1" applyProtection="1">
      <alignment horizontal="center" vertical="center"/>
      <protection locked="0"/>
    </xf>
    <xf numFmtId="0" fontId="23" fillId="0" borderId="40" xfId="1" applyFont="1" applyBorder="1" applyAlignment="1" applyProtection="1">
      <alignment horizontal="center" vertical="center"/>
      <protection locked="0"/>
    </xf>
    <xf numFmtId="0" fontId="23" fillId="0" borderId="41" xfId="1" applyFont="1" applyBorder="1" applyAlignment="1" applyProtection="1">
      <alignment horizontal="center" vertical="center"/>
      <protection locked="0"/>
    </xf>
    <xf numFmtId="0" fontId="23" fillId="0" borderId="36" xfId="1" applyFont="1" applyBorder="1" applyAlignment="1" applyProtection="1">
      <alignment horizontal="center" vertical="center"/>
      <protection locked="0"/>
    </xf>
    <xf numFmtId="0" fontId="23" fillId="0" borderId="29" xfId="1"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14" borderId="7" xfId="0" applyFill="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14" borderId="6" xfId="0" applyFill="1" applyBorder="1" applyAlignment="1" applyProtection="1">
      <alignment horizontal="center" vertical="center"/>
      <protection locked="0"/>
    </xf>
    <xf numFmtId="0" fontId="0" fillId="14" borderId="20" xfId="0" applyFill="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6" fillId="14" borderId="24" xfId="0" quotePrefix="1" applyFont="1" applyFill="1" applyBorder="1" applyAlignment="1" applyProtection="1">
      <alignment horizontal="center" vertical="center"/>
      <protection locked="0"/>
    </xf>
    <xf numFmtId="0" fontId="23" fillId="14" borderId="24" xfId="1" applyFont="1" applyFill="1" applyBorder="1" applyAlignment="1" applyProtection="1">
      <alignment horizontal="center" vertical="center"/>
      <protection locked="0"/>
    </xf>
    <xf numFmtId="0" fontId="23" fillId="14" borderId="10" xfId="1" applyFont="1" applyFill="1" applyBorder="1" applyAlignment="1" applyProtection="1">
      <alignment horizontal="center" vertical="center"/>
      <protection locked="0"/>
    </xf>
    <xf numFmtId="0" fontId="23" fillId="14" borderId="8" xfId="1" applyFont="1" applyFill="1" applyBorder="1" applyAlignment="1" applyProtection="1">
      <alignment horizontal="center" vertical="center"/>
      <protection locked="0"/>
    </xf>
    <xf numFmtId="0" fontId="23" fillId="14" borderId="2" xfId="1" applyFont="1" applyFill="1" applyBorder="1" applyAlignment="1" applyProtection="1">
      <alignment horizontal="center" vertical="center"/>
      <protection locked="0"/>
    </xf>
    <xf numFmtId="0" fontId="16" fillId="0" borderId="14" xfId="1" applyFont="1" applyBorder="1" applyAlignment="1">
      <alignment horizontal="center" vertical="center"/>
    </xf>
    <xf numFmtId="0" fontId="16" fillId="0" borderId="53" xfId="1" applyFont="1" applyBorder="1" applyAlignment="1">
      <alignment horizontal="center" vertical="center"/>
    </xf>
    <xf numFmtId="2" fontId="16" fillId="0" borderId="63" xfId="1" applyNumberFormat="1" applyFont="1" applyBorder="1" applyAlignment="1">
      <alignment horizontal="center" vertical="center"/>
    </xf>
    <xf numFmtId="2" fontId="16" fillId="0" borderId="51" xfId="1" applyNumberFormat="1" applyFont="1" applyBorder="1" applyAlignment="1">
      <alignment horizontal="center" vertical="center"/>
    </xf>
    <xf numFmtId="0" fontId="16" fillId="0" borderId="0" xfId="1" applyFont="1" applyAlignment="1">
      <alignment horizontal="left" vertical="center"/>
    </xf>
    <xf numFmtId="0" fontId="16" fillId="0" borderId="3" xfId="1" applyFont="1" applyBorder="1" applyAlignment="1">
      <alignment horizontal="left"/>
    </xf>
    <xf numFmtId="0" fontId="16" fillId="0" borderId="10" xfId="1" applyFont="1" applyBorder="1" applyAlignment="1">
      <alignment horizontal="left"/>
    </xf>
    <xf numFmtId="0" fontId="16" fillId="0" borderId="58" xfId="1" applyFont="1" applyBorder="1" applyAlignment="1">
      <alignment horizontal="center" vertical="center"/>
    </xf>
    <xf numFmtId="0" fontId="16" fillId="0" borderId="59" xfId="1" applyFont="1" applyBorder="1" applyAlignment="1">
      <alignment horizontal="center" vertical="center"/>
    </xf>
    <xf numFmtId="0" fontId="16" fillId="0" borderId="60" xfId="1" applyFont="1" applyBorder="1" applyAlignment="1">
      <alignment horizontal="center" vertical="center"/>
    </xf>
    <xf numFmtId="0" fontId="16" fillId="15" borderId="61" xfId="1" applyFont="1" applyFill="1" applyBorder="1" applyAlignment="1">
      <alignment horizontal="center" vertical="center"/>
    </xf>
    <xf numFmtId="0" fontId="16" fillId="15" borderId="50" xfId="1" applyFont="1" applyFill="1" applyBorder="1" applyAlignment="1">
      <alignment horizontal="center" vertical="center"/>
    </xf>
    <xf numFmtId="2" fontId="16" fillId="0" borderId="62" xfId="1" applyNumberFormat="1" applyFont="1" applyBorder="1" applyAlignment="1">
      <alignment horizontal="center" vertical="center"/>
    </xf>
    <xf numFmtId="2" fontId="16" fillId="0" borderId="27" xfId="1" applyNumberFormat="1" applyFont="1" applyBorder="1" applyAlignment="1">
      <alignment horizontal="center" vertical="center"/>
    </xf>
    <xf numFmtId="0" fontId="16" fillId="0" borderId="0" xfId="1" applyFont="1" applyAlignment="1">
      <alignment horizontal="right" vertical="center" textRotation="90"/>
    </xf>
    <xf numFmtId="0" fontId="16" fillId="0" borderId="53" xfId="1" applyFont="1" applyBorder="1" applyAlignment="1">
      <alignment horizontal="right" vertical="center" textRotation="90"/>
    </xf>
    <xf numFmtId="0" fontId="16" fillId="0" borderId="3" xfId="1" applyFont="1" applyBorder="1" applyAlignment="1">
      <alignment horizontal="center" textRotation="90"/>
    </xf>
    <xf numFmtId="0" fontId="16" fillId="0" borderId="24" xfId="1" applyFont="1" applyBorder="1" applyAlignment="1">
      <alignment horizontal="center" textRotation="90"/>
    </xf>
    <xf numFmtId="0" fontId="16" fillId="0" borderId="6" xfId="1" applyFont="1" applyBorder="1" applyAlignment="1">
      <alignment horizontal="center" textRotation="90"/>
    </xf>
    <xf numFmtId="0" fontId="62" fillId="21" borderId="0" xfId="1" applyFont="1" applyFill="1" applyAlignment="1">
      <alignment horizontal="center" vertical="center"/>
    </xf>
    <xf numFmtId="0" fontId="16" fillId="0" borderId="14" xfId="1" applyFont="1" applyBorder="1" applyAlignment="1">
      <alignment horizontal="right" vertical="center" textRotation="90" wrapText="1"/>
    </xf>
    <xf numFmtId="0" fontId="16" fillId="0" borderId="1" xfId="1" applyFont="1" applyBorder="1" applyAlignment="1">
      <alignment horizontal="center" textRotation="90"/>
    </xf>
    <xf numFmtId="0" fontId="16" fillId="0" borderId="8" xfId="1" applyFont="1" applyBorder="1" applyAlignment="1">
      <alignment horizontal="center" textRotation="90"/>
    </xf>
    <xf numFmtId="0" fontId="16" fillId="0" borderId="20" xfId="1" applyFont="1" applyBorder="1" applyAlignment="1">
      <alignment horizontal="center" textRotation="90"/>
    </xf>
    <xf numFmtId="0" fontId="16" fillId="0" borderId="44" xfId="1" applyFont="1" applyBorder="1" applyAlignment="1">
      <alignment horizontal="left" vertical="center"/>
    </xf>
    <xf numFmtId="0" fontId="16" fillId="0" borderId="50" xfId="1" applyFont="1" applyBorder="1" applyAlignment="1">
      <alignment horizontal="left" vertical="center"/>
    </xf>
    <xf numFmtId="0" fontId="65" fillId="0" borderId="46" xfId="1" applyFont="1" applyBorder="1" applyAlignment="1">
      <alignment horizontal="left" vertical="center"/>
    </xf>
    <xf numFmtId="0" fontId="65" fillId="0" borderId="51" xfId="1" applyFont="1" applyBorder="1" applyAlignment="1">
      <alignment horizontal="left" vertical="center"/>
    </xf>
    <xf numFmtId="0" fontId="16" fillId="0" borderId="14" xfId="1" applyFont="1" applyBorder="1" applyAlignment="1">
      <alignment horizontal="center" vertical="center" wrapText="1"/>
    </xf>
    <xf numFmtId="0" fontId="16" fillId="0" borderId="5" xfId="1" applyFont="1" applyBorder="1" applyAlignment="1">
      <alignment horizontal="center" vertical="center"/>
    </xf>
    <xf numFmtId="0" fontId="16" fillId="0" borderId="54" xfId="1" applyFont="1" applyBorder="1" applyAlignment="1">
      <alignment horizontal="center" vertical="center"/>
    </xf>
    <xf numFmtId="0" fontId="16" fillId="15" borderId="35" xfId="1" applyFont="1" applyFill="1" applyBorder="1" applyAlignment="1">
      <alignment horizontal="left" vertical="center"/>
    </xf>
    <xf numFmtId="0" fontId="16" fillId="15" borderId="36" xfId="1" applyFont="1" applyFill="1" applyBorder="1" applyAlignment="1">
      <alignment horizontal="left" vertical="center"/>
    </xf>
    <xf numFmtId="0" fontId="16" fillId="15" borderId="29" xfId="1" applyFont="1" applyFill="1" applyBorder="1" applyAlignment="1">
      <alignment horizontal="left" vertical="center"/>
    </xf>
    <xf numFmtId="0" fontId="16" fillId="0" borderId="44" xfId="1" applyFont="1" applyBorder="1" applyAlignment="1">
      <alignment horizontal="center" vertical="center"/>
    </xf>
    <xf numFmtId="0" fontId="16" fillId="0" borderId="52" xfId="1" applyFont="1" applyBorder="1" applyAlignment="1">
      <alignment horizontal="center" vertical="center"/>
    </xf>
    <xf numFmtId="0" fontId="81" fillId="9" borderId="33" xfId="1" applyFont="1" applyFill="1" applyBorder="1" applyAlignment="1">
      <alignment horizontal="center" vertical="center" wrapText="1"/>
    </xf>
    <xf numFmtId="0" fontId="81" fillId="9" borderId="24" xfId="1" applyFont="1" applyFill="1" applyBorder="1" applyAlignment="1">
      <alignment horizontal="center" vertical="center" wrapText="1"/>
    </xf>
    <xf numFmtId="0" fontId="81" fillId="0" borderId="30" xfId="1" applyFont="1" applyBorder="1" applyAlignment="1">
      <alignment horizontal="center" vertical="center"/>
    </xf>
    <xf numFmtId="0" fontId="81" fillId="0" borderId="33" xfId="1" applyFont="1" applyBorder="1" applyAlignment="1">
      <alignment horizontal="left" vertical="center" wrapText="1"/>
    </xf>
    <xf numFmtId="0" fontId="81" fillId="0" borderId="33" xfId="1" applyFont="1" applyBorder="1" applyAlignment="1">
      <alignment horizontal="left" vertical="center"/>
    </xf>
    <xf numFmtId="0" fontId="81" fillId="0" borderId="30" xfId="1" applyFont="1" applyBorder="1" applyAlignment="1">
      <alignment horizontal="left" vertical="center"/>
    </xf>
    <xf numFmtId="0" fontId="81" fillId="0" borderId="24" xfId="1" applyFont="1" applyBorder="1" applyAlignment="1">
      <alignment horizontal="center" vertical="center" textRotation="180"/>
    </xf>
    <xf numFmtId="0" fontId="6" fillId="0" borderId="24" xfId="1" applyBorder="1" applyAlignment="1">
      <alignment horizontal="center" vertical="center" textRotation="180"/>
    </xf>
    <xf numFmtId="0" fontId="81" fillId="0" borderId="24" xfId="1" applyFont="1" applyBorder="1" applyAlignment="1">
      <alignment horizontal="center" vertical="center" textRotation="180" wrapText="1"/>
    </xf>
    <xf numFmtId="0" fontId="88" fillId="0" borderId="10" xfId="1" applyFont="1" applyBorder="1" applyAlignment="1">
      <alignment horizontal="center" vertical="center"/>
    </xf>
    <xf numFmtId="0" fontId="88" fillId="0" borderId="26" xfId="1" applyFont="1" applyBorder="1" applyAlignment="1">
      <alignment horizontal="center" vertical="center"/>
    </xf>
    <xf numFmtId="0" fontId="88" fillId="0" borderId="25" xfId="1" applyFont="1" applyBorder="1" applyAlignment="1">
      <alignment horizontal="center" vertical="center"/>
    </xf>
    <xf numFmtId="0" fontId="93" fillId="8" borderId="24" xfId="1" applyFont="1" applyFill="1" applyBorder="1" applyAlignment="1" applyProtection="1">
      <alignment horizontal="center" vertical="center"/>
      <protection locked="0"/>
    </xf>
    <xf numFmtId="0" fontId="88" fillId="19" borderId="24" xfId="1" applyFont="1" applyFill="1" applyBorder="1" applyAlignment="1">
      <alignment horizontal="center" vertical="center"/>
    </xf>
    <xf numFmtId="0" fontId="88" fillId="0" borderId="56" xfId="1" applyFont="1" applyBorder="1" applyAlignment="1">
      <alignment horizontal="center" vertical="center" textRotation="180"/>
    </xf>
    <xf numFmtId="0" fontId="6" fillId="0" borderId="56" xfId="1" applyBorder="1" applyAlignment="1">
      <alignment horizontal="center" vertical="center" textRotation="180"/>
    </xf>
    <xf numFmtId="0" fontId="6" fillId="0" borderId="33" xfId="1" applyBorder="1" applyAlignment="1">
      <alignment horizontal="center" vertical="center" textRotation="180"/>
    </xf>
    <xf numFmtId="0" fontId="60" fillId="0" borderId="56" xfId="1" applyFont="1" applyBorder="1" applyAlignment="1">
      <alignment horizontal="center" vertical="center" textRotation="180" wrapText="1"/>
    </xf>
    <xf numFmtId="0" fontId="60" fillId="0" borderId="56" xfId="1" applyFont="1" applyBorder="1" applyAlignment="1">
      <alignment horizontal="center" vertical="center" textRotation="180"/>
    </xf>
    <xf numFmtId="0" fontId="60" fillId="0" borderId="33" xfId="1" applyFont="1" applyBorder="1" applyAlignment="1">
      <alignment horizontal="center" vertical="center" textRotation="180"/>
    </xf>
    <xf numFmtId="0" fontId="60" fillId="0" borderId="30" xfId="1" applyFont="1" applyBorder="1" applyAlignment="1">
      <alignment horizontal="center" vertical="center" textRotation="180" wrapText="1"/>
    </xf>
    <xf numFmtId="0" fontId="88" fillId="19" borderId="10" xfId="1" applyFont="1" applyFill="1" applyBorder="1" applyAlignment="1" applyProtection="1">
      <alignment horizontal="center" vertical="center"/>
      <protection locked="0"/>
    </xf>
    <xf numFmtId="0" fontId="88" fillId="19" borderId="26" xfId="1" applyFont="1" applyFill="1" applyBorder="1" applyAlignment="1" applyProtection="1">
      <alignment horizontal="center" vertical="center"/>
      <protection locked="0"/>
    </xf>
    <xf numFmtId="0" fontId="88" fillId="9" borderId="10" xfId="1" applyFont="1" applyFill="1" applyBorder="1" applyAlignment="1">
      <alignment horizontal="center" vertical="center"/>
    </xf>
    <xf numFmtId="0" fontId="88" fillId="9" borderId="26" xfId="1" applyFont="1" applyFill="1" applyBorder="1" applyAlignment="1">
      <alignment horizontal="center" vertical="center"/>
    </xf>
    <xf numFmtId="0" fontId="88" fillId="9" borderId="25" xfId="1" applyFont="1" applyFill="1" applyBorder="1" applyAlignment="1">
      <alignment horizontal="center" vertical="center"/>
    </xf>
    <xf numFmtId="0" fontId="88" fillId="0" borderId="69" xfId="1" applyFont="1" applyBorder="1" applyAlignment="1">
      <alignment horizontal="center" vertical="center" textRotation="180"/>
    </xf>
    <xf numFmtId="0" fontId="88" fillId="0" borderId="70" xfId="1" applyFont="1" applyBorder="1" applyAlignment="1">
      <alignment horizontal="center" vertical="center" textRotation="180"/>
    </xf>
    <xf numFmtId="0" fontId="88" fillId="0" borderId="62" xfId="1" applyFont="1" applyBorder="1" applyAlignment="1">
      <alignment horizontal="center" vertical="center" textRotation="180"/>
    </xf>
    <xf numFmtId="0" fontId="88" fillId="0" borderId="27" xfId="1" applyFont="1" applyBorder="1" applyAlignment="1">
      <alignment horizontal="center" vertical="center" textRotation="180"/>
    </xf>
    <xf numFmtId="0" fontId="88" fillId="0" borderId="71" xfId="1" applyFont="1" applyBorder="1" applyAlignment="1">
      <alignment horizontal="center" vertical="center" textRotation="180"/>
    </xf>
    <xf numFmtId="0" fontId="88" fillId="0" borderId="72" xfId="1" applyFont="1" applyBorder="1" applyAlignment="1">
      <alignment horizontal="center" vertical="center" textRotation="180"/>
    </xf>
    <xf numFmtId="0" fontId="92" fillId="9" borderId="10" xfId="1" applyFont="1" applyFill="1" applyBorder="1" applyAlignment="1">
      <alignment horizontal="center" vertical="center" wrapText="1"/>
    </xf>
    <xf numFmtId="0" fontId="92" fillId="9" borderId="26" xfId="1" applyFont="1" applyFill="1" applyBorder="1" applyAlignment="1">
      <alignment horizontal="center" vertical="center" wrapText="1"/>
    </xf>
    <xf numFmtId="0" fontId="92" fillId="9" borderId="25" xfId="1" applyFont="1" applyFill="1" applyBorder="1" applyAlignment="1">
      <alignment horizontal="center" vertical="center" wrapText="1"/>
    </xf>
    <xf numFmtId="0" fontId="71" fillId="0" borderId="0" xfId="1" applyFont="1" applyAlignment="1">
      <alignment horizontal="left" vertical="top" wrapText="1"/>
    </xf>
    <xf numFmtId="0" fontId="70" fillId="0" borderId="0" xfId="1" applyFont="1" applyAlignment="1" applyProtection="1">
      <alignment vertical="center" wrapText="1"/>
      <protection locked="0"/>
    </xf>
    <xf numFmtId="0" fontId="73" fillId="0" borderId="0" xfId="1" applyFont="1" applyAlignment="1">
      <alignment horizontal="left" vertical="top" wrapText="1"/>
    </xf>
    <xf numFmtId="0" fontId="70" fillId="0" borderId="66" xfId="1" applyFont="1" applyBorder="1" applyAlignment="1" applyProtection="1">
      <alignment vertical="center" wrapText="1"/>
      <protection locked="0"/>
    </xf>
    <xf numFmtId="0" fontId="70" fillId="0" borderId="67" xfId="1" applyFont="1" applyBorder="1" applyAlignment="1" applyProtection="1">
      <alignment vertical="center" wrapText="1"/>
      <protection locked="0"/>
    </xf>
    <xf numFmtId="0" fontId="70" fillId="0" borderId="68" xfId="1" applyFont="1" applyBorder="1" applyAlignment="1" applyProtection="1">
      <alignment vertical="center" wrapText="1"/>
      <protection locked="0"/>
    </xf>
    <xf numFmtId="0" fontId="70" fillId="14" borderId="0" xfId="1" applyFont="1" applyFill="1" applyAlignment="1" applyProtection="1">
      <alignment horizontal="left" vertical="top" wrapText="1"/>
      <protection locked="0"/>
    </xf>
    <xf numFmtId="0" fontId="70" fillId="0" borderId="0" xfId="1" applyFont="1" applyAlignment="1" applyProtection="1">
      <alignment horizontal="left" vertical="top" wrapText="1"/>
      <protection locked="0"/>
    </xf>
  </cellXfs>
  <cellStyles count="12">
    <cellStyle name="Hyperlink" xfId="5" builtinId="8"/>
    <cellStyle name="Komma 2" xfId="8" xr:uid="{E365423F-4116-4166-B28A-97976D1FA87A}"/>
    <cellStyle name="Procent 2" xfId="4" xr:uid="{00000000-0005-0000-0000-000001000000}"/>
    <cellStyle name="Procent 2 2" xfId="10" xr:uid="{D1DE09D3-9B1A-489C-BC1F-449AFDEAC70F}"/>
    <cellStyle name="Standaard" xfId="0" builtinId="0"/>
    <cellStyle name="Standaard 2" xfId="1" xr:uid="{00000000-0005-0000-0000-000003000000}"/>
    <cellStyle name="Standaard 2 2" xfId="9" xr:uid="{BD46391A-B9BB-4689-8AA7-79F8FC89A1BE}"/>
    <cellStyle name="Standaard 3" xfId="2" xr:uid="{00000000-0005-0000-0000-000004000000}"/>
    <cellStyle name="Standaard 3 2 2" xfId="3" xr:uid="{00000000-0005-0000-0000-000005000000}"/>
    <cellStyle name="Standaard 3 2 2 2" xfId="6" xr:uid="{00000000-0005-0000-0000-000006000000}"/>
    <cellStyle name="Standaard 4" xfId="11" xr:uid="{CDFCC6A1-D594-453A-93B5-DA78B7F59A46}"/>
    <cellStyle name="Standaard_Blad1" xfId="7" xr:uid="{00000000-0005-0000-0000-000007000000}"/>
  </cellStyles>
  <dxfs count="1458">
    <dxf>
      <fill>
        <patternFill>
          <bgColor indexed="31"/>
        </patternFill>
      </fill>
      <border>
        <left style="hair">
          <color indexed="64"/>
        </left>
        <right style="hair">
          <color indexed="64"/>
        </right>
        <top style="hair">
          <color indexed="64"/>
        </top>
        <bottom style="hair">
          <color indexed="64"/>
        </bottom>
      </border>
    </dxf>
    <dxf>
      <fill>
        <patternFill>
          <bgColor indexed="13"/>
        </patternFill>
      </fill>
    </dxf>
    <dxf>
      <fill>
        <patternFill>
          <bgColor indexed="11"/>
        </patternFill>
      </fill>
    </dxf>
    <dxf>
      <font>
        <condense val="0"/>
        <extend val="0"/>
        <color indexed="26"/>
      </font>
    </dxf>
    <dxf>
      <font>
        <condense val="0"/>
        <extend val="0"/>
        <color indexed="9"/>
      </font>
      <fill>
        <patternFill>
          <bgColor indexed="10"/>
        </patternFill>
      </fill>
    </dxf>
    <dxf>
      <fill>
        <patternFill>
          <bgColor indexed="11"/>
        </patternFill>
      </fill>
    </dxf>
    <dxf>
      <fill>
        <patternFill>
          <bgColor indexed="13"/>
        </patternFill>
      </fill>
    </dxf>
    <dxf>
      <fill>
        <patternFill>
          <bgColor indexed="40"/>
        </patternFill>
      </fill>
    </dxf>
    <dxf>
      <fill>
        <patternFill>
          <bgColor indexed="13"/>
        </patternFill>
      </fill>
    </dxf>
    <dxf>
      <fill>
        <patternFill>
          <bgColor indexed="40"/>
        </patternFill>
      </fill>
    </dxf>
    <dxf>
      <font>
        <condense val="0"/>
        <extend val="0"/>
        <color indexed="26"/>
      </font>
    </dxf>
    <dxf>
      <font>
        <condense val="0"/>
        <extend val="0"/>
        <color indexed="9"/>
      </font>
    </dxf>
    <dxf>
      <fill>
        <patternFill>
          <bgColor indexed="11"/>
        </patternFill>
      </fill>
    </dxf>
    <dxf>
      <font>
        <condense val="0"/>
        <extend val="0"/>
        <color auto="1"/>
      </font>
      <fill>
        <patternFill>
          <bgColor indexed="13"/>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1"/>
        </patternFill>
      </fill>
    </dxf>
    <dxf>
      <font>
        <condense val="0"/>
        <extend val="0"/>
        <color indexed="10"/>
      </font>
    </dxf>
    <dxf>
      <font>
        <condense val="0"/>
        <extend val="0"/>
        <color indexed="9"/>
      </font>
    </dxf>
    <dxf>
      <fill>
        <patternFill>
          <bgColor indexed="13"/>
        </patternFill>
      </fill>
    </dxf>
    <dxf>
      <fill>
        <patternFill>
          <bgColor indexed="40"/>
        </patternFill>
      </fill>
    </dxf>
    <dxf>
      <fill>
        <patternFill>
          <bgColor rgb="FF00FF00"/>
        </patternFill>
      </fill>
    </dxf>
    <dxf>
      <font>
        <color theme="0"/>
      </font>
      <fill>
        <patternFill>
          <bgColor rgb="FFFF0000"/>
        </patternFill>
      </fill>
    </dxf>
    <dxf>
      <fill>
        <patternFill>
          <bgColor indexed="11"/>
        </patternFill>
      </fill>
    </dxf>
    <dxf>
      <font>
        <condense val="0"/>
        <extend val="0"/>
        <color indexed="9"/>
      </font>
      <fill>
        <patternFill>
          <bgColor indexed="10"/>
        </patternFill>
      </fill>
    </dxf>
    <dxf>
      <font>
        <condense val="0"/>
        <extend val="0"/>
        <color indexed="9"/>
      </font>
    </dxf>
    <dxf>
      <fill>
        <patternFill>
          <bgColor rgb="FF99CCFF"/>
        </patternFill>
      </fill>
    </dxf>
    <dxf>
      <fill>
        <patternFill>
          <bgColor rgb="FFCCFFCC"/>
        </patternFill>
      </fill>
    </dxf>
    <dxf>
      <fill>
        <patternFill>
          <bgColor rgb="FFFFFF99"/>
        </patternFill>
      </fill>
    </dxf>
    <dxf>
      <fill>
        <patternFill>
          <bgColor rgb="FFFF9999"/>
        </patternFill>
      </fill>
    </dxf>
    <dxf>
      <font>
        <color theme="1"/>
      </font>
    </dxf>
    <dxf>
      <fill>
        <patternFill>
          <bgColor indexed="51"/>
        </patternFill>
      </fill>
    </dxf>
    <dxf>
      <fill>
        <patternFill>
          <bgColor indexed="31"/>
        </patternFill>
      </fill>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ont>
        <color theme="0"/>
      </font>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FFCC66"/>
        </patternFill>
      </fill>
    </dxf>
    <dxf>
      <fill>
        <patternFill>
          <bgColor rgb="FFFFCC66"/>
        </patternFill>
      </fill>
    </dxf>
    <dxf>
      <fill>
        <patternFill>
          <bgColor indexed="29"/>
        </patternFill>
      </fill>
    </dxf>
    <dxf>
      <fill>
        <patternFill>
          <bgColor indexed="42"/>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theme="0"/>
        </patternFill>
      </fill>
    </dxf>
    <dxf>
      <fill>
        <patternFill>
          <bgColor rgb="FFFF9999"/>
        </patternFill>
      </fill>
    </dxf>
    <dxf>
      <fill>
        <patternFill>
          <bgColor rgb="FF66FFFF"/>
        </patternFill>
      </fill>
    </dxf>
    <dxf>
      <fill>
        <patternFill>
          <bgColor rgb="FF00FF00"/>
        </patternFill>
      </fill>
    </dxf>
    <dxf>
      <fill>
        <patternFill>
          <bgColor rgb="FF99FFCC"/>
        </patternFill>
      </fill>
    </dxf>
    <dxf>
      <fill>
        <patternFill>
          <bgColor rgb="FF00FF99"/>
        </patternFill>
      </fill>
    </dxf>
    <dxf>
      <fill>
        <patternFill>
          <bgColor rgb="FFCCEC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99FFCC"/>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ont>
        <color theme="0"/>
      </font>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29"/>
        </patternFill>
      </fill>
    </dxf>
    <dxf>
      <fill>
        <patternFill>
          <bgColor indexed="42"/>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66FF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99CCFF"/>
        </patternFill>
      </fill>
    </dxf>
    <dxf>
      <fill>
        <patternFill>
          <bgColor rgb="FF66FFFF"/>
        </patternFill>
      </fill>
    </dxf>
    <dxf>
      <fill>
        <patternFill>
          <bgColor rgb="FFCCE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2"/>
        </patternFill>
      </fill>
    </dxf>
    <dxf>
      <fill>
        <patternFill>
          <bgColor indexed="44"/>
        </patternFill>
      </fill>
    </dxf>
    <dxf>
      <fill>
        <patternFill>
          <bgColor indexed="29"/>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indexed="42"/>
        </patternFill>
      </fill>
    </dxf>
    <dxf>
      <fill>
        <patternFill>
          <bgColor indexed="29"/>
        </patternFill>
      </fill>
    </dxf>
    <dxf>
      <fill>
        <patternFill>
          <bgColor indexed="44"/>
        </patternFill>
      </fill>
    </dxf>
    <dxf>
      <font>
        <color rgb="FFFF0000"/>
      </font>
      <fill>
        <patternFill patternType="none">
          <bgColor auto="1"/>
        </patternFill>
      </fill>
    </dxf>
    <dxf>
      <font>
        <color rgb="FF0000FF"/>
      </font>
      <fill>
        <patternFill patternType="none">
          <bgColor auto="1"/>
        </patternFill>
      </fill>
    </dxf>
    <dxf>
      <fill>
        <patternFill>
          <bgColor indexed="44"/>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CCE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99CC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29"/>
        </patternFill>
      </fill>
    </dxf>
    <dxf>
      <fill>
        <patternFill>
          <bgColor indexed="42"/>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indexed="29"/>
        </patternFill>
      </fill>
    </dxf>
    <dxf>
      <fill>
        <patternFill>
          <bgColor rgb="FFFFCC66"/>
        </patternFill>
      </fill>
    </dxf>
    <dxf>
      <fill>
        <patternFill>
          <bgColor indexed="44"/>
        </patternFill>
      </fill>
    </dxf>
    <dxf>
      <fill>
        <patternFill>
          <bgColor indexed="42"/>
        </patternFill>
      </fill>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indexed="44"/>
        </patternFill>
      </fill>
    </dxf>
    <dxf>
      <fill>
        <patternFill>
          <bgColor rgb="FFFFCC66"/>
        </patternFill>
      </fill>
    </dxf>
    <dxf>
      <fill>
        <patternFill>
          <bgColor rgb="FFFF7C80"/>
        </patternFill>
      </fill>
    </dxf>
    <dxf>
      <fill>
        <patternFill>
          <bgColor indexed="42"/>
        </patternFill>
      </fill>
    </dxf>
    <dxf>
      <fill>
        <patternFill>
          <bgColor indexed="29"/>
        </patternFill>
      </fill>
    </dxf>
    <dxf>
      <fill>
        <patternFill>
          <bgColor indexed="44"/>
        </patternFill>
      </fill>
    </dxf>
    <dxf>
      <fill>
        <patternFill>
          <bgColor rgb="FFFFCC66"/>
        </patternFill>
      </fill>
    </dxf>
    <dxf>
      <fill>
        <patternFill>
          <bgColor indexed="42"/>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CCE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indexed="29"/>
        </patternFill>
      </fill>
    </dxf>
    <dxf>
      <fill>
        <patternFill>
          <bgColor indexed="42"/>
        </patternFill>
      </fill>
    </dxf>
    <dxf>
      <fill>
        <patternFill>
          <bgColor indexed="44"/>
        </patternFill>
      </fill>
    </dxf>
    <dxf>
      <fill>
        <patternFill>
          <bgColor rgb="FFFFCC66"/>
        </patternFill>
      </fill>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7C80"/>
        </patternFill>
      </fill>
    </dxf>
    <dxf>
      <fill>
        <patternFill>
          <bgColor indexed="44"/>
        </patternFill>
      </fill>
    </dxf>
    <dxf>
      <fill>
        <patternFill>
          <bgColor indexed="42"/>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66FFFF"/>
        </patternFill>
      </fill>
    </dxf>
    <dxf>
      <fill>
        <patternFill>
          <bgColor theme="0"/>
        </patternFill>
      </fill>
    </dxf>
    <dxf>
      <fill>
        <patternFill>
          <bgColor theme="0"/>
        </patternFill>
      </fill>
    </dxf>
    <dxf>
      <fill>
        <patternFill>
          <bgColor rgb="FFFF9999"/>
        </patternFill>
      </fill>
    </dxf>
    <dxf>
      <fill>
        <patternFill>
          <bgColor rgb="FF99CCFF"/>
        </patternFill>
      </fill>
    </dxf>
    <dxf>
      <fill>
        <patternFill>
          <bgColor rgb="FF00FF99"/>
        </patternFill>
      </fill>
    </dxf>
    <dxf>
      <fill>
        <patternFill>
          <bgColor rgb="FF99FFCC"/>
        </patternFill>
      </fill>
    </dxf>
    <dxf>
      <fill>
        <patternFill>
          <bgColor rgb="FF99CCFF"/>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indexed="42"/>
        </patternFill>
      </fill>
    </dxf>
    <dxf>
      <fill>
        <patternFill>
          <bgColor indexed="44"/>
        </patternFill>
      </fill>
    </dxf>
    <dxf>
      <fill>
        <patternFill>
          <bgColor rgb="FFFFCC66"/>
        </patternFill>
      </fill>
    </dxf>
    <dxf>
      <fill>
        <patternFill>
          <bgColor indexed="29"/>
        </patternFill>
      </fill>
    </dxf>
    <dxf>
      <fill>
        <patternFill>
          <bgColor theme="0"/>
        </patternFill>
      </fill>
    </dxf>
    <dxf>
      <font>
        <color rgb="FFFF0000"/>
      </font>
      <fill>
        <patternFill patternType="none">
          <bgColor auto="1"/>
        </patternFill>
      </fill>
    </dxf>
    <dxf>
      <font>
        <color rgb="FF0000FF"/>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FFCC66"/>
        </patternFill>
      </fill>
    </dxf>
    <dxf>
      <fill>
        <patternFill>
          <bgColor indexed="29"/>
        </patternFill>
      </fill>
    </dxf>
    <dxf>
      <fill>
        <patternFill>
          <bgColor indexed="44"/>
        </patternFill>
      </fill>
    </dxf>
    <dxf>
      <fill>
        <patternFill>
          <bgColor indexed="42"/>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99FFCC"/>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indexed="42"/>
        </patternFill>
      </fill>
    </dxf>
    <dxf>
      <fill>
        <patternFill>
          <bgColor indexed="44"/>
        </patternFill>
      </fill>
    </dxf>
    <dxf>
      <fill>
        <patternFill>
          <bgColor indexed="29"/>
        </patternFill>
      </fill>
    </dxf>
    <dxf>
      <fill>
        <patternFill>
          <bgColor rgb="FFFFCC66"/>
        </patternFill>
      </fill>
    </dxf>
    <dxf>
      <fill>
        <patternFill>
          <bgColor theme="0"/>
        </patternFill>
      </fill>
    </dxf>
    <dxf>
      <fill>
        <patternFill>
          <bgColor indexed="29"/>
        </patternFill>
      </fill>
    </dxf>
    <dxf>
      <fill>
        <patternFill>
          <bgColor indexed="42"/>
        </patternFill>
      </fill>
    </dxf>
    <dxf>
      <fill>
        <patternFill>
          <bgColor indexed="44"/>
        </patternFill>
      </fill>
    </dxf>
    <dxf>
      <fill>
        <patternFill>
          <bgColor theme="0"/>
        </patternFill>
      </fill>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rgb="FFFF7C80"/>
        </patternFill>
      </fill>
    </dxf>
    <dxf>
      <fill>
        <patternFill>
          <bgColor indexed="44"/>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66FF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rgb="FFFFCC66"/>
        </patternFill>
      </fill>
    </dxf>
    <dxf>
      <fill>
        <patternFill>
          <bgColor indexed="29"/>
        </patternFill>
      </fill>
    </dxf>
    <dxf>
      <fill>
        <patternFill>
          <bgColor indexed="42"/>
        </patternFill>
      </fill>
    </dxf>
    <dxf>
      <fill>
        <patternFill>
          <bgColor indexed="44"/>
        </patternFill>
      </fill>
    </dxf>
    <dxf>
      <fill>
        <patternFill>
          <bgColor theme="0"/>
        </patternFill>
      </fill>
    </dxf>
    <dxf>
      <fill>
        <patternFill>
          <bgColor indexed="44"/>
        </patternFill>
      </fill>
    </dxf>
    <dxf>
      <fill>
        <patternFill>
          <bgColor indexed="42"/>
        </patternFill>
      </fill>
    </dxf>
    <dxf>
      <fill>
        <patternFill>
          <bgColor indexed="29"/>
        </patternFill>
      </fill>
    </dxf>
    <dxf>
      <fill>
        <patternFill>
          <bgColor theme="0"/>
        </patternFill>
      </fill>
    </dxf>
    <dxf>
      <font>
        <color rgb="FF0000FF"/>
      </font>
      <fill>
        <patternFill patternType="none">
          <bgColor auto="1"/>
        </patternFill>
      </fill>
    </dxf>
    <dxf>
      <font>
        <color rgb="FFFF0000"/>
      </font>
      <fill>
        <patternFill patternType="none">
          <bgColor auto="1"/>
        </patternFill>
      </fill>
    </dxf>
    <dxf>
      <fill>
        <patternFill>
          <bgColor indexed="44"/>
        </patternFill>
      </fill>
    </dxf>
    <dxf>
      <fill>
        <patternFill>
          <bgColor indexed="42"/>
        </patternFill>
      </fill>
    </dxf>
    <dxf>
      <fill>
        <patternFill>
          <bgColor rgb="FF99CCFF"/>
        </patternFill>
      </fill>
    </dxf>
    <dxf>
      <fill>
        <patternFill>
          <bgColor rgb="FFFF7C80"/>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29"/>
        </patternFill>
      </fill>
    </dxf>
    <dxf>
      <fill>
        <patternFill>
          <bgColor indexed="42"/>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FF99"/>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FF99"/>
        </patternFill>
      </fill>
    </dxf>
    <dxf>
      <fill>
        <patternFill>
          <bgColor rgb="FFCCFFCC"/>
        </patternFill>
      </fill>
    </dxf>
    <dxf>
      <fill>
        <patternFill>
          <bgColor rgb="FF99CCFF"/>
        </patternFill>
      </fill>
    </dxf>
    <dxf>
      <fill>
        <patternFill>
          <bgColor rgb="FFCCFFCC"/>
        </patternFill>
      </fill>
    </dxf>
    <dxf>
      <font>
        <condense val="0"/>
        <extend val="0"/>
        <color auto="1"/>
      </font>
      <fill>
        <patternFill>
          <bgColor indexed="29"/>
        </patternFill>
      </fill>
    </dxf>
    <dxf>
      <fill>
        <patternFill>
          <bgColor indexed="42"/>
        </patternFill>
      </fill>
    </dxf>
    <dxf>
      <fill>
        <patternFill>
          <bgColor indexed="44"/>
        </patternFill>
      </fill>
    </dxf>
    <dxf>
      <fill>
        <patternFill>
          <bgColor indexed="29"/>
        </patternFill>
      </fill>
    </dxf>
    <dxf>
      <fill>
        <patternFill>
          <bgColor indexed="42"/>
        </patternFill>
      </fill>
    </dxf>
    <dxf>
      <fill>
        <patternFill>
          <bgColor rgb="FFFFCC66"/>
        </patternFill>
      </fill>
    </dxf>
    <dxf>
      <fill>
        <patternFill>
          <bgColor indexed="44"/>
        </patternFill>
      </fill>
    </dxf>
    <dxf>
      <fill>
        <patternFill>
          <bgColor theme="0"/>
        </patternFill>
      </fill>
    </dxf>
    <dxf>
      <fill>
        <patternFill>
          <bgColor indexed="44"/>
        </patternFill>
      </fill>
    </dxf>
    <dxf>
      <fill>
        <patternFill>
          <bgColor indexed="42"/>
        </patternFill>
      </fill>
    </dxf>
    <dxf>
      <fill>
        <patternFill>
          <bgColor indexed="29"/>
        </patternFill>
      </fill>
    </dxf>
    <dxf>
      <fill>
        <patternFill>
          <bgColor theme="0"/>
        </patternFill>
      </fill>
    </dxf>
    <dxf>
      <font>
        <color theme="0"/>
      </font>
      <fill>
        <patternFill>
          <bgColor rgb="FFFF0000"/>
        </patternFill>
      </fill>
    </dxf>
    <dxf>
      <font>
        <color theme="0"/>
      </font>
      <fill>
        <patternFill>
          <bgColor rgb="FF0070C0"/>
        </patternFill>
      </fill>
    </dxf>
    <dxf>
      <fill>
        <patternFill>
          <bgColor rgb="FF99CCFF"/>
        </patternFill>
      </fill>
    </dxf>
    <dxf>
      <fill>
        <patternFill>
          <bgColor rgb="FFCCFFCC"/>
        </patternFill>
      </fill>
    </dxf>
    <dxf>
      <fill>
        <patternFill>
          <bgColor rgb="FFFFFF99"/>
        </patternFill>
      </fill>
    </dxf>
    <dxf>
      <fill>
        <patternFill>
          <bgColor rgb="FFFFCC66"/>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rgb="FFFF9999"/>
        </patternFill>
      </fill>
    </dxf>
    <dxf>
      <fill>
        <patternFill>
          <bgColor theme="0"/>
        </patternFill>
      </fill>
    </dxf>
    <dxf>
      <fill>
        <patternFill>
          <bgColor theme="0"/>
        </patternFill>
      </fill>
    </dxf>
    <dxf>
      <fill>
        <patternFill>
          <bgColor rgb="FF99CCFF"/>
        </patternFill>
      </fill>
    </dxf>
    <dxf>
      <fill>
        <patternFill>
          <bgColor rgb="FF99CCFF"/>
        </patternFill>
      </fill>
    </dxf>
    <dxf>
      <fill>
        <patternFill>
          <bgColor rgb="FF00FF00"/>
        </patternFill>
      </fill>
    </dxf>
    <dxf>
      <fill>
        <patternFill>
          <bgColor rgb="FFCCECFF"/>
        </patternFill>
      </fill>
    </dxf>
    <dxf>
      <fill>
        <patternFill>
          <bgColor rgb="FF00FF99"/>
        </patternFill>
      </fill>
    </dxf>
    <dxf>
      <fill>
        <patternFill>
          <bgColor rgb="FF99FFCC"/>
        </patternFill>
      </fill>
    </dxf>
    <dxf>
      <fill>
        <patternFill>
          <bgColor rgb="FF66FF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FF99"/>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99CCFF"/>
        </patternFill>
      </fill>
    </dxf>
    <dxf>
      <fill>
        <patternFill>
          <bgColor rgb="FFFFFF99"/>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indexed="44"/>
        </patternFill>
      </fill>
    </dxf>
    <dxf>
      <fill>
        <patternFill>
          <bgColor indexed="42"/>
        </patternFill>
      </fill>
    </dxf>
    <dxf>
      <font>
        <condense val="0"/>
        <extend val="0"/>
        <color auto="1"/>
      </font>
      <fill>
        <patternFill>
          <bgColor indexed="29"/>
        </patternFill>
      </fill>
    </dxf>
    <dxf>
      <fill>
        <patternFill>
          <bgColor rgb="FFFFCC66"/>
        </patternFill>
      </fill>
    </dxf>
    <dxf>
      <fill>
        <patternFill>
          <bgColor indexed="44"/>
        </patternFill>
      </fill>
    </dxf>
    <dxf>
      <fill>
        <patternFill>
          <bgColor indexed="29"/>
        </patternFill>
      </fill>
    </dxf>
    <dxf>
      <fill>
        <patternFill>
          <bgColor indexed="42"/>
        </patternFill>
      </fill>
    </dxf>
    <dxf>
      <fill>
        <patternFill>
          <bgColor rgb="FF99CCFF"/>
        </patternFill>
      </fill>
    </dxf>
    <dxf>
      <fill>
        <patternFill>
          <bgColor rgb="FFFF7C80"/>
        </patternFill>
      </fill>
    </dxf>
    <dxf>
      <font>
        <color theme="0"/>
      </font>
      <fill>
        <patternFill>
          <bgColor rgb="FF0070C0"/>
        </patternFill>
      </fill>
    </dxf>
    <dxf>
      <font>
        <color theme="0"/>
      </font>
      <fill>
        <patternFill>
          <bgColor rgb="FFFF0000"/>
        </patternFill>
      </fill>
    </dxf>
    <dxf>
      <fill>
        <patternFill>
          <bgColor rgb="FFFFCC66"/>
        </patternFill>
      </fill>
    </dxf>
    <dxf>
      <fill>
        <patternFill>
          <bgColor rgb="FFFFFF99"/>
        </patternFill>
      </fill>
    </dxf>
    <dxf>
      <fill>
        <patternFill>
          <bgColor rgb="FFCCFFCC"/>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rgb="FFFF7C80"/>
        </patternFill>
      </fill>
    </dxf>
    <dxf>
      <fill>
        <patternFill>
          <bgColor rgb="FF99CCFF"/>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66FFFF"/>
        </patternFill>
      </fill>
    </dxf>
    <dxf>
      <fill>
        <patternFill>
          <bgColor rgb="FF66FFFF"/>
        </patternFill>
      </fill>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FF9999"/>
        </patternFill>
      </fill>
    </dxf>
    <dxf>
      <fill>
        <patternFill>
          <bgColor theme="9" tint="0.39994506668294322"/>
        </patternFill>
      </fill>
    </dxf>
    <dxf>
      <fill>
        <patternFill>
          <bgColor rgb="FFFFFF99"/>
        </patternFill>
      </fill>
    </dxf>
    <dxf>
      <fill>
        <patternFill>
          <bgColor rgb="FFFF7C80"/>
        </patternFill>
      </fill>
    </dxf>
    <dxf>
      <fill>
        <patternFill>
          <bgColor rgb="FFCCFFCC"/>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3"/>
        </patternFill>
      </fill>
    </dxf>
    <dxf>
      <fill>
        <patternFill>
          <bgColor rgb="FFCCFFCC"/>
        </patternFill>
      </fill>
    </dxf>
    <dxf>
      <fill>
        <patternFill>
          <bgColor indexed="13"/>
        </patternFill>
      </fill>
    </dxf>
    <dxf>
      <font>
        <condense val="0"/>
        <extend val="0"/>
        <color indexed="9"/>
      </font>
      <fill>
        <patternFill>
          <bgColor indexed="10"/>
        </patternFill>
      </fill>
    </dxf>
    <dxf>
      <font>
        <color theme="0"/>
      </font>
    </dxf>
    <dxf>
      <font>
        <condense val="0"/>
        <extend val="0"/>
        <color indexed="9"/>
      </font>
      <fill>
        <patternFill>
          <bgColor indexed="10"/>
        </patternFill>
      </fill>
    </dxf>
    <dxf>
      <fill>
        <patternFill>
          <bgColor indexed="13"/>
        </patternFill>
      </fill>
    </dxf>
    <dxf>
      <fill>
        <patternFill>
          <bgColor indexed="13"/>
        </patternFill>
      </fill>
    </dxf>
    <dxf>
      <fill>
        <patternFill>
          <bgColor indexed="11"/>
        </patternFill>
      </fill>
    </dxf>
    <dxf>
      <fill>
        <patternFill>
          <bgColor indexed="10"/>
        </patternFill>
      </fill>
    </dxf>
    <dxf>
      <fill>
        <patternFill>
          <bgColor indexed="13"/>
        </patternFill>
      </fill>
    </dxf>
    <dxf>
      <font>
        <color theme="0"/>
      </font>
    </dxf>
    <dxf>
      <fill>
        <patternFill>
          <bgColor rgb="FFCCFFCC"/>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ont>
        <color theme="0"/>
      </font>
    </dxf>
    <dxf>
      <font>
        <condense val="0"/>
        <extend val="0"/>
        <color indexed="9"/>
      </font>
      <fill>
        <patternFill>
          <bgColor indexed="10"/>
        </patternFill>
      </fill>
    </dxf>
    <dxf>
      <fill>
        <patternFill>
          <bgColor rgb="FFCCFFCC"/>
        </patternFill>
      </fill>
    </dxf>
    <dxf>
      <font>
        <color theme="0"/>
      </font>
    </dxf>
    <dxf>
      <fill>
        <patternFill>
          <bgColor indexed="13"/>
        </patternFill>
      </fill>
    </dxf>
    <dxf>
      <font>
        <color theme="0"/>
      </font>
    </dxf>
    <dxf>
      <font>
        <condense val="0"/>
        <extend val="0"/>
        <color indexed="9"/>
      </font>
      <fill>
        <patternFill>
          <bgColor indexed="10"/>
        </patternFill>
      </fill>
    </dxf>
    <dxf>
      <fill>
        <patternFill>
          <bgColor indexed="13"/>
        </patternFill>
      </fill>
    </dxf>
    <dxf>
      <fill>
        <patternFill>
          <bgColor rgb="FFCCFFCC"/>
        </patternFill>
      </fill>
    </dxf>
    <dxf>
      <fill>
        <patternFill>
          <bgColor indexed="13"/>
        </patternFill>
      </fill>
    </dxf>
    <dxf>
      <font>
        <condense val="0"/>
        <extend val="0"/>
        <color indexed="9"/>
      </font>
      <fill>
        <patternFill>
          <bgColor indexed="10"/>
        </patternFill>
      </fill>
    </dxf>
    <dxf>
      <font>
        <color theme="0"/>
      </font>
    </dxf>
    <dxf>
      <fill>
        <patternFill>
          <bgColor rgb="FFFFC000"/>
        </patternFill>
      </fill>
    </dxf>
    <dxf>
      <font>
        <color theme="0"/>
      </font>
      <fill>
        <patternFill>
          <bgColor rgb="FFFF0000"/>
        </patternFill>
      </fill>
    </dxf>
    <dxf>
      <fill>
        <patternFill>
          <bgColor rgb="FFCCFFCC"/>
        </patternFill>
      </fill>
    </dxf>
    <dxf>
      <fill>
        <patternFill>
          <bgColor theme="0"/>
        </patternFill>
      </fill>
    </dxf>
    <dxf>
      <fill>
        <patternFill>
          <bgColor rgb="FFFFFF0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lor theme="0"/>
      </font>
    </dxf>
    <dxf>
      <fill>
        <patternFill>
          <bgColor indexed="13"/>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3"/>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dxf>
    <dxf>
      <font>
        <condense val="0"/>
        <extend val="0"/>
        <color indexed="9"/>
      </font>
      <fill>
        <patternFill>
          <bgColor indexed="10"/>
        </patternFill>
      </fill>
    </dxf>
    <dxf>
      <font>
        <color theme="0"/>
      </font>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ont>
        <color theme="0"/>
      </font>
    </dxf>
    <dxf>
      <fill>
        <patternFill>
          <bgColor indexed="11"/>
        </patternFill>
      </fill>
    </dxf>
    <dxf>
      <fill>
        <patternFill>
          <bgColor indexed="13"/>
        </patternFill>
      </fill>
    </dxf>
    <dxf>
      <fill>
        <patternFill>
          <bgColor indexed="10"/>
        </patternFill>
      </fill>
    </dxf>
    <dxf>
      <fill>
        <patternFill>
          <bgColor indexed="10"/>
        </patternFill>
      </fill>
    </dxf>
    <dxf>
      <fill>
        <patternFill>
          <bgColor rgb="FFCCFFCC"/>
        </patternFill>
      </fill>
    </dxf>
    <dxf>
      <fill>
        <patternFill>
          <bgColor rgb="FFFF7C80"/>
        </patternFill>
      </fill>
    </dxf>
    <dxf>
      <font>
        <color auto="1"/>
      </font>
      <fill>
        <patternFill>
          <bgColor rgb="FFFF7C80"/>
        </patternFill>
      </fill>
    </dxf>
    <dxf>
      <fill>
        <patternFill>
          <bgColor rgb="FF99FF99"/>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1"/>
        </patternFill>
      </fill>
    </dxf>
    <dxf>
      <fill>
        <patternFill>
          <bgColor indexed="44"/>
        </patternFill>
      </fill>
    </dxf>
    <dxf>
      <font>
        <color theme="0"/>
      </font>
      <fill>
        <patternFill>
          <bgColor rgb="FF0070C0"/>
        </patternFill>
      </fill>
    </dxf>
    <dxf>
      <fill>
        <patternFill>
          <bgColor indexed="11"/>
        </patternFill>
      </fill>
    </dxf>
    <dxf>
      <fill>
        <patternFill>
          <bgColor indexed="44"/>
        </patternFill>
      </fill>
    </dxf>
    <dxf>
      <fill>
        <patternFill>
          <bgColor indexed="41"/>
        </patternFill>
      </fill>
    </dxf>
    <dxf>
      <fill>
        <patternFill>
          <bgColor rgb="FF99CCFF"/>
        </patternFill>
      </fill>
    </dxf>
    <dxf>
      <fill>
        <patternFill>
          <bgColor rgb="FF99CCFF"/>
        </patternFill>
      </fill>
    </dxf>
    <dxf>
      <fill>
        <patternFill>
          <bgColor rgb="FFFF5050"/>
        </patternFill>
      </fill>
    </dxf>
    <dxf>
      <fill>
        <patternFill>
          <bgColor rgb="FFFFFF99"/>
        </patternFill>
      </fill>
    </dxf>
    <dxf>
      <fill>
        <patternFill>
          <bgColor rgb="FFCCFFCC"/>
        </patternFill>
      </fill>
    </dxf>
    <dxf>
      <fill>
        <patternFill>
          <bgColor rgb="FFFFFF99"/>
        </patternFill>
      </fill>
    </dxf>
    <dxf>
      <fill>
        <patternFill>
          <bgColor rgb="FFFFFF99"/>
        </patternFill>
      </fill>
    </dxf>
    <dxf>
      <font>
        <color auto="1"/>
      </font>
      <fill>
        <patternFill>
          <bgColor rgb="FFFF9999"/>
        </patternFill>
      </fill>
    </dxf>
    <dxf>
      <font>
        <color auto="1"/>
      </font>
      <fill>
        <patternFill>
          <bgColor rgb="FFCCFF99"/>
        </patternFill>
      </fill>
    </dxf>
    <dxf>
      <fill>
        <patternFill>
          <bgColor rgb="FF99FF99"/>
        </patternFill>
      </fill>
    </dxf>
    <dxf>
      <font>
        <color auto="1"/>
      </font>
      <fill>
        <patternFill>
          <bgColor rgb="FFFF7C80"/>
        </patternFill>
      </fill>
    </dxf>
    <dxf>
      <font>
        <color auto="1"/>
      </font>
      <fill>
        <patternFill>
          <bgColor theme="8" tint="0.39994506668294322"/>
        </patternFill>
      </fill>
    </dxf>
    <dxf>
      <fill>
        <patternFill>
          <bgColor theme="6" tint="0.39994506668294322"/>
        </patternFill>
      </fill>
    </dxf>
    <dxf>
      <font>
        <color auto="1"/>
      </font>
      <fill>
        <patternFill>
          <bgColor rgb="FF92D050"/>
        </patternFill>
      </fill>
    </dxf>
    <dxf>
      <fill>
        <patternFill>
          <bgColor rgb="FF99CCFF"/>
        </patternFill>
      </fill>
    </dxf>
    <dxf>
      <fill>
        <patternFill>
          <bgColor rgb="FFFFFF99"/>
        </patternFill>
      </fill>
    </dxf>
    <dxf>
      <fill>
        <patternFill>
          <bgColor theme="6" tint="0.39994506668294322"/>
        </patternFill>
      </fill>
    </dxf>
    <dxf>
      <font>
        <color auto="1"/>
      </font>
      <fill>
        <patternFill>
          <bgColor rgb="FF92D050"/>
        </patternFill>
      </fill>
    </dxf>
    <dxf>
      <fill>
        <patternFill>
          <bgColor rgb="FFFFFF99"/>
        </patternFill>
      </fill>
    </dxf>
    <dxf>
      <font>
        <color auto="1"/>
      </font>
      <fill>
        <patternFill>
          <bgColor theme="8" tint="0.39994506668294322"/>
        </patternFill>
      </fill>
    </dxf>
    <dxf>
      <fill>
        <patternFill>
          <bgColor rgb="FFFF5050"/>
        </patternFill>
      </fill>
    </dxf>
    <dxf>
      <font>
        <color auto="1"/>
      </font>
      <fill>
        <patternFill>
          <bgColor rgb="FFFF7C80"/>
        </patternFill>
      </fill>
    </dxf>
    <dxf>
      <fill>
        <patternFill>
          <bgColor rgb="FF99FF99"/>
        </patternFill>
      </fill>
    </dxf>
    <dxf>
      <font>
        <color auto="1"/>
      </font>
      <fill>
        <patternFill>
          <bgColor rgb="FFCCFF99"/>
        </patternFill>
      </fill>
    </dxf>
    <dxf>
      <font>
        <color auto="1"/>
      </font>
      <fill>
        <patternFill>
          <bgColor rgb="FFFF9999"/>
        </patternFill>
      </fill>
    </dxf>
    <dxf>
      <fill>
        <patternFill>
          <bgColor rgb="FFFFFF99"/>
        </patternFill>
      </fill>
    </dxf>
    <dxf>
      <fill>
        <patternFill>
          <bgColor rgb="FFCCFFCC"/>
        </patternFill>
      </fill>
    </dxf>
    <dxf>
      <fill>
        <patternFill>
          <bgColor rgb="FFCCFFCC"/>
        </patternFill>
      </fill>
    </dxf>
    <dxf>
      <fill>
        <patternFill>
          <bgColor rgb="FFFFFFCC"/>
        </patternFill>
      </fill>
    </dxf>
    <dxf>
      <fill>
        <patternFill>
          <bgColor indexed="42"/>
        </patternFill>
      </fill>
    </dxf>
    <dxf>
      <fill>
        <patternFill>
          <bgColor indexed="44"/>
        </patternFill>
      </fill>
    </dxf>
    <dxf>
      <fill>
        <patternFill>
          <bgColor indexed="29"/>
        </patternFill>
      </fill>
    </dxf>
    <dxf>
      <fill>
        <patternFill>
          <bgColor rgb="FFFF7C80"/>
        </patternFill>
      </fill>
    </dxf>
    <dxf>
      <fill>
        <patternFill>
          <bgColor rgb="FFCCFFCC"/>
        </patternFill>
      </fill>
    </dxf>
    <dxf>
      <fill>
        <patternFill>
          <bgColor indexed="44"/>
        </patternFill>
      </fill>
    </dxf>
    <dxf>
      <fill>
        <patternFill>
          <bgColor indexed="42"/>
        </patternFill>
      </fill>
    </dxf>
    <dxf>
      <fill>
        <patternFill>
          <bgColor indexed="29"/>
        </patternFill>
      </fill>
    </dxf>
    <dxf>
      <font>
        <color auto="1"/>
      </font>
      <fill>
        <patternFill>
          <bgColor rgb="FFFF7C80"/>
        </patternFill>
      </fill>
    </dxf>
    <dxf>
      <fill>
        <patternFill>
          <bgColor rgb="FF99FF99"/>
        </patternFill>
      </fill>
    </dxf>
    <dxf>
      <fill>
        <patternFill>
          <bgColor indexed="44"/>
        </patternFill>
      </fill>
    </dxf>
    <dxf>
      <fill>
        <patternFill>
          <bgColor indexed="11"/>
        </patternFill>
      </fill>
    </dxf>
    <dxf>
      <fill>
        <patternFill>
          <bgColor indexed="41"/>
        </patternFill>
      </fill>
    </dxf>
    <dxf>
      <fill>
        <patternFill>
          <bgColor indexed="41"/>
        </patternFill>
      </fill>
    </dxf>
    <dxf>
      <fill>
        <patternFill>
          <bgColor indexed="44"/>
        </patternFill>
      </fill>
    </dxf>
    <dxf>
      <fill>
        <patternFill>
          <bgColor indexed="11"/>
        </patternFill>
      </fill>
    </dxf>
    <dxf>
      <fill>
        <patternFill>
          <bgColor indexed="44"/>
        </patternFill>
      </fill>
    </dxf>
    <dxf>
      <fill>
        <patternFill>
          <bgColor indexed="11"/>
        </patternFill>
      </fill>
    </dxf>
    <dxf>
      <fill>
        <patternFill>
          <bgColor indexed="41"/>
        </patternFill>
      </fill>
    </dxf>
    <dxf>
      <fill>
        <patternFill>
          <bgColor indexed="29"/>
        </patternFill>
      </fill>
    </dxf>
    <dxf>
      <fill>
        <patternFill>
          <bgColor indexed="42"/>
        </patternFill>
      </fill>
    </dxf>
    <dxf>
      <fill>
        <patternFill>
          <bgColor indexed="44"/>
        </patternFill>
      </fill>
    </dxf>
    <dxf>
      <font>
        <color auto="1"/>
      </font>
      <fill>
        <patternFill>
          <bgColor rgb="FFFF7C80"/>
        </patternFill>
      </fill>
    </dxf>
    <dxf>
      <fill>
        <patternFill>
          <bgColor rgb="FF99FF99"/>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1"/>
        </patternFill>
      </fill>
    </dxf>
    <dxf>
      <fill>
        <patternFill>
          <bgColor indexed="44"/>
        </patternFill>
      </fill>
    </dxf>
    <dxf>
      <fill>
        <patternFill>
          <bgColor indexed="44"/>
        </patternFill>
      </fill>
    </dxf>
    <dxf>
      <fill>
        <patternFill>
          <bgColor indexed="11"/>
        </patternFill>
      </fill>
    </dxf>
    <dxf>
      <fill>
        <patternFill>
          <bgColor indexed="41"/>
        </patternFill>
      </fill>
    </dxf>
    <dxf>
      <fill>
        <patternFill>
          <bgColor indexed="44"/>
        </patternFill>
      </fill>
    </dxf>
    <dxf>
      <fill>
        <patternFill>
          <bgColor indexed="11"/>
        </patternFill>
      </fill>
    </dxf>
    <dxf>
      <fill>
        <patternFill>
          <bgColor indexed="41"/>
        </patternFill>
      </fill>
    </dxf>
    <dxf>
      <fill>
        <patternFill>
          <bgColor indexed="41"/>
        </patternFill>
      </fill>
    </dxf>
    <dxf>
      <fill>
        <patternFill>
          <bgColor indexed="11"/>
        </patternFill>
      </fill>
    </dxf>
    <dxf>
      <fill>
        <patternFill>
          <bgColor indexed="44"/>
        </patternFill>
      </fill>
    </dxf>
    <dxf>
      <fill>
        <patternFill>
          <bgColor indexed="44"/>
        </patternFill>
      </fill>
    </dxf>
    <dxf>
      <fill>
        <patternFill>
          <bgColor indexed="11"/>
        </patternFill>
      </fill>
    </dxf>
    <dxf>
      <fill>
        <patternFill>
          <bgColor indexed="41"/>
        </patternFill>
      </fill>
    </dxf>
    <dxf>
      <fill>
        <patternFill>
          <bgColor indexed="44"/>
        </patternFill>
      </fill>
    </dxf>
    <dxf>
      <fill>
        <patternFill>
          <bgColor indexed="11"/>
        </patternFill>
      </fill>
    </dxf>
    <dxf>
      <fill>
        <patternFill>
          <bgColor indexed="41"/>
        </patternFill>
      </fill>
    </dxf>
    <dxf>
      <fill>
        <patternFill>
          <bgColor rgb="FF99FF99"/>
        </patternFill>
      </fill>
    </dxf>
    <dxf>
      <font>
        <color auto="1"/>
      </font>
      <fill>
        <patternFill>
          <bgColor rgb="FFFF7C80"/>
        </patternFill>
      </fill>
    </dxf>
    <dxf>
      <fill>
        <patternFill>
          <bgColor indexed="41"/>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4"/>
        </patternFill>
      </fill>
    </dxf>
    <dxf>
      <fill>
        <patternFill>
          <bgColor indexed="42"/>
        </patternFill>
      </fill>
    </dxf>
    <dxf>
      <font>
        <condense val="0"/>
        <extend val="0"/>
        <color auto="1"/>
      </font>
      <fill>
        <patternFill>
          <bgColor indexed="51"/>
        </patternFill>
      </fill>
    </dxf>
    <dxf>
      <font>
        <condense val="0"/>
        <extend val="0"/>
        <color indexed="9"/>
      </font>
      <fill>
        <patternFill>
          <bgColor indexed="10"/>
        </patternFill>
      </fill>
    </dxf>
    <dxf>
      <fill>
        <patternFill>
          <bgColor rgb="FFFFFF00"/>
        </patternFill>
      </fill>
    </dxf>
    <dxf>
      <fill>
        <patternFill>
          <bgColor rgb="FF92D050"/>
        </patternFill>
      </fill>
    </dxf>
    <dxf>
      <fill>
        <patternFill>
          <bgColor rgb="FFFFC000"/>
        </patternFill>
      </fill>
    </dxf>
    <dxf>
      <fill>
        <patternFill>
          <bgColor rgb="FF0070C0"/>
        </patternFill>
      </fill>
    </dxf>
    <dxf>
      <fill>
        <patternFill>
          <bgColor rgb="FF00B0F0"/>
        </patternFill>
      </fill>
    </dxf>
    <dxf>
      <fill>
        <patternFill>
          <bgColor rgb="FFFF0000"/>
        </patternFill>
      </fill>
    </dxf>
    <dxf>
      <fill>
        <patternFill>
          <bgColor rgb="FFFFC000"/>
        </patternFill>
      </fill>
    </dxf>
    <dxf>
      <fill>
        <patternFill>
          <bgColor rgb="FF0070C0"/>
        </patternFill>
      </fill>
    </dxf>
    <dxf>
      <fill>
        <patternFill>
          <bgColor rgb="FF00B0F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CCCCFF"/>
        </patternFill>
      </fill>
    </dxf>
    <dxf>
      <fill>
        <patternFill>
          <bgColor indexed="13"/>
        </patternFill>
      </fill>
    </dxf>
    <dxf>
      <fill>
        <patternFill>
          <bgColor indexed="31"/>
        </patternFill>
      </fill>
    </dxf>
    <dxf>
      <fill>
        <patternFill>
          <bgColor indexed="13"/>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ont>
        <color theme="1"/>
      </font>
      <fill>
        <patternFill>
          <bgColor rgb="FFFFCC66"/>
        </patternFill>
      </fill>
    </dxf>
    <dxf>
      <font>
        <color theme="1"/>
      </font>
      <fill>
        <patternFill>
          <bgColor rgb="FFFFFF99"/>
        </patternFill>
      </fill>
    </dxf>
    <dxf>
      <font>
        <color theme="1"/>
      </font>
      <fill>
        <patternFill>
          <bgColor rgb="FFCCFF99"/>
        </patternFill>
      </fill>
    </dxf>
    <dxf>
      <font>
        <color theme="1"/>
      </font>
      <fill>
        <patternFill>
          <bgColor rgb="FF99CCFF"/>
        </patternFill>
      </fill>
    </dxf>
    <dxf>
      <font>
        <color theme="1"/>
      </font>
      <fill>
        <patternFill>
          <bgColor rgb="FF00B0F0"/>
        </patternFill>
      </fill>
    </dxf>
    <dxf>
      <font>
        <color theme="1"/>
      </font>
      <fill>
        <patternFill>
          <bgColor rgb="FFFF0000"/>
        </patternFill>
      </fill>
    </dxf>
    <dxf>
      <font>
        <color theme="1"/>
      </font>
      <fill>
        <patternFill>
          <bgColor rgb="FFFF9999"/>
        </patternFill>
      </fill>
    </dxf>
    <dxf>
      <fill>
        <patternFill>
          <bgColor rgb="FFCCFF99"/>
        </patternFill>
      </fill>
    </dxf>
    <dxf>
      <fill>
        <patternFill>
          <bgColor rgb="FF99CCFF"/>
        </patternFill>
      </fill>
    </dxf>
    <dxf>
      <fill>
        <patternFill>
          <bgColor rgb="FFFF0000"/>
        </patternFill>
      </fill>
    </dxf>
    <dxf>
      <fill>
        <patternFill>
          <bgColor rgb="FF00B0F0"/>
        </patternFill>
      </fill>
    </dxf>
    <dxf>
      <fill>
        <patternFill>
          <bgColor rgb="FFFF9999"/>
        </patternFill>
      </fill>
    </dxf>
    <dxf>
      <fill>
        <patternFill>
          <bgColor rgb="FFFFCC66"/>
        </patternFill>
      </fill>
    </dxf>
    <dxf>
      <fill>
        <patternFill>
          <bgColor rgb="FFFFFF99"/>
        </patternFill>
      </fill>
    </dxf>
    <dxf>
      <fill>
        <patternFill>
          <bgColor rgb="FFFF0000"/>
        </patternFill>
      </fill>
    </dxf>
    <dxf>
      <fill>
        <patternFill>
          <bgColor rgb="FF00B0F0"/>
        </patternFill>
      </fill>
    </dxf>
    <dxf>
      <fill>
        <patternFill>
          <bgColor rgb="FFFF9999"/>
        </patternFill>
      </fill>
    </dxf>
    <dxf>
      <fill>
        <patternFill>
          <bgColor rgb="FF99CCFF"/>
        </patternFill>
      </fill>
    </dxf>
    <dxf>
      <fill>
        <patternFill>
          <bgColor rgb="FFCCFF99"/>
        </patternFill>
      </fill>
    </dxf>
    <dxf>
      <fill>
        <patternFill>
          <bgColor rgb="FFFFFF99"/>
        </patternFill>
      </fill>
    </dxf>
    <dxf>
      <fill>
        <patternFill>
          <bgColor rgb="FFFFCC66"/>
        </patternFill>
      </fill>
    </dxf>
    <dxf>
      <font>
        <color theme="1"/>
      </font>
      <fill>
        <patternFill>
          <bgColor rgb="FFFF0000"/>
        </patternFill>
      </fill>
    </dxf>
    <dxf>
      <font>
        <color theme="1"/>
      </font>
      <fill>
        <patternFill>
          <bgColor rgb="FF99CCFF"/>
        </patternFill>
      </fill>
    </dxf>
    <dxf>
      <font>
        <color theme="1"/>
      </font>
      <fill>
        <patternFill>
          <bgColor rgb="FF00B0F0"/>
        </patternFill>
      </fill>
    </dxf>
    <dxf>
      <font>
        <color theme="1"/>
      </font>
      <fill>
        <patternFill>
          <bgColor rgb="FFFF9999"/>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ill>
        <patternFill>
          <bgColor rgb="FFFFCC66"/>
        </patternFill>
      </fill>
    </dxf>
    <dxf>
      <fill>
        <patternFill>
          <bgColor rgb="FF99CCFF"/>
        </patternFill>
      </fill>
    </dxf>
    <dxf>
      <fill>
        <patternFill>
          <bgColor rgb="FF00B0F0"/>
        </patternFill>
      </fill>
    </dxf>
    <dxf>
      <fill>
        <patternFill>
          <bgColor rgb="FFFF0000"/>
        </patternFill>
      </fill>
    </dxf>
    <dxf>
      <fill>
        <patternFill>
          <bgColor rgb="FFFF9999"/>
        </patternFill>
      </fill>
    </dxf>
    <dxf>
      <fill>
        <patternFill>
          <bgColor rgb="FFFFFF99"/>
        </patternFill>
      </fill>
    </dxf>
    <dxf>
      <fill>
        <patternFill>
          <bgColor rgb="FFCCFF99"/>
        </patternFill>
      </fill>
    </dxf>
    <dxf>
      <fill>
        <patternFill>
          <bgColor rgb="FFFF0000"/>
        </patternFill>
      </fill>
    </dxf>
    <dxf>
      <fill>
        <patternFill>
          <bgColor rgb="FFFF9999"/>
        </patternFill>
      </fill>
    </dxf>
    <dxf>
      <fill>
        <patternFill>
          <bgColor rgb="FFFFCC66"/>
        </patternFill>
      </fill>
    </dxf>
    <dxf>
      <fill>
        <patternFill>
          <bgColor rgb="FFCCFF99"/>
        </patternFill>
      </fill>
    </dxf>
    <dxf>
      <fill>
        <patternFill>
          <bgColor rgb="FF99CCFF"/>
        </patternFill>
      </fill>
    </dxf>
    <dxf>
      <fill>
        <patternFill>
          <bgColor rgb="FF00B0F0"/>
        </patternFill>
      </fill>
    </dxf>
    <dxf>
      <fill>
        <patternFill>
          <bgColor rgb="FFFFFF99"/>
        </patternFill>
      </fill>
    </dxf>
    <dxf>
      <font>
        <color theme="1"/>
      </font>
      <fill>
        <patternFill>
          <bgColor rgb="FFFF0000"/>
        </patternFill>
      </fill>
    </dxf>
    <dxf>
      <font>
        <color theme="1"/>
      </font>
      <fill>
        <patternFill>
          <bgColor rgb="FF99CCFF"/>
        </patternFill>
      </fill>
    </dxf>
    <dxf>
      <font>
        <color theme="1"/>
      </font>
      <fill>
        <patternFill>
          <bgColor rgb="FF00B0F0"/>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9999"/>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ill>
        <patternFill>
          <bgColor rgb="FF00B0F0"/>
        </patternFill>
      </fill>
    </dxf>
    <dxf>
      <fill>
        <patternFill>
          <bgColor rgb="FFFFCC66"/>
        </patternFill>
      </fill>
    </dxf>
    <dxf>
      <fill>
        <patternFill>
          <bgColor rgb="FFFF9999"/>
        </patternFill>
      </fill>
    </dxf>
    <dxf>
      <fill>
        <patternFill>
          <bgColor rgb="FFFF0000"/>
        </patternFill>
      </fill>
    </dxf>
    <dxf>
      <fill>
        <patternFill>
          <bgColor rgb="FF00B0F0"/>
        </patternFill>
      </fill>
    </dxf>
    <dxf>
      <fill>
        <patternFill>
          <bgColor rgb="FF99CCFF"/>
        </patternFill>
      </fill>
    </dxf>
    <dxf>
      <fill>
        <patternFill>
          <bgColor rgb="FFCCFF99"/>
        </patternFill>
      </fill>
    </dxf>
    <dxf>
      <fill>
        <patternFill>
          <bgColor rgb="FFFFFF99"/>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0000"/>
        </patternFill>
      </fill>
    </dxf>
    <dxf>
      <font>
        <color theme="1"/>
      </font>
      <fill>
        <patternFill>
          <bgColor rgb="FF00B0F0"/>
        </patternFill>
      </fill>
    </dxf>
    <dxf>
      <font>
        <color theme="1"/>
      </font>
      <fill>
        <patternFill>
          <bgColor rgb="FFFF9999"/>
        </patternFill>
      </fill>
    </dxf>
    <dxf>
      <font>
        <color theme="1"/>
      </font>
      <fill>
        <patternFill>
          <bgColor rgb="FF99CCFF"/>
        </patternFill>
      </fill>
    </dxf>
    <dxf>
      <fill>
        <patternFill>
          <bgColor rgb="FF99CCFF"/>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ont>
        <color theme="1"/>
      </font>
      <fill>
        <patternFill>
          <bgColor rgb="FF00B0F0"/>
        </patternFill>
      </fill>
    </dxf>
    <dxf>
      <font>
        <color theme="1"/>
      </font>
      <fill>
        <patternFill>
          <bgColor rgb="FF99CCFF"/>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9999"/>
        </patternFill>
      </fill>
    </dxf>
    <dxf>
      <font>
        <color theme="1"/>
      </font>
      <fill>
        <patternFill>
          <bgColor rgb="FFFF0000"/>
        </patternFill>
      </fill>
    </dxf>
    <dxf>
      <fill>
        <patternFill>
          <bgColor rgb="FFFF0000"/>
        </patternFill>
      </fill>
    </dxf>
    <dxf>
      <fill>
        <patternFill>
          <bgColor rgb="FFFFFF99"/>
        </patternFill>
      </fill>
    </dxf>
    <dxf>
      <fill>
        <patternFill>
          <bgColor rgb="FFCCFF99"/>
        </patternFill>
      </fill>
    </dxf>
    <dxf>
      <fill>
        <patternFill>
          <bgColor rgb="FF99CCFF"/>
        </patternFill>
      </fill>
    </dxf>
    <dxf>
      <fill>
        <patternFill>
          <bgColor rgb="FF00B0F0"/>
        </patternFill>
      </fill>
    </dxf>
    <dxf>
      <fill>
        <patternFill>
          <bgColor rgb="FFFFCC66"/>
        </patternFill>
      </fill>
    </dxf>
    <dxf>
      <fill>
        <patternFill>
          <bgColor rgb="FFFF9999"/>
        </patternFill>
      </fill>
    </dxf>
    <dxf>
      <font>
        <color theme="1"/>
      </font>
      <fill>
        <patternFill>
          <bgColor rgb="FFFF9999"/>
        </patternFill>
      </fill>
    </dxf>
    <dxf>
      <font>
        <color theme="1"/>
      </font>
      <fill>
        <patternFill>
          <bgColor rgb="FF00B0F0"/>
        </patternFill>
      </fill>
    </dxf>
    <dxf>
      <font>
        <color theme="1"/>
      </font>
      <fill>
        <patternFill>
          <bgColor rgb="FF99CCFF"/>
        </patternFill>
      </fill>
    </dxf>
    <dxf>
      <font>
        <color theme="1"/>
      </font>
      <fill>
        <patternFill>
          <bgColor rgb="FFFF0000"/>
        </patternFill>
      </fill>
    </dxf>
    <dxf>
      <font>
        <color theme="1"/>
      </font>
      <fill>
        <patternFill>
          <bgColor rgb="FFFFCC66"/>
        </patternFill>
      </fill>
    </dxf>
    <dxf>
      <font>
        <color theme="1"/>
      </font>
      <fill>
        <patternFill>
          <bgColor rgb="FFFFFF99"/>
        </patternFill>
      </fill>
    </dxf>
    <dxf>
      <font>
        <color theme="1"/>
      </font>
      <fill>
        <patternFill>
          <bgColor rgb="FFCCFF99"/>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44"/>
        </patternFill>
      </fill>
    </dxf>
    <dxf>
      <fill>
        <patternFill>
          <bgColor indexed="42"/>
        </patternFill>
      </fill>
    </dxf>
    <dxf>
      <fill>
        <patternFill>
          <bgColor indexed="29"/>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rgb="FFFFFF99"/>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ont>
        <color theme="1"/>
      </font>
    </dxf>
    <dxf>
      <font>
        <color theme="1"/>
      </font>
    </dxf>
    <dxf>
      <font>
        <color theme="1"/>
      </font>
    </dxf>
    <dxf>
      <font>
        <color theme="1"/>
      </font>
    </dxf>
    <dxf>
      <fill>
        <patternFill>
          <bgColor rgb="FF99CCFF"/>
        </patternFill>
      </fill>
    </dxf>
    <dxf>
      <fill>
        <patternFill>
          <bgColor rgb="FFFFCC66"/>
        </patternFill>
      </fill>
    </dxf>
    <dxf>
      <fill>
        <patternFill>
          <bgColor theme="0"/>
        </patternFill>
      </fill>
    </dxf>
    <dxf>
      <fill>
        <patternFill>
          <bgColor indexed="42"/>
        </patternFill>
      </fill>
    </dxf>
    <dxf>
      <fill>
        <patternFill>
          <bgColor indexed="44"/>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99CCFF"/>
        </patternFill>
      </fill>
    </dxf>
    <dxf>
      <fill>
        <patternFill>
          <bgColor rgb="FFFFFF99"/>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FF99"/>
        </patternFill>
      </fill>
    </dxf>
    <dxf>
      <fill>
        <patternFill>
          <bgColor rgb="FFFF7C80"/>
        </patternFill>
      </fill>
    </dxf>
    <dxf>
      <fill>
        <patternFill>
          <bgColor rgb="FFFFCC66"/>
        </patternFill>
      </fill>
    </dxf>
    <dxf>
      <fill>
        <patternFill>
          <bgColor rgb="FFCCFFCC"/>
        </patternFill>
      </fill>
    </dxf>
    <dxf>
      <fill>
        <patternFill>
          <bgColor rgb="FF99CCFF"/>
        </patternFill>
      </fill>
    </dxf>
    <dxf>
      <fill>
        <patternFill>
          <bgColor rgb="FFFFFF66"/>
        </patternFill>
      </fill>
    </dxf>
    <dxf>
      <font>
        <condense val="0"/>
        <extend val="0"/>
        <color auto="1"/>
      </font>
      <fill>
        <patternFill>
          <bgColor indexed="26"/>
        </patternFill>
      </fill>
    </dxf>
    <dxf>
      <font>
        <condense val="0"/>
        <extend val="0"/>
        <color auto="1"/>
      </font>
      <fill>
        <patternFill>
          <bgColor indexed="44"/>
        </patternFill>
      </fill>
    </dxf>
    <dxf>
      <font>
        <color theme="1"/>
      </font>
    </dxf>
    <dxf>
      <fill>
        <patternFill>
          <bgColor rgb="FF99CCFF"/>
        </patternFill>
      </fill>
    </dxf>
    <dxf>
      <fill>
        <patternFill>
          <bgColor rgb="FFFFCC66"/>
        </patternFill>
      </fill>
    </dxf>
    <dxf>
      <fill>
        <patternFill>
          <bgColor theme="0"/>
        </patternFill>
      </fill>
    </dxf>
    <dxf>
      <fill>
        <patternFill>
          <bgColor indexed="42"/>
        </patternFill>
      </fill>
    </dxf>
    <dxf>
      <fill>
        <patternFill>
          <bgColor indexed="44"/>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99CCFF"/>
        </patternFill>
      </fill>
    </dxf>
    <dxf>
      <fill>
        <patternFill>
          <bgColor rgb="FFFFFF99"/>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FF99"/>
        </patternFill>
      </fill>
    </dxf>
    <dxf>
      <fill>
        <patternFill>
          <bgColor rgb="FFFF7C80"/>
        </patternFill>
      </fill>
    </dxf>
    <dxf>
      <fill>
        <patternFill>
          <bgColor rgb="FFFFCC66"/>
        </patternFill>
      </fill>
    </dxf>
    <dxf>
      <fill>
        <patternFill>
          <bgColor rgb="FFCCFFCC"/>
        </patternFill>
      </fill>
    </dxf>
    <dxf>
      <fill>
        <patternFill>
          <bgColor rgb="FF99CCFF"/>
        </patternFill>
      </fill>
    </dxf>
    <dxf>
      <fill>
        <patternFill>
          <bgColor rgb="FFFFFF66"/>
        </patternFill>
      </fill>
    </dxf>
    <dxf>
      <font>
        <condense val="0"/>
        <extend val="0"/>
        <color auto="1"/>
      </font>
      <fill>
        <patternFill>
          <bgColor indexed="26"/>
        </patternFill>
      </fill>
    </dxf>
    <dxf>
      <font>
        <condense val="0"/>
        <extend val="0"/>
        <color auto="1"/>
      </font>
      <fill>
        <patternFill>
          <bgColor indexed="44"/>
        </patternFill>
      </fill>
    </dxf>
    <dxf>
      <font>
        <color theme="1"/>
      </font>
    </dxf>
    <dxf>
      <fill>
        <patternFill>
          <bgColor theme="0"/>
        </patternFill>
      </fill>
    </dxf>
    <dxf>
      <fill>
        <patternFill>
          <bgColor rgb="FF99CCFF"/>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FFFF99"/>
        </patternFill>
      </fill>
    </dxf>
    <dxf>
      <fill>
        <patternFill>
          <bgColor rgb="FF99CCFF"/>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CC66"/>
        </patternFill>
      </fill>
    </dxf>
    <dxf>
      <fill>
        <patternFill>
          <bgColor rgb="FFCCFFCC"/>
        </patternFill>
      </fill>
    </dxf>
    <dxf>
      <fill>
        <patternFill>
          <bgColor rgb="FF99CCFF"/>
        </patternFill>
      </fill>
    </dxf>
    <dxf>
      <fill>
        <patternFill>
          <bgColor rgb="FFFFFF99"/>
        </patternFill>
      </fill>
    </dxf>
    <dxf>
      <fill>
        <patternFill>
          <bgColor rgb="FFFFFF99"/>
        </patternFill>
      </fill>
    </dxf>
    <dxf>
      <fill>
        <patternFill>
          <bgColor rgb="FFFF7C80"/>
        </patternFill>
      </fill>
    </dxf>
    <dxf>
      <font>
        <condense val="0"/>
        <extend val="0"/>
        <color auto="1"/>
      </font>
      <fill>
        <patternFill>
          <bgColor indexed="44"/>
        </patternFill>
      </fill>
    </dxf>
    <dxf>
      <font>
        <condense val="0"/>
        <extend val="0"/>
        <color auto="1"/>
      </font>
      <fill>
        <patternFill>
          <bgColor indexed="26"/>
        </patternFill>
      </fill>
    </dxf>
    <dxf>
      <font>
        <color theme="1"/>
      </font>
    </dxf>
  </dxfs>
  <tableStyles count="0" defaultTableStyle="TableStyleMedium2" defaultPivotStyle="PivotStyleLight16"/>
  <colors>
    <mruColors>
      <color rgb="FFFFFF99"/>
      <color rgb="FFFFCC66"/>
      <color rgb="FF99CCFF"/>
      <color rgb="FFCCFFCC"/>
      <color rgb="FFFFFF66"/>
      <color rgb="FFFF7C80"/>
      <color rgb="FFFFFFCC"/>
      <color rgb="FFCCCCFF"/>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connections" Target="connections.xml"/><Relationship Id="rId68"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powerPivotData" Target="model/item.data"/><Relationship Id="rId5" Type="http://schemas.openxmlformats.org/officeDocument/2006/relationships/worksheet" Target="worksheets/sheet5.xml"/><Relationship Id="rId61" Type="http://schemas.openxmlformats.org/officeDocument/2006/relationships/externalLink" Target="externalLinks/externalLink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5.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6.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1.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52.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5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5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57.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58.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61.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63.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64.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66.xml.rels><?xml version="1.0" encoding="UTF-8" standalone="yes"?>
<Relationships xmlns="http://schemas.openxmlformats.org/package/2006/relationships"><Relationship Id="rId1" Type="http://schemas.openxmlformats.org/officeDocument/2006/relationships/image" Target="../media/image38.jpeg"/></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4"/>
          <c:spPr>
            <a:solidFill>
              <a:schemeClr val="accent5"/>
            </a:solidFill>
            <a:ln>
              <a:noFill/>
            </a:ln>
            <a:effectLst/>
          </c:spPr>
          <c:invertIfNegative val="0"/>
          <c:dPt>
            <c:idx val="0"/>
            <c:invertIfNegative val="0"/>
            <c:bubble3D val="0"/>
            <c:spPr>
              <a:solidFill>
                <a:srgbClr val="CCFFCC"/>
              </a:solidFill>
              <a:ln>
                <a:noFill/>
              </a:ln>
              <a:effectLst/>
            </c:spPr>
            <c:extLst>
              <c:ext xmlns:c16="http://schemas.microsoft.com/office/drawing/2014/chart" uri="{C3380CC4-5D6E-409C-BE32-E72D297353CC}">
                <c16:uniqueId val="{0000001E-54E3-4E6B-828C-D1873F293531}"/>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Referentieniveau!$E$8</c:f>
              <c:numCache>
                <c:formatCode>0%</c:formatCode>
                <c:ptCount val="1"/>
                <c:pt idx="0">
                  <c:v>1</c:v>
                </c:pt>
              </c:numCache>
            </c:numRef>
          </c:val>
          <c:extLst>
            <c:ext xmlns:c16="http://schemas.microsoft.com/office/drawing/2014/chart" uri="{C3380CC4-5D6E-409C-BE32-E72D297353CC}">
              <c16:uniqueId val="{00000005-54E3-4E6B-828C-D1873F293531}"/>
            </c:ext>
          </c:extLst>
        </c:ser>
        <c:ser>
          <c:idx val="5"/>
          <c:order val="5"/>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Referentieniveau!$E$9</c:f>
              <c:numCache>
                <c:formatCode>0%</c:formatCode>
                <c:ptCount val="1"/>
                <c:pt idx="0">
                  <c:v>1</c:v>
                </c:pt>
              </c:numCache>
            </c:numRef>
          </c:val>
          <c:extLst>
            <c:ext xmlns:c16="http://schemas.microsoft.com/office/drawing/2014/chart" uri="{C3380CC4-5D6E-409C-BE32-E72D297353CC}">
              <c16:uniqueId val="{00000006-54E3-4E6B-828C-D1873F293531}"/>
            </c:ext>
          </c:extLst>
        </c:ser>
        <c:ser>
          <c:idx val="6"/>
          <c:order val="6"/>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Referentieniveau!$E$10</c:f>
              <c:numCache>
                <c:formatCode>0%</c:formatCode>
                <c:ptCount val="1"/>
                <c:pt idx="0">
                  <c:v>0</c:v>
                </c:pt>
              </c:numCache>
            </c:numRef>
          </c:val>
          <c:extLst>
            <c:ext xmlns:c16="http://schemas.microsoft.com/office/drawing/2014/chart" uri="{C3380CC4-5D6E-409C-BE32-E72D297353CC}">
              <c16:uniqueId val="{00000007-54E3-4E6B-828C-D1873F293531}"/>
            </c:ext>
          </c:extLst>
        </c:ser>
        <c:ser>
          <c:idx val="7"/>
          <c:order val="7"/>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Referentieniveau!$E$11</c:f>
              <c:numCache>
                <c:formatCode>0%</c:formatCode>
                <c:ptCount val="1"/>
                <c:pt idx="0">
                  <c:v>0</c:v>
                </c:pt>
              </c:numCache>
            </c:numRef>
          </c:val>
          <c:extLst>
            <c:ext xmlns:c16="http://schemas.microsoft.com/office/drawing/2014/chart" uri="{C3380CC4-5D6E-409C-BE32-E72D297353CC}">
              <c16:uniqueId val="{00000008-54E3-4E6B-828C-D1873F293531}"/>
            </c:ext>
          </c:extLst>
        </c:ser>
        <c:ser>
          <c:idx val="8"/>
          <c:order val="8"/>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Referentieniveau!$E$13</c:f>
              <c:numCache>
                <c:formatCode>0%</c:formatCode>
                <c:ptCount val="1"/>
                <c:pt idx="0">
                  <c:v>0.875</c:v>
                </c:pt>
              </c:numCache>
            </c:numRef>
          </c:val>
          <c:extLst>
            <c:ext xmlns:c16="http://schemas.microsoft.com/office/drawing/2014/chart" uri="{C3380CC4-5D6E-409C-BE32-E72D297353CC}">
              <c16:uniqueId val="{00000009-54E3-4E6B-828C-D1873F293531}"/>
            </c:ext>
          </c:extLst>
        </c:ser>
        <c:ser>
          <c:idx val="9"/>
          <c:order val="9"/>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Referentieniveau!$E$14</c:f>
              <c:numCache>
                <c:formatCode>0%</c:formatCode>
                <c:ptCount val="1"/>
                <c:pt idx="0">
                  <c:v>0.75</c:v>
                </c:pt>
              </c:numCache>
            </c:numRef>
          </c:val>
          <c:extLst>
            <c:ext xmlns:c16="http://schemas.microsoft.com/office/drawing/2014/chart" uri="{C3380CC4-5D6E-409C-BE32-E72D297353CC}">
              <c16:uniqueId val="{0000000A-54E3-4E6B-828C-D1873F293531}"/>
            </c:ext>
          </c:extLst>
        </c:ser>
        <c:ser>
          <c:idx val="10"/>
          <c:order val="10"/>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Referentieniveau!$E$15</c:f>
              <c:numCache>
                <c:formatCode>0%</c:formatCode>
                <c:ptCount val="1"/>
                <c:pt idx="0">
                  <c:v>0</c:v>
                </c:pt>
              </c:numCache>
            </c:numRef>
          </c:val>
          <c:extLst>
            <c:ext xmlns:c16="http://schemas.microsoft.com/office/drawing/2014/chart" uri="{C3380CC4-5D6E-409C-BE32-E72D297353CC}">
              <c16:uniqueId val="{0000000B-54E3-4E6B-828C-D1873F293531}"/>
            </c:ext>
          </c:extLst>
        </c:ser>
        <c:ser>
          <c:idx val="11"/>
          <c:order val="11"/>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Referentieniveau!$E$16</c:f>
              <c:numCache>
                <c:formatCode>0%</c:formatCode>
                <c:ptCount val="1"/>
                <c:pt idx="0">
                  <c:v>0</c:v>
                </c:pt>
              </c:numCache>
            </c:numRef>
          </c:val>
          <c:extLst>
            <c:ext xmlns:c16="http://schemas.microsoft.com/office/drawing/2014/chart" uri="{C3380CC4-5D6E-409C-BE32-E72D297353CC}">
              <c16:uniqueId val="{0000000C-54E3-4E6B-828C-D1873F293531}"/>
            </c:ext>
          </c:extLst>
        </c:ser>
        <c:ser>
          <c:idx val="12"/>
          <c:order val="12"/>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Referentieniveau!$E$18</c:f>
              <c:numCache>
                <c:formatCode>0%</c:formatCode>
                <c:ptCount val="1"/>
                <c:pt idx="0">
                  <c:v>1</c:v>
                </c:pt>
              </c:numCache>
            </c:numRef>
          </c:val>
          <c:extLst>
            <c:ext xmlns:c16="http://schemas.microsoft.com/office/drawing/2014/chart" uri="{C3380CC4-5D6E-409C-BE32-E72D297353CC}">
              <c16:uniqueId val="{0000000D-54E3-4E6B-828C-D1873F293531}"/>
            </c:ext>
          </c:extLst>
        </c:ser>
        <c:ser>
          <c:idx val="13"/>
          <c:order val="13"/>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Referentieniveau!$E$19</c:f>
              <c:numCache>
                <c:formatCode>0%</c:formatCode>
                <c:ptCount val="1"/>
                <c:pt idx="0">
                  <c:v>1</c:v>
                </c:pt>
              </c:numCache>
            </c:numRef>
          </c:val>
          <c:extLst>
            <c:ext xmlns:c16="http://schemas.microsoft.com/office/drawing/2014/chart" uri="{C3380CC4-5D6E-409C-BE32-E72D297353CC}">
              <c16:uniqueId val="{0000000E-54E3-4E6B-828C-D1873F293531}"/>
            </c:ext>
          </c:extLst>
        </c:ser>
        <c:ser>
          <c:idx val="14"/>
          <c:order val="14"/>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Referentieniveau!$E$20</c:f>
              <c:numCache>
                <c:formatCode>0%</c:formatCode>
                <c:ptCount val="1"/>
                <c:pt idx="0">
                  <c:v>0</c:v>
                </c:pt>
              </c:numCache>
            </c:numRef>
          </c:val>
          <c:extLst>
            <c:ext xmlns:c16="http://schemas.microsoft.com/office/drawing/2014/chart" uri="{C3380CC4-5D6E-409C-BE32-E72D297353CC}">
              <c16:uniqueId val="{0000000F-54E3-4E6B-828C-D1873F293531}"/>
            </c:ext>
          </c:extLst>
        </c:ser>
        <c:ser>
          <c:idx val="15"/>
          <c:order val="15"/>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Referentieniveau!$E$21</c:f>
              <c:numCache>
                <c:formatCode>0%</c:formatCode>
                <c:ptCount val="1"/>
                <c:pt idx="0">
                  <c:v>0</c:v>
                </c:pt>
              </c:numCache>
            </c:numRef>
          </c:val>
          <c:extLst>
            <c:ext xmlns:c16="http://schemas.microsoft.com/office/drawing/2014/chart" uri="{C3380CC4-5D6E-409C-BE32-E72D297353CC}">
              <c16:uniqueId val="{00000010-54E3-4E6B-828C-D1873F293531}"/>
            </c:ext>
          </c:extLst>
        </c:ser>
        <c:ser>
          <c:idx val="16"/>
          <c:order val="16"/>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Referentieniveau!$E$23</c:f>
              <c:numCache>
                <c:formatCode>0%</c:formatCode>
                <c:ptCount val="1"/>
                <c:pt idx="0">
                  <c:v>0.875</c:v>
                </c:pt>
              </c:numCache>
            </c:numRef>
          </c:val>
          <c:extLst>
            <c:ext xmlns:c16="http://schemas.microsoft.com/office/drawing/2014/chart" uri="{C3380CC4-5D6E-409C-BE32-E72D297353CC}">
              <c16:uniqueId val="{00000011-54E3-4E6B-828C-D1873F293531}"/>
            </c:ext>
          </c:extLst>
        </c:ser>
        <c:ser>
          <c:idx val="17"/>
          <c:order val="17"/>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Referentieniveau!$E$24</c:f>
              <c:numCache>
                <c:formatCode>0%</c:formatCode>
                <c:ptCount val="1"/>
                <c:pt idx="0">
                  <c:v>0.875</c:v>
                </c:pt>
              </c:numCache>
            </c:numRef>
          </c:val>
          <c:extLst>
            <c:ext xmlns:c16="http://schemas.microsoft.com/office/drawing/2014/chart" uri="{C3380CC4-5D6E-409C-BE32-E72D297353CC}">
              <c16:uniqueId val="{00000012-54E3-4E6B-828C-D1873F293531}"/>
            </c:ext>
          </c:extLst>
        </c:ser>
        <c:ser>
          <c:idx val="18"/>
          <c:order val="18"/>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Referentieniveau!$E$25</c:f>
              <c:numCache>
                <c:formatCode>0%</c:formatCode>
                <c:ptCount val="1"/>
                <c:pt idx="0">
                  <c:v>0</c:v>
                </c:pt>
              </c:numCache>
            </c:numRef>
          </c:val>
          <c:extLst>
            <c:ext xmlns:c16="http://schemas.microsoft.com/office/drawing/2014/chart" uri="{C3380CC4-5D6E-409C-BE32-E72D297353CC}">
              <c16:uniqueId val="{00000013-54E3-4E6B-828C-D1873F293531}"/>
            </c:ext>
          </c:extLst>
        </c:ser>
        <c:ser>
          <c:idx val="19"/>
          <c:order val="19"/>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Referentieniveau!$E$26</c:f>
              <c:numCache>
                <c:formatCode>0%</c:formatCode>
                <c:ptCount val="1"/>
                <c:pt idx="0">
                  <c:v>0</c:v>
                </c:pt>
              </c:numCache>
            </c:numRef>
          </c:val>
          <c:extLst>
            <c:ext xmlns:c16="http://schemas.microsoft.com/office/drawing/2014/chart" uri="{C3380CC4-5D6E-409C-BE32-E72D297353CC}">
              <c16:uniqueId val="{00000014-54E3-4E6B-828C-D1873F293531}"/>
            </c:ext>
          </c:extLst>
        </c:ser>
        <c:ser>
          <c:idx val="20"/>
          <c:order val="20"/>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Referentieniveau!$E$28</c:f>
              <c:numCache>
                <c:formatCode>0%</c:formatCode>
                <c:ptCount val="1"/>
                <c:pt idx="0">
                  <c:v>1</c:v>
                </c:pt>
              </c:numCache>
            </c:numRef>
          </c:val>
          <c:extLst>
            <c:ext xmlns:c16="http://schemas.microsoft.com/office/drawing/2014/chart" uri="{C3380CC4-5D6E-409C-BE32-E72D297353CC}">
              <c16:uniqueId val="{00000015-54E3-4E6B-828C-D1873F293531}"/>
            </c:ext>
          </c:extLst>
        </c:ser>
        <c:ser>
          <c:idx val="21"/>
          <c:order val="21"/>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Referentieniveau!$E$29</c:f>
              <c:numCache>
                <c:formatCode>0%</c:formatCode>
                <c:ptCount val="1"/>
                <c:pt idx="0">
                  <c:v>1</c:v>
                </c:pt>
              </c:numCache>
            </c:numRef>
          </c:val>
          <c:extLst>
            <c:ext xmlns:c16="http://schemas.microsoft.com/office/drawing/2014/chart" uri="{C3380CC4-5D6E-409C-BE32-E72D297353CC}">
              <c16:uniqueId val="{00000016-54E3-4E6B-828C-D1873F293531}"/>
            </c:ext>
          </c:extLst>
        </c:ser>
        <c:ser>
          <c:idx val="22"/>
          <c:order val="22"/>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Referentieniveau!$E$30</c:f>
              <c:numCache>
                <c:formatCode>0%</c:formatCode>
                <c:ptCount val="1"/>
                <c:pt idx="0">
                  <c:v>0</c:v>
                </c:pt>
              </c:numCache>
            </c:numRef>
          </c:val>
          <c:extLst>
            <c:ext xmlns:c16="http://schemas.microsoft.com/office/drawing/2014/chart" uri="{C3380CC4-5D6E-409C-BE32-E72D297353CC}">
              <c16:uniqueId val="{00000017-54E3-4E6B-828C-D1873F293531}"/>
            </c:ext>
          </c:extLst>
        </c:ser>
        <c:ser>
          <c:idx val="23"/>
          <c:order val="23"/>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Referentieniveau!$E$31</c:f>
              <c:numCache>
                <c:formatCode>0%</c:formatCode>
                <c:ptCount val="1"/>
                <c:pt idx="0">
                  <c:v>0</c:v>
                </c:pt>
              </c:numCache>
            </c:numRef>
          </c:val>
          <c:extLst>
            <c:ext xmlns:c16="http://schemas.microsoft.com/office/drawing/2014/chart" uri="{C3380CC4-5D6E-409C-BE32-E72D297353CC}">
              <c16:uniqueId val="{00000018-54E3-4E6B-828C-D1873F293531}"/>
            </c:ext>
          </c:extLst>
        </c:ser>
        <c:ser>
          <c:idx val="24"/>
          <c:order val="24"/>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Referentieniveau!$E$33</c:f>
              <c:numCache>
                <c:formatCode>0%</c:formatCode>
                <c:ptCount val="1"/>
                <c:pt idx="0">
                  <c:v>0.875</c:v>
                </c:pt>
              </c:numCache>
            </c:numRef>
          </c:val>
          <c:extLst>
            <c:ext xmlns:c16="http://schemas.microsoft.com/office/drawing/2014/chart" uri="{C3380CC4-5D6E-409C-BE32-E72D297353CC}">
              <c16:uniqueId val="{00000019-54E3-4E6B-828C-D1873F293531}"/>
            </c:ext>
          </c:extLst>
        </c:ser>
        <c:ser>
          <c:idx val="25"/>
          <c:order val="25"/>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Referentieniveau!$E$34</c:f>
              <c:numCache>
                <c:formatCode>0%</c:formatCode>
                <c:ptCount val="1"/>
                <c:pt idx="0">
                  <c:v>1</c:v>
                </c:pt>
              </c:numCache>
            </c:numRef>
          </c:val>
          <c:extLst>
            <c:ext xmlns:c16="http://schemas.microsoft.com/office/drawing/2014/chart" uri="{C3380CC4-5D6E-409C-BE32-E72D297353CC}">
              <c16:uniqueId val="{0000001A-54E3-4E6B-828C-D1873F293531}"/>
            </c:ext>
          </c:extLst>
        </c:ser>
        <c:ser>
          <c:idx val="26"/>
          <c:order val="26"/>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Referentieniveau!$E$35</c:f>
              <c:numCache>
                <c:formatCode>0%</c:formatCode>
                <c:ptCount val="1"/>
                <c:pt idx="0">
                  <c:v>0</c:v>
                </c:pt>
              </c:numCache>
            </c:numRef>
          </c:val>
          <c:extLst>
            <c:ext xmlns:c16="http://schemas.microsoft.com/office/drawing/2014/chart" uri="{C3380CC4-5D6E-409C-BE32-E72D297353CC}">
              <c16:uniqueId val="{0000001B-54E3-4E6B-828C-D1873F293531}"/>
            </c:ext>
          </c:extLst>
        </c:ser>
        <c:ser>
          <c:idx val="27"/>
          <c:order val="27"/>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Referentieniveau!$E$36</c:f>
              <c:numCache>
                <c:formatCode>0%</c:formatCode>
                <c:ptCount val="1"/>
                <c:pt idx="0">
                  <c:v>0</c:v>
                </c:pt>
              </c:numCache>
            </c:numRef>
          </c:val>
          <c:extLst>
            <c:ext xmlns:c16="http://schemas.microsoft.com/office/drawing/2014/chart" uri="{C3380CC4-5D6E-409C-BE32-E72D297353CC}">
              <c16:uniqueId val="{0000001C-54E3-4E6B-828C-D1873F293531}"/>
            </c:ext>
          </c:extLst>
        </c:ser>
        <c:dLbls>
          <c:dLblPos val="inEnd"/>
          <c:showLegendKey val="0"/>
          <c:showVal val="1"/>
          <c:showCatName val="0"/>
          <c:showSerName val="0"/>
          <c:showPercent val="0"/>
          <c:showBubbleSize val="0"/>
        </c:dLbls>
        <c:gapWidth val="219"/>
        <c:overlap val="-27"/>
        <c:axId val="804696984"/>
        <c:axId val="804705184"/>
      </c:barChart>
      <c:barChart>
        <c:barDir val="col"/>
        <c:grouping val="clustered"/>
        <c:varyColors val="0"/>
        <c:ser>
          <c:idx val="0"/>
          <c:order val="0"/>
          <c:spPr>
            <a:noFill/>
            <a:ln w="50800">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FF000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c:f>
              <c:numCache>
                <c:formatCode>0%</c:formatCode>
                <c:ptCount val="1"/>
                <c:pt idx="0">
                  <c:v>0.85</c:v>
                </c:pt>
              </c:numCache>
            </c:numRef>
          </c:val>
          <c:extLst>
            <c:ext xmlns:c16="http://schemas.microsoft.com/office/drawing/2014/chart" uri="{C3380CC4-5D6E-409C-BE32-E72D297353CC}">
              <c16:uniqueId val="{00000000-54E3-4E6B-828C-D1873F293531}"/>
            </c:ext>
          </c:extLst>
        </c:ser>
        <c:ser>
          <c:idx val="1"/>
          <c:order val="1"/>
          <c:spPr>
            <a:noFill/>
            <a:ln w="50800">
              <a:solidFill>
                <a:srgbClr val="339966"/>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B05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Referentieniveau!$E$4</c:f>
              <c:numCache>
                <c:formatCode>0%</c:formatCode>
                <c:ptCount val="1"/>
                <c:pt idx="0">
                  <c:v>0.94499999999999995</c:v>
                </c:pt>
              </c:numCache>
            </c:numRef>
          </c:val>
          <c:extLst>
            <c:ext xmlns:c16="http://schemas.microsoft.com/office/drawing/2014/chart" uri="{C3380CC4-5D6E-409C-BE32-E72D297353CC}">
              <c16:uniqueId val="{00000002-54E3-4E6B-828C-D1873F293531}"/>
            </c:ext>
          </c:extLst>
        </c:ser>
        <c:ser>
          <c:idx val="2"/>
          <c:order val="2"/>
          <c:spPr>
            <a:noFill/>
            <a:ln w="50800">
              <a:solidFill>
                <a:srgbClr val="7030A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7030A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Referentieniveau!$E$5</c:f>
              <c:numCache>
                <c:formatCode>0%</c:formatCode>
                <c:ptCount val="1"/>
                <c:pt idx="0">
                  <c:v>0.435</c:v>
                </c:pt>
              </c:numCache>
            </c:numRef>
          </c:val>
          <c:extLst>
            <c:ext xmlns:c16="http://schemas.microsoft.com/office/drawing/2014/chart" uri="{C3380CC4-5D6E-409C-BE32-E72D297353CC}">
              <c16:uniqueId val="{00000003-54E3-4E6B-828C-D1873F293531}"/>
            </c:ext>
          </c:extLst>
        </c:ser>
        <c:ser>
          <c:idx val="3"/>
          <c:order val="3"/>
          <c:spPr>
            <a:noFill/>
            <a:ln w="50800">
              <a:solidFill>
                <a:srgbClr val="00FF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FF0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Referentieniveau!$E$6</c:f>
              <c:numCache>
                <c:formatCode>0%</c:formatCode>
                <c:ptCount val="1"/>
                <c:pt idx="0">
                  <c:v>0.55700000000000005</c:v>
                </c:pt>
              </c:numCache>
            </c:numRef>
          </c:val>
          <c:extLst>
            <c:ext xmlns:c16="http://schemas.microsoft.com/office/drawing/2014/chart" uri="{C3380CC4-5D6E-409C-BE32-E72D297353CC}">
              <c16:uniqueId val="{00000004-54E3-4E6B-828C-D1873F293531}"/>
            </c:ext>
          </c:extLst>
        </c:ser>
        <c:dLbls>
          <c:dLblPos val="inEnd"/>
          <c:showLegendKey val="0"/>
          <c:showVal val="1"/>
          <c:showCatName val="0"/>
          <c:showSerName val="0"/>
          <c:showPercent val="0"/>
          <c:showBubbleSize val="0"/>
        </c:dLbls>
        <c:gapWidth val="0"/>
        <c:overlap val="100"/>
        <c:axId val="710615376"/>
        <c:axId val="710615048"/>
      </c:barChart>
      <c:catAx>
        <c:axId val="804696984"/>
        <c:scaling>
          <c:orientation val="minMax"/>
        </c:scaling>
        <c:delete val="1"/>
        <c:axPos val="b"/>
        <c:majorTickMark val="none"/>
        <c:minorTickMark val="none"/>
        <c:tickLblPos val="nextTo"/>
        <c:crossAx val="804705184"/>
        <c:crosses val="autoZero"/>
        <c:auto val="1"/>
        <c:lblAlgn val="ctr"/>
        <c:lblOffset val="100"/>
        <c:noMultiLvlLbl val="0"/>
      </c:catAx>
      <c:valAx>
        <c:axId val="80470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804696984"/>
        <c:crosses val="autoZero"/>
        <c:crossBetween val="between"/>
        <c:majorUnit val="0.2"/>
      </c:valAx>
      <c:valAx>
        <c:axId val="710615048"/>
        <c:scaling>
          <c:orientation val="minMax"/>
        </c:scaling>
        <c:delete val="1"/>
        <c:axPos val="r"/>
        <c:numFmt formatCode="0%" sourceLinked="1"/>
        <c:majorTickMark val="out"/>
        <c:minorTickMark val="none"/>
        <c:tickLblPos val="nextTo"/>
        <c:crossAx val="710615376"/>
        <c:crosses val="max"/>
        <c:crossBetween val="between"/>
      </c:valAx>
      <c:catAx>
        <c:axId val="710615376"/>
        <c:scaling>
          <c:orientation val="minMax"/>
        </c:scaling>
        <c:delete val="1"/>
        <c:axPos val="b"/>
        <c:majorTickMark val="out"/>
        <c:minorTickMark val="none"/>
        <c:tickLblPos val="nextTo"/>
        <c:crossAx val="710615048"/>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38100"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4185078907985"/>
          <c:y val="1.8166797690271623E-2"/>
          <c:w val="0.71443354063060582"/>
          <c:h val="0.97064342943397097"/>
        </c:manualLayout>
      </c:layout>
      <c:barChart>
        <c:barDir val="col"/>
        <c:grouping val="clustered"/>
        <c:varyColors val="0"/>
        <c:ser>
          <c:idx val="5"/>
          <c:order val="0"/>
          <c:tx>
            <c:v>VWO</c:v>
          </c:tx>
          <c:spPr>
            <a:solidFill>
              <a:srgbClr val="000080"/>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5</c:v>
              </c:pt>
            </c:numLit>
          </c:val>
          <c:extLst>
            <c:ext xmlns:c16="http://schemas.microsoft.com/office/drawing/2014/chart" uri="{C3380CC4-5D6E-409C-BE32-E72D297353CC}">
              <c16:uniqueId val="{00000000-C732-4B58-AA89-3753D37B14CA}"/>
            </c:ext>
          </c:extLst>
        </c:ser>
        <c:ser>
          <c:idx val="4"/>
          <c:order val="1"/>
          <c:tx>
            <c:v>HAVO</c:v>
          </c:tx>
          <c:spPr>
            <a:solidFill>
              <a:srgbClr val="0000FF"/>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4.2</c:v>
              </c:pt>
            </c:numLit>
          </c:val>
          <c:extLst>
            <c:ext xmlns:c16="http://schemas.microsoft.com/office/drawing/2014/chart" uri="{C3380CC4-5D6E-409C-BE32-E72D297353CC}">
              <c16:uniqueId val="{00000001-C732-4B58-AA89-3753D37B14CA}"/>
            </c:ext>
          </c:extLst>
        </c:ser>
        <c:ser>
          <c:idx val="3"/>
          <c:order val="2"/>
          <c:tx>
            <c:v>GTL</c:v>
          </c:tx>
          <c:spPr>
            <a:solidFill>
              <a:srgbClr val="CCFFFF"/>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3.3</c:v>
              </c:pt>
            </c:numLit>
          </c:val>
          <c:extLst>
            <c:ext xmlns:c16="http://schemas.microsoft.com/office/drawing/2014/chart" uri="{C3380CC4-5D6E-409C-BE32-E72D297353CC}">
              <c16:uniqueId val="{00000002-C732-4B58-AA89-3753D37B14CA}"/>
            </c:ext>
          </c:extLst>
        </c:ser>
        <c:ser>
          <c:idx val="2"/>
          <c:order val="3"/>
          <c:tx>
            <c:v>KBL</c:v>
          </c:tx>
          <c:spPr>
            <a:solidFill>
              <a:srgbClr val="CCFFCC"/>
            </a:solidFill>
            <a:ln w="12700">
              <a:solidFill>
                <a:srgbClr val="000000"/>
              </a:solidFill>
              <a:prstDash val="solid"/>
            </a:ln>
          </c:spPr>
          <c:invertIfNegative val="0"/>
          <c:dPt>
            <c:idx val="0"/>
            <c:invertIfNegative val="0"/>
            <c:bubble3D val="0"/>
            <c:spPr>
              <a:solidFill>
                <a:srgbClr val="00FF00"/>
              </a:solidFill>
              <a:ln w="12700">
                <a:solidFill>
                  <a:srgbClr val="000000"/>
                </a:solidFill>
                <a:prstDash val="solid"/>
              </a:ln>
            </c:spPr>
            <c:extLst>
              <c:ext xmlns:c16="http://schemas.microsoft.com/office/drawing/2014/chart" uri="{C3380CC4-5D6E-409C-BE32-E72D297353CC}">
                <c16:uniqueId val="{00000004-C732-4B58-AA89-3753D37B14CA}"/>
              </c:ext>
            </c:extLst>
          </c:dPt>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2.4</c:v>
              </c:pt>
            </c:numLit>
          </c:val>
          <c:extLst>
            <c:ext xmlns:c16="http://schemas.microsoft.com/office/drawing/2014/chart" uri="{C3380CC4-5D6E-409C-BE32-E72D297353CC}">
              <c16:uniqueId val="{00000005-C732-4B58-AA89-3753D37B14CA}"/>
            </c:ext>
          </c:extLst>
        </c:ser>
        <c:ser>
          <c:idx val="1"/>
          <c:order val="4"/>
          <c:tx>
            <c:v>BBL</c:v>
          </c:tx>
          <c:spPr>
            <a:solidFill>
              <a:srgbClr val="FFFF99"/>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1.5</c:v>
              </c:pt>
            </c:numLit>
          </c:val>
          <c:extLst>
            <c:ext xmlns:c16="http://schemas.microsoft.com/office/drawing/2014/chart" uri="{C3380CC4-5D6E-409C-BE32-E72D297353CC}">
              <c16:uniqueId val="{00000006-C732-4B58-AA89-3753D37B14CA}"/>
            </c:ext>
          </c:extLst>
        </c:ser>
        <c:ser>
          <c:idx val="0"/>
          <c:order val="5"/>
          <c:tx>
            <c:v>PRO</c:v>
          </c:tx>
          <c:spPr>
            <a:solidFill>
              <a:srgbClr val="FFFFCC"/>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0.5</c:v>
              </c:pt>
            </c:numLit>
          </c:val>
          <c:extLst>
            <c:ext xmlns:c16="http://schemas.microsoft.com/office/drawing/2014/chart" uri="{C3380CC4-5D6E-409C-BE32-E72D297353CC}">
              <c16:uniqueId val="{00000007-C732-4B58-AA89-3753D37B14CA}"/>
            </c:ext>
          </c:extLst>
        </c:ser>
        <c:dLbls>
          <c:showLegendKey val="0"/>
          <c:showVal val="0"/>
          <c:showCatName val="0"/>
          <c:showSerName val="1"/>
          <c:showPercent val="0"/>
          <c:showBubbleSize val="0"/>
        </c:dLbls>
        <c:gapWidth val="0"/>
        <c:overlap val="100"/>
        <c:axId val="456738632"/>
        <c:axId val="456735888"/>
      </c:barChart>
      <c:catAx>
        <c:axId val="456738632"/>
        <c:scaling>
          <c:orientation val="minMax"/>
        </c:scaling>
        <c:delete val="1"/>
        <c:axPos val="b"/>
        <c:majorTickMark val="out"/>
        <c:minorTickMark val="none"/>
        <c:tickLblPos val="none"/>
        <c:crossAx val="456735888"/>
        <c:crosses val="autoZero"/>
        <c:auto val="1"/>
        <c:lblAlgn val="ctr"/>
        <c:lblOffset val="100"/>
        <c:noMultiLvlLbl val="0"/>
      </c:catAx>
      <c:valAx>
        <c:axId val="456735888"/>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noFill/>
                <a:latin typeface="Arial"/>
                <a:ea typeface="Arial"/>
                <a:cs typeface="Arial"/>
              </a:defRPr>
            </a:pPr>
            <a:endParaRPr lang="nl-NL"/>
          </a:p>
        </c:txPr>
        <c:crossAx val="456738632"/>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21117037544187E-2"/>
          <c:y val="1.615819252168315E-2"/>
          <c:w val="0.788556309785862"/>
          <c:h val="0.96768361495663369"/>
        </c:manualLayout>
      </c:layout>
      <c:barChart>
        <c:barDir val="col"/>
        <c:grouping val="clustered"/>
        <c:varyColors val="0"/>
        <c:ser>
          <c:idx val="0"/>
          <c:order val="0"/>
          <c:tx>
            <c:strRef>
              <c:f>ONTW.PERSPECTIEF!$K$12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317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ONTW.PERSPECTIEF!$K$13</c:f>
              <c:numCache>
                <c:formatCode>0.0</c:formatCode>
                <c:ptCount val="1"/>
                <c:pt idx="0">
                  <c:v>0</c:v>
                </c:pt>
              </c:numCache>
            </c:numRef>
          </c:val>
          <c:extLst>
            <c:ext xmlns:c16="http://schemas.microsoft.com/office/drawing/2014/chart" uri="{C3380CC4-5D6E-409C-BE32-E72D297353CC}">
              <c16:uniqueId val="{00000000-4F9E-4DAC-BF44-FA2537FC4605}"/>
            </c:ext>
          </c:extLst>
        </c:ser>
        <c:ser>
          <c:idx val="1"/>
          <c:order val="1"/>
          <c:tx>
            <c:strRef>
              <c:f>ONTW.PERSPECTIEF!$L$12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ONTW.PERSPECTIEF!$L$13</c:f>
              <c:numCache>
                <c:formatCode>0.0</c:formatCode>
                <c:ptCount val="1"/>
                <c:pt idx="0">
                  <c:v>0</c:v>
                </c:pt>
              </c:numCache>
            </c:numRef>
          </c:val>
          <c:extLst>
            <c:ext xmlns:c16="http://schemas.microsoft.com/office/drawing/2014/chart" uri="{C3380CC4-5D6E-409C-BE32-E72D297353CC}">
              <c16:uniqueId val="{00000001-4F9E-4DAC-BF44-FA2537FC4605}"/>
            </c:ext>
          </c:extLst>
        </c:ser>
        <c:ser>
          <c:idx val="2"/>
          <c:order val="2"/>
          <c:tx>
            <c:strRef>
              <c:f>ONTW.PERSPECTIEF!$M$12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ONTW.PERSPECTIEF!$M$13</c:f>
              <c:numCache>
                <c:formatCode>0.0</c:formatCode>
                <c:ptCount val="1"/>
                <c:pt idx="0">
                  <c:v>0</c:v>
                </c:pt>
              </c:numCache>
            </c:numRef>
          </c:val>
          <c:extLst>
            <c:ext xmlns:c16="http://schemas.microsoft.com/office/drawing/2014/chart" uri="{C3380CC4-5D6E-409C-BE32-E72D297353CC}">
              <c16:uniqueId val="{00000002-4F9E-4DAC-BF44-FA2537FC4605}"/>
            </c:ext>
          </c:extLst>
        </c:ser>
        <c:ser>
          <c:idx val="3"/>
          <c:order val="3"/>
          <c:tx>
            <c:strRef>
              <c:f>ONTW.PERSPECTIEF!$N$12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ONTW.PERSPECTIEF!$N$13</c:f>
              <c:numCache>
                <c:formatCode>0.0</c:formatCode>
                <c:ptCount val="1"/>
                <c:pt idx="0">
                  <c:v>0</c:v>
                </c:pt>
              </c:numCache>
            </c:numRef>
          </c:val>
          <c:extLst>
            <c:ext xmlns:c16="http://schemas.microsoft.com/office/drawing/2014/chart" uri="{C3380CC4-5D6E-409C-BE32-E72D297353CC}">
              <c16:uniqueId val="{00000004-4F9E-4DAC-BF44-FA2537FC4605}"/>
            </c:ext>
          </c:extLst>
        </c:ser>
        <c:ser>
          <c:idx val="4"/>
          <c:order val="4"/>
          <c:tx>
            <c:strRef>
              <c:f>ONTW.PERSPECTIEF!$O$12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ONTW.PERSPECTIEF!$O$13</c:f>
              <c:numCache>
                <c:formatCode>0.0</c:formatCode>
                <c:ptCount val="1"/>
                <c:pt idx="0">
                  <c:v>0</c:v>
                </c:pt>
              </c:numCache>
            </c:numRef>
          </c:val>
          <c:extLst>
            <c:ext xmlns:c16="http://schemas.microsoft.com/office/drawing/2014/chart" uri="{C3380CC4-5D6E-409C-BE32-E72D297353CC}">
              <c16:uniqueId val="{00000006-4F9E-4DAC-BF44-FA2537FC4605}"/>
            </c:ext>
          </c:extLst>
        </c:ser>
        <c:ser>
          <c:idx val="5"/>
          <c:order val="5"/>
          <c:tx>
            <c:strRef>
              <c:f>ONTW.PERSPECTIEF!$P$12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ONTW.PERSPECTIEF!$P$13</c:f>
              <c:numCache>
                <c:formatCode>0.0</c:formatCode>
                <c:ptCount val="1"/>
                <c:pt idx="0">
                  <c:v>0</c:v>
                </c:pt>
              </c:numCache>
            </c:numRef>
          </c:val>
          <c:extLst>
            <c:ext xmlns:c16="http://schemas.microsoft.com/office/drawing/2014/chart" uri="{C3380CC4-5D6E-409C-BE32-E72D297353CC}">
              <c16:uniqueId val="{00000008-4F9E-4DAC-BF44-FA2537FC4605}"/>
            </c:ext>
          </c:extLst>
        </c:ser>
        <c:ser>
          <c:idx val="6"/>
          <c:order val="6"/>
          <c:tx>
            <c:strRef>
              <c:f>ONTW.PERSPECTIEF!$Q$12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ONTW.PERSPECTIEF!$Q$13</c:f>
              <c:numCache>
                <c:formatCode>0.0</c:formatCode>
                <c:ptCount val="1"/>
                <c:pt idx="0">
                  <c:v>0</c:v>
                </c:pt>
              </c:numCache>
            </c:numRef>
          </c:val>
          <c:extLst>
            <c:ext xmlns:c16="http://schemas.microsoft.com/office/drawing/2014/chart" uri="{C3380CC4-5D6E-409C-BE32-E72D297353CC}">
              <c16:uniqueId val="{00000009-4F9E-4DAC-BF44-FA2537FC4605}"/>
            </c:ext>
          </c:extLst>
        </c:ser>
        <c:ser>
          <c:idx val="7"/>
          <c:order val="7"/>
          <c:tx>
            <c:strRef>
              <c:f>ONTW.PERSPECTIEF!$R$12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ONTW.PERSPECTIEF!$R$13</c:f>
              <c:numCache>
                <c:formatCode>0.0</c:formatCode>
                <c:ptCount val="1"/>
                <c:pt idx="0">
                  <c:v>0</c:v>
                </c:pt>
              </c:numCache>
            </c:numRef>
          </c:val>
          <c:extLst>
            <c:ext xmlns:c16="http://schemas.microsoft.com/office/drawing/2014/chart" uri="{C3380CC4-5D6E-409C-BE32-E72D297353CC}">
              <c16:uniqueId val="{0000000A-4F9E-4DAC-BF44-FA2537FC4605}"/>
            </c:ext>
          </c:extLst>
        </c:ser>
        <c:ser>
          <c:idx val="8"/>
          <c:order val="8"/>
          <c:tx>
            <c:strRef>
              <c:f>ONTW.PERSPECTIEF!$S$12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0-F927-4319-A8EE-129AE856BCF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ONTW.PERSPECTIEF!$S$13</c:f>
              <c:numCache>
                <c:formatCode>0.0</c:formatCode>
                <c:ptCount val="1"/>
                <c:pt idx="0">
                  <c:v>0</c:v>
                </c:pt>
              </c:numCache>
            </c:numRef>
          </c:val>
          <c:extLst>
            <c:ext xmlns:c16="http://schemas.microsoft.com/office/drawing/2014/chart" uri="{C3380CC4-5D6E-409C-BE32-E72D297353CC}">
              <c16:uniqueId val="{0000000B-4F9E-4DAC-BF44-FA2537FC4605}"/>
            </c:ext>
          </c:extLst>
        </c:ser>
        <c:ser>
          <c:idx val="9"/>
          <c:order val="9"/>
          <c:tx>
            <c:strRef>
              <c:f>ONTW.PERSPECTIEF!$T$12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ONTW.PERSPECTIEF!$T$13</c:f>
              <c:numCache>
                <c:formatCode>0.0</c:formatCode>
                <c:ptCount val="1"/>
                <c:pt idx="0">
                  <c:v>0</c:v>
                </c:pt>
              </c:numCache>
            </c:numRef>
          </c:val>
          <c:extLst>
            <c:ext xmlns:c16="http://schemas.microsoft.com/office/drawing/2014/chart" uri="{C3380CC4-5D6E-409C-BE32-E72D297353CC}">
              <c16:uniqueId val="{0000000C-4F9E-4DAC-BF44-FA2537FC4605}"/>
            </c:ext>
          </c:extLst>
        </c:ser>
        <c:ser>
          <c:idx val="10"/>
          <c:order val="10"/>
          <c:tx>
            <c:strRef>
              <c:f>ONTW.PERSPECTIEF!$U$12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ONTW.PERSPECTIEF!$U$13</c:f>
              <c:numCache>
                <c:formatCode>0.0</c:formatCode>
                <c:ptCount val="1"/>
                <c:pt idx="0">
                  <c:v>0</c:v>
                </c:pt>
              </c:numCache>
            </c:numRef>
          </c:val>
          <c:extLst>
            <c:ext xmlns:c16="http://schemas.microsoft.com/office/drawing/2014/chart" uri="{C3380CC4-5D6E-409C-BE32-E72D297353CC}">
              <c16:uniqueId val="{0000000D-4F9E-4DAC-BF44-FA2537FC4605}"/>
            </c:ext>
          </c:extLst>
        </c:ser>
        <c:ser>
          <c:idx val="11"/>
          <c:order val="11"/>
          <c:tx>
            <c:strRef>
              <c:f>ONTW.PERSPECTIEF!$V$12</c:f>
              <c:strCache>
                <c:ptCount val="1"/>
                <c:pt idx="0">
                  <c:v>R&amp;W - 2e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ONTW.PERSPECTIEF!$V$13</c:f>
              <c:numCache>
                <c:formatCode>0.0</c:formatCode>
                <c:ptCount val="1"/>
                <c:pt idx="0">
                  <c:v>0</c:v>
                </c:pt>
              </c:numCache>
            </c:numRef>
          </c:val>
          <c:extLst>
            <c:ext xmlns:c16="http://schemas.microsoft.com/office/drawing/2014/chart" uri="{C3380CC4-5D6E-409C-BE32-E72D297353CC}">
              <c16:uniqueId val="{0000000E-4F9E-4DAC-BF44-FA2537FC4605}"/>
            </c:ext>
          </c:extLst>
        </c:ser>
        <c:ser>
          <c:idx val="12"/>
          <c:order val="12"/>
          <c:tx>
            <c:strRef>
              <c:f>ONTW.PERSPECTIEF!$W$12</c:f>
              <c:strCache>
                <c:ptCount val="1"/>
                <c:pt idx="0">
                  <c:v>HR - vorig jaar</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ONTW.PERSPECTIEF!$W$13</c:f>
              <c:numCache>
                <c:formatCode>0.0</c:formatCode>
                <c:ptCount val="1"/>
                <c:pt idx="0">
                  <c:v>0</c:v>
                </c:pt>
              </c:numCache>
            </c:numRef>
          </c:val>
          <c:extLst>
            <c:ext xmlns:c16="http://schemas.microsoft.com/office/drawing/2014/chart" uri="{C3380CC4-5D6E-409C-BE32-E72D297353CC}">
              <c16:uniqueId val="{0000000F-4F9E-4DAC-BF44-FA2537FC4605}"/>
            </c:ext>
          </c:extLst>
        </c:ser>
        <c:ser>
          <c:idx val="13"/>
          <c:order val="13"/>
          <c:tx>
            <c:strRef>
              <c:f>ONTW.PERSPECTIEF!$X$12</c:f>
              <c:strCache>
                <c:ptCount val="1"/>
                <c:pt idx="0">
                  <c:v>HR - 1e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ONTW.PERSPECTIEF!$X$13</c:f>
              <c:numCache>
                <c:formatCode>0.0</c:formatCode>
                <c:ptCount val="1"/>
                <c:pt idx="0">
                  <c:v>0</c:v>
                </c:pt>
              </c:numCache>
            </c:numRef>
          </c:val>
          <c:extLst>
            <c:ext xmlns:c16="http://schemas.microsoft.com/office/drawing/2014/chart" uri="{C3380CC4-5D6E-409C-BE32-E72D297353CC}">
              <c16:uniqueId val="{00000010-4F9E-4DAC-BF44-FA2537FC4605}"/>
            </c:ext>
          </c:extLst>
        </c:ser>
        <c:ser>
          <c:idx val="14"/>
          <c:order val="14"/>
          <c:tx>
            <c:strRef>
              <c:f>ONTW.PERSPECTIEF!$Y$12</c:f>
              <c:strCache>
                <c:ptCount val="1"/>
                <c:pt idx="0">
                  <c:v>HR - 2e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ONTW.PERSPECTIEF!$Y$13</c:f>
              <c:numCache>
                <c:formatCode>0.0</c:formatCode>
                <c:ptCount val="1"/>
                <c:pt idx="0">
                  <c:v>0</c:v>
                </c:pt>
              </c:numCache>
            </c:numRef>
          </c:val>
          <c:extLst>
            <c:ext xmlns:c16="http://schemas.microsoft.com/office/drawing/2014/chart" uri="{C3380CC4-5D6E-409C-BE32-E72D297353CC}">
              <c16:uniqueId val="{00000011-4F9E-4DAC-BF44-FA2537FC4605}"/>
            </c:ext>
          </c:extLst>
        </c:ser>
        <c:dLbls>
          <c:dLblPos val="inEnd"/>
          <c:showLegendKey val="0"/>
          <c:showVal val="1"/>
          <c:showCatName val="0"/>
          <c:showSerName val="0"/>
          <c:showPercent val="0"/>
          <c:showBubbleSize val="0"/>
        </c:dLbls>
        <c:gapWidth val="10"/>
        <c:overlap val="-2"/>
        <c:axId val="456740200"/>
        <c:axId val="456737848"/>
      </c:barChart>
      <c:barChart>
        <c:barDir val="col"/>
        <c:grouping val="clustered"/>
        <c:varyColors val="0"/>
        <c:ser>
          <c:idx val="15"/>
          <c:order val="15"/>
          <c:tx>
            <c:strRef>
              <c:f>ONTW.PERSPECTIEF!$Z$12</c:f>
              <c:strCache>
                <c:ptCount val="1"/>
                <c:pt idx="0">
                  <c:v>gemiddelde-LVS</c:v>
                </c:pt>
              </c:strCache>
            </c:strRef>
          </c:tx>
          <c:spPr>
            <a:noFill/>
            <a:ln w="76200">
              <a:solidFill>
                <a:srgbClr val="002060"/>
              </a:solidFill>
            </a:ln>
            <a:effectLst/>
          </c:spPr>
          <c:invertIfNegative val="0"/>
          <c:dPt>
            <c:idx val="0"/>
            <c:invertIfNegative val="0"/>
            <c:bubble3D val="0"/>
            <c:spPr>
              <a:noFill/>
              <a:ln w="127000">
                <a:solidFill>
                  <a:srgbClr val="002060"/>
                </a:solidFill>
              </a:ln>
              <a:effectLst/>
            </c:spPr>
            <c:extLst>
              <c:ext xmlns:c16="http://schemas.microsoft.com/office/drawing/2014/chart" uri="{C3380CC4-5D6E-409C-BE32-E72D297353CC}">
                <c16:uniqueId val="{00000013-4F9E-4DAC-BF44-FA2537FC4605}"/>
              </c:ext>
            </c:extLst>
          </c:dPt>
          <c:dLbls>
            <c:spPr>
              <a:solidFill>
                <a:srgbClr val="002060"/>
              </a:solid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ONTW.PERSPECTIEF!$Z$13</c:f>
              <c:numCache>
                <c:formatCode>0.0</c:formatCode>
                <c:ptCount val="1"/>
                <c:pt idx="0">
                  <c:v>0</c:v>
                </c:pt>
              </c:numCache>
            </c:numRef>
          </c:val>
          <c:extLst>
            <c:ext xmlns:c16="http://schemas.microsoft.com/office/drawing/2014/chart" uri="{C3380CC4-5D6E-409C-BE32-E72D297353CC}">
              <c16:uniqueId val="{00000014-4F9E-4DAC-BF44-FA2537FC4605}"/>
            </c:ext>
          </c:extLst>
        </c:ser>
        <c:ser>
          <c:idx val="16"/>
          <c:order val="16"/>
          <c:tx>
            <c:strRef>
              <c:f>ONTW.PERSPECTIEF!$AA$12</c:f>
              <c:strCache>
                <c:ptCount val="1"/>
                <c:pt idx="0">
                  <c:v>aanleg</c:v>
                </c:pt>
              </c:strCache>
            </c:strRef>
          </c:tx>
          <c:spPr>
            <a:solidFill>
              <a:schemeClr val="accent5">
                <a:lumMod val="80000"/>
                <a:lumOff val="20000"/>
              </a:schemeClr>
            </a:solidFill>
            <a:ln w="127000">
              <a:solidFill>
                <a:srgbClr val="FFC000"/>
              </a:solidFill>
            </a:ln>
            <a:effectLst/>
          </c:spPr>
          <c:invertIfNegative val="0"/>
          <c:dPt>
            <c:idx val="0"/>
            <c:invertIfNegative val="0"/>
            <c:bubble3D val="0"/>
            <c:spPr>
              <a:noFill/>
              <a:ln w="127000">
                <a:solidFill>
                  <a:srgbClr val="FFC000"/>
                </a:solidFill>
              </a:ln>
              <a:effectLst/>
            </c:spPr>
            <c:extLst>
              <c:ext xmlns:c16="http://schemas.microsoft.com/office/drawing/2014/chart" uri="{C3380CC4-5D6E-409C-BE32-E72D297353CC}">
                <c16:uniqueId val="{00000016-4F9E-4DAC-BF44-FA2537FC4605}"/>
              </c:ext>
            </c:extLst>
          </c:dPt>
          <c:dLbls>
            <c:delete val="1"/>
          </c:dLbls>
          <c:val>
            <c:numRef>
              <c:f>ONTW.PERSPECTIEF!$AA$13</c:f>
              <c:numCache>
                <c:formatCode>0.0</c:formatCode>
                <c:ptCount val="1"/>
                <c:pt idx="0">
                  <c:v>0</c:v>
                </c:pt>
              </c:numCache>
            </c:numRef>
          </c:val>
          <c:extLst>
            <c:ext xmlns:c16="http://schemas.microsoft.com/office/drawing/2014/chart" uri="{C3380CC4-5D6E-409C-BE32-E72D297353CC}">
              <c16:uniqueId val="{00000017-4F9E-4DAC-BF44-FA2537FC4605}"/>
            </c:ext>
          </c:extLst>
        </c:ser>
        <c:dLbls>
          <c:dLblPos val="inEnd"/>
          <c:showLegendKey val="0"/>
          <c:showVal val="1"/>
          <c:showCatName val="0"/>
          <c:showSerName val="0"/>
          <c:showPercent val="0"/>
          <c:showBubbleSize val="0"/>
        </c:dLbls>
        <c:gapWidth val="1"/>
        <c:overlap val="100"/>
        <c:axId val="456736672"/>
        <c:axId val="456739024"/>
      </c:barChart>
      <c:catAx>
        <c:axId val="456740200"/>
        <c:scaling>
          <c:orientation val="minMax"/>
        </c:scaling>
        <c:delete val="1"/>
        <c:axPos val="b"/>
        <c:numFmt formatCode="General" sourceLinked="1"/>
        <c:majorTickMark val="none"/>
        <c:minorTickMark val="none"/>
        <c:tickLblPos val="nextTo"/>
        <c:crossAx val="456737848"/>
        <c:crosses val="autoZero"/>
        <c:auto val="1"/>
        <c:lblAlgn val="ctr"/>
        <c:lblOffset val="100"/>
        <c:noMultiLvlLbl val="0"/>
      </c:catAx>
      <c:valAx>
        <c:axId val="456737848"/>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nl-NL"/>
          </a:p>
        </c:txPr>
        <c:crossAx val="456740200"/>
        <c:crosses val="autoZero"/>
        <c:crossBetween val="between"/>
      </c:valAx>
      <c:valAx>
        <c:axId val="456739024"/>
        <c:scaling>
          <c:orientation val="minMax"/>
        </c:scaling>
        <c:delete val="1"/>
        <c:axPos val="r"/>
        <c:numFmt formatCode="0.0" sourceLinked="1"/>
        <c:majorTickMark val="out"/>
        <c:minorTickMark val="none"/>
        <c:tickLblPos val="nextTo"/>
        <c:crossAx val="456736672"/>
        <c:crosses val="max"/>
        <c:crossBetween val="between"/>
      </c:valAx>
      <c:catAx>
        <c:axId val="456736672"/>
        <c:scaling>
          <c:orientation val="minMax"/>
        </c:scaling>
        <c:delete val="1"/>
        <c:axPos val="b"/>
        <c:majorTickMark val="out"/>
        <c:minorTickMark val="none"/>
        <c:tickLblPos val="nextTo"/>
        <c:crossAx val="456739024"/>
        <c:crosses val="autoZero"/>
        <c:auto val="1"/>
        <c:lblAlgn val="ctr"/>
        <c:lblOffset val="100"/>
        <c:noMultiLvlLbl val="0"/>
      </c:catAx>
      <c:spPr>
        <a:noFill/>
        <a:ln>
          <a:noFill/>
        </a:ln>
        <a:effectLst/>
      </c:spPr>
    </c:plotArea>
    <c:legend>
      <c:legendPos val="r"/>
      <c:layout>
        <c:manualLayout>
          <c:xMode val="edge"/>
          <c:yMode val="edge"/>
          <c:x val="0.84219780523423249"/>
          <c:y val="0.15560767353372496"/>
          <c:w val="0.15248522115086521"/>
          <c:h val="0.8253948260704165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657810630977595E-2"/>
          <c:y val="8.7732974782223111E-2"/>
          <c:w val="0.7928644700132178"/>
          <c:h val="0.7597860686609238"/>
        </c:manualLayout>
      </c:layout>
      <c:barChart>
        <c:barDir val="col"/>
        <c:grouping val="clustered"/>
        <c:varyColors val="0"/>
        <c:ser>
          <c:idx val="0"/>
          <c:order val="0"/>
          <c:spPr>
            <a:gradFill>
              <a:gsLst>
                <a:gs pos="0">
                  <a:srgbClr val="9933FF">
                    <a:shade val="30000"/>
                    <a:satMod val="115000"/>
                  </a:srgbClr>
                </a:gs>
                <a:gs pos="50000">
                  <a:srgbClr val="9933FF">
                    <a:shade val="67500"/>
                    <a:satMod val="115000"/>
                  </a:srgbClr>
                </a:gs>
                <a:gs pos="100000">
                  <a:srgbClr val="9933FF">
                    <a:shade val="100000"/>
                    <a:satMod val="115000"/>
                  </a:srgbClr>
                </a:gs>
              </a:gsLst>
              <a:lin ang="0" scaled="1"/>
            </a:gradFill>
            <a:ln w="9525">
              <a:solidFill>
                <a:schemeClr val="bg1"/>
              </a:solidFill>
            </a:ln>
            <a:effectLst/>
          </c:spPr>
          <c:invertIfNegative val="0"/>
          <c:dPt>
            <c:idx val="0"/>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3-C788-419F-8B34-84DD5CAEF0A1}"/>
              </c:ext>
            </c:extLst>
          </c:dPt>
          <c:dPt>
            <c:idx val="1"/>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4-C788-419F-8B34-84DD5CAEF0A1}"/>
              </c:ext>
            </c:extLst>
          </c:dPt>
          <c:dPt>
            <c:idx val="2"/>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5-C788-419F-8B34-84DD5CAEF0A1}"/>
              </c:ext>
            </c:extLst>
          </c:dPt>
          <c:dPt>
            <c:idx val="6"/>
            <c:invertIfNegative val="0"/>
            <c:bubble3D val="0"/>
            <c:spPr>
              <a:gradFill>
                <a:gsLst>
                  <a:gs pos="0">
                    <a:srgbClr val="00B050"/>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6-C788-419F-8B34-84DD5CAEF0A1}"/>
              </c:ext>
            </c:extLst>
          </c:dPt>
          <c:dPt>
            <c:idx val="7"/>
            <c:invertIfNegative val="0"/>
            <c:bubble3D val="0"/>
            <c:spPr>
              <a:gradFill>
                <a:gsLst>
                  <a:gs pos="0">
                    <a:srgbClr val="00B050"/>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7-C788-419F-8B34-84DD5CAEF0A1}"/>
              </c:ext>
            </c:extLst>
          </c:dPt>
          <c:dPt>
            <c:idx val="8"/>
            <c:invertIfNegative val="0"/>
            <c:bubble3D val="0"/>
            <c:spPr>
              <a:gradFill>
                <a:gsLst>
                  <a:gs pos="0">
                    <a:schemeClr val="bg1">
                      <a:lumMod val="50000"/>
                    </a:schemeClr>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8-C788-419F-8B34-84DD5CAEF0A1}"/>
              </c:ext>
            </c:extLst>
          </c:dPt>
          <c:dPt>
            <c:idx val="9"/>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A-C788-419F-8B34-84DD5CAEF0A1}"/>
              </c:ext>
            </c:extLst>
          </c:dPt>
          <c:dPt>
            <c:idx val="10"/>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B-C788-419F-8B34-84DD5CAEF0A1}"/>
              </c:ext>
            </c:extLst>
          </c:dPt>
          <c:dPt>
            <c:idx val="11"/>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C-C788-419F-8B34-84DD5CAEF0A1}"/>
              </c:ext>
            </c:extLst>
          </c:dPt>
          <c:cat>
            <c:strRef>
              <c:f>ONTW.PERSPECTIEF!$J$53:$U$53</c:f>
              <c:strCache>
                <c:ptCount val="10"/>
                <c:pt idx="0">
                  <c:v>Technisch lezen</c:v>
                </c:pt>
                <c:pt idx="3">
                  <c:v>Spellen</c:v>
                </c:pt>
                <c:pt idx="6">
                  <c:v>Begrijpend lezen</c:v>
                </c:pt>
                <c:pt idx="9">
                  <c:v>Rekenen</c:v>
                </c:pt>
              </c:strCache>
            </c:strRef>
          </c:cat>
          <c:val>
            <c:numRef>
              <c:f>ONTW.PERSPECTIEF!$J$54:$U$54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788-419F-8B34-84DD5CAEF0A1}"/>
            </c:ext>
          </c:extLst>
        </c:ser>
        <c:dLbls>
          <c:showLegendKey val="0"/>
          <c:showVal val="0"/>
          <c:showCatName val="0"/>
          <c:showSerName val="0"/>
          <c:showPercent val="0"/>
          <c:showBubbleSize val="0"/>
        </c:dLbls>
        <c:gapWidth val="1"/>
        <c:overlap val="-27"/>
        <c:axId val="2083370063"/>
        <c:axId val="2083368399"/>
      </c:barChart>
      <c:catAx>
        <c:axId val="2083370063"/>
        <c:scaling>
          <c:orientation val="minMax"/>
        </c:scaling>
        <c:delete val="1"/>
        <c:axPos val="b"/>
        <c:numFmt formatCode="General" sourceLinked="1"/>
        <c:majorTickMark val="none"/>
        <c:minorTickMark val="none"/>
        <c:tickLblPos val="nextTo"/>
        <c:crossAx val="2083368399"/>
        <c:crosses val="autoZero"/>
        <c:auto val="1"/>
        <c:lblAlgn val="ctr"/>
        <c:lblOffset val="100"/>
        <c:noMultiLvlLbl val="0"/>
      </c:catAx>
      <c:valAx>
        <c:axId val="2083368399"/>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083370063"/>
        <c:crossesAt val="1"/>
        <c:crossBetween val="between"/>
        <c:majorUnit val="1"/>
      </c:valAx>
      <c:spPr>
        <a:noFill/>
        <a:ln w="25400">
          <a:noFill/>
        </a:ln>
        <a:effectLst/>
      </c:spPr>
    </c:plotArea>
    <c:legend>
      <c:legendPos val="b"/>
      <c:legendEntry>
        <c:idx val="0"/>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3"/>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6"/>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9"/>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ayout>
        <c:manualLayout>
          <c:xMode val="edge"/>
          <c:yMode val="edge"/>
          <c:x val="3.7305700351578597E-2"/>
          <c:y val="0.87115262287434814"/>
          <c:w val="0.78615126237552269"/>
          <c:h val="0.1010270750833752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21117037544187E-2"/>
          <c:y val="1.615819252168315E-2"/>
          <c:w val="0.788556309785862"/>
          <c:h val="0.96768361495663369"/>
        </c:manualLayout>
      </c:layout>
      <c:barChart>
        <c:barDir val="col"/>
        <c:grouping val="clustered"/>
        <c:varyColors val="0"/>
        <c:ser>
          <c:idx val="0"/>
          <c:order val="0"/>
          <c:tx>
            <c:strRef>
              <c:f>'DL - DLE'!$J$12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3175">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0-3CC5-4D4F-9DD9-4C08B23BB0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DLE'!$J$13</c:f>
              <c:numCache>
                <c:formatCode>0.0</c:formatCode>
                <c:ptCount val="1"/>
                <c:pt idx="0">
                  <c:v>46</c:v>
                </c:pt>
              </c:numCache>
            </c:numRef>
          </c:val>
          <c:extLst>
            <c:ext xmlns:c16="http://schemas.microsoft.com/office/drawing/2014/chart" uri="{C3380CC4-5D6E-409C-BE32-E72D297353CC}">
              <c16:uniqueId val="{00000000-4F9E-4DAC-BF44-FA2537FC4605}"/>
            </c:ext>
          </c:extLst>
        </c:ser>
        <c:ser>
          <c:idx val="1"/>
          <c:order val="1"/>
          <c:tx>
            <c:strRef>
              <c:f>'DL - DLE'!$K$12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DLE'!$K$13</c:f>
              <c:numCache>
                <c:formatCode>0.0</c:formatCode>
                <c:ptCount val="1"/>
                <c:pt idx="0">
                  <c:v>0</c:v>
                </c:pt>
              </c:numCache>
            </c:numRef>
          </c:val>
          <c:extLst>
            <c:ext xmlns:c16="http://schemas.microsoft.com/office/drawing/2014/chart" uri="{C3380CC4-5D6E-409C-BE32-E72D297353CC}">
              <c16:uniqueId val="{00000001-4F9E-4DAC-BF44-FA2537FC4605}"/>
            </c:ext>
          </c:extLst>
        </c:ser>
        <c:ser>
          <c:idx val="2"/>
          <c:order val="2"/>
          <c:tx>
            <c:strRef>
              <c:f>'DL - DLE'!$L$12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DLE'!$L$13</c:f>
              <c:numCache>
                <c:formatCode>0.0</c:formatCode>
                <c:ptCount val="1"/>
                <c:pt idx="0">
                  <c:v>0</c:v>
                </c:pt>
              </c:numCache>
            </c:numRef>
          </c:val>
          <c:extLst>
            <c:ext xmlns:c16="http://schemas.microsoft.com/office/drawing/2014/chart" uri="{C3380CC4-5D6E-409C-BE32-E72D297353CC}">
              <c16:uniqueId val="{00000002-4F9E-4DAC-BF44-FA2537FC4605}"/>
            </c:ext>
          </c:extLst>
        </c:ser>
        <c:ser>
          <c:idx val="3"/>
          <c:order val="3"/>
          <c:tx>
            <c:strRef>
              <c:f>'DL - DLE'!$M$12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DLE'!$M$13</c:f>
              <c:numCache>
                <c:formatCode>0.0</c:formatCode>
                <c:ptCount val="1"/>
                <c:pt idx="0">
                  <c:v>0</c:v>
                </c:pt>
              </c:numCache>
            </c:numRef>
          </c:val>
          <c:extLst>
            <c:ext xmlns:c16="http://schemas.microsoft.com/office/drawing/2014/chart" uri="{C3380CC4-5D6E-409C-BE32-E72D297353CC}">
              <c16:uniqueId val="{00000004-4F9E-4DAC-BF44-FA2537FC4605}"/>
            </c:ext>
          </c:extLst>
        </c:ser>
        <c:ser>
          <c:idx val="4"/>
          <c:order val="4"/>
          <c:tx>
            <c:strRef>
              <c:f>'DL - DLE'!$N$12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DLE'!$N$13</c:f>
              <c:numCache>
                <c:formatCode>0.0</c:formatCode>
                <c:ptCount val="1"/>
                <c:pt idx="0">
                  <c:v>0</c:v>
                </c:pt>
              </c:numCache>
            </c:numRef>
          </c:val>
          <c:extLst>
            <c:ext xmlns:c16="http://schemas.microsoft.com/office/drawing/2014/chart" uri="{C3380CC4-5D6E-409C-BE32-E72D297353CC}">
              <c16:uniqueId val="{00000006-4F9E-4DAC-BF44-FA2537FC4605}"/>
            </c:ext>
          </c:extLst>
        </c:ser>
        <c:ser>
          <c:idx val="5"/>
          <c:order val="5"/>
          <c:tx>
            <c:strRef>
              <c:f>'DL - DLE'!$O$12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DLE'!$O$13</c:f>
              <c:numCache>
                <c:formatCode>0.0</c:formatCode>
                <c:ptCount val="1"/>
                <c:pt idx="0">
                  <c:v>0</c:v>
                </c:pt>
              </c:numCache>
            </c:numRef>
          </c:val>
          <c:extLst>
            <c:ext xmlns:c16="http://schemas.microsoft.com/office/drawing/2014/chart" uri="{C3380CC4-5D6E-409C-BE32-E72D297353CC}">
              <c16:uniqueId val="{00000008-4F9E-4DAC-BF44-FA2537FC4605}"/>
            </c:ext>
          </c:extLst>
        </c:ser>
        <c:ser>
          <c:idx val="6"/>
          <c:order val="6"/>
          <c:tx>
            <c:strRef>
              <c:f>'DL - DLE'!$P$12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DLE'!$P$13</c:f>
              <c:numCache>
                <c:formatCode>0.0</c:formatCode>
                <c:ptCount val="1"/>
                <c:pt idx="0">
                  <c:v>43</c:v>
                </c:pt>
              </c:numCache>
            </c:numRef>
          </c:val>
          <c:extLst>
            <c:ext xmlns:c16="http://schemas.microsoft.com/office/drawing/2014/chart" uri="{C3380CC4-5D6E-409C-BE32-E72D297353CC}">
              <c16:uniqueId val="{00000009-4F9E-4DAC-BF44-FA2537FC4605}"/>
            </c:ext>
          </c:extLst>
        </c:ser>
        <c:ser>
          <c:idx val="7"/>
          <c:order val="7"/>
          <c:tx>
            <c:strRef>
              <c:f>'DL - DLE'!$Q$12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DLE'!$Q$13</c:f>
              <c:numCache>
                <c:formatCode>0.0</c:formatCode>
                <c:ptCount val="1"/>
                <c:pt idx="0">
                  <c:v>0</c:v>
                </c:pt>
              </c:numCache>
            </c:numRef>
          </c:val>
          <c:extLst>
            <c:ext xmlns:c16="http://schemas.microsoft.com/office/drawing/2014/chart" uri="{C3380CC4-5D6E-409C-BE32-E72D297353CC}">
              <c16:uniqueId val="{0000000A-4F9E-4DAC-BF44-FA2537FC4605}"/>
            </c:ext>
          </c:extLst>
        </c:ser>
        <c:ser>
          <c:idx val="8"/>
          <c:order val="8"/>
          <c:tx>
            <c:strRef>
              <c:f>'DL - DLE'!$R$12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DLE'!$R$13</c:f>
              <c:numCache>
                <c:formatCode>0.0</c:formatCode>
                <c:ptCount val="1"/>
                <c:pt idx="0">
                  <c:v>0</c:v>
                </c:pt>
              </c:numCache>
            </c:numRef>
          </c:val>
          <c:extLst>
            <c:ext xmlns:c16="http://schemas.microsoft.com/office/drawing/2014/chart" uri="{C3380CC4-5D6E-409C-BE32-E72D297353CC}">
              <c16:uniqueId val="{0000000B-4F9E-4DAC-BF44-FA2537FC4605}"/>
            </c:ext>
          </c:extLst>
        </c:ser>
        <c:ser>
          <c:idx val="9"/>
          <c:order val="9"/>
          <c:tx>
            <c:strRef>
              <c:f>'DL - DLE'!$S$12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DLE'!$S$13</c:f>
              <c:numCache>
                <c:formatCode>0.0</c:formatCode>
                <c:ptCount val="1"/>
                <c:pt idx="0">
                  <c:v>45</c:v>
                </c:pt>
              </c:numCache>
            </c:numRef>
          </c:val>
          <c:extLst>
            <c:ext xmlns:c16="http://schemas.microsoft.com/office/drawing/2014/chart" uri="{C3380CC4-5D6E-409C-BE32-E72D297353CC}">
              <c16:uniqueId val="{0000000C-4F9E-4DAC-BF44-FA2537FC4605}"/>
            </c:ext>
          </c:extLst>
        </c:ser>
        <c:ser>
          <c:idx val="10"/>
          <c:order val="10"/>
          <c:tx>
            <c:strRef>
              <c:f>'DL - DLE'!$T$12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DLE'!$T$13</c:f>
              <c:numCache>
                <c:formatCode>0.0</c:formatCode>
                <c:ptCount val="1"/>
                <c:pt idx="0">
                  <c:v>0</c:v>
                </c:pt>
              </c:numCache>
            </c:numRef>
          </c:val>
          <c:extLst>
            <c:ext xmlns:c16="http://schemas.microsoft.com/office/drawing/2014/chart" uri="{C3380CC4-5D6E-409C-BE32-E72D297353CC}">
              <c16:uniqueId val="{0000000D-4F9E-4DAC-BF44-FA2537FC4605}"/>
            </c:ext>
          </c:extLst>
        </c:ser>
        <c:ser>
          <c:idx val="11"/>
          <c:order val="11"/>
          <c:tx>
            <c:strRef>
              <c:f>'DL - DLE'!$U$12</c:f>
              <c:strCache>
                <c:ptCount val="1"/>
                <c:pt idx="0">
                  <c:v>R&amp;W - 2e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1-3CC5-4D4F-9DD9-4C08B23BB071}"/>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DLE'!$U$13</c:f>
              <c:numCache>
                <c:formatCode>0.0</c:formatCode>
                <c:ptCount val="1"/>
                <c:pt idx="0">
                  <c:v>0</c:v>
                </c:pt>
              </c:numCache>
            </c:numRef>
          </c:val>
          <c:extLst>
            <c:ext xmlns:c16="http://schemas.microsoft.com/office/drawing/2014/chart" uri="{C3380CC4-5D6E-409C-BE32-E72D297353CC}">
              <c16:uniqueId val="{0000000E-4F9E-4DAC-BF44-FA2537FC4605}"/>
            </c:ext>
          </c:extLst>
        </c:ser>
        <c:ser>
          <c:idx val="12"/>
          <c:order val="12"/>
          <c:tx>
            <c:strRef>
              <c:f>'DL - DLE'!$V$12</c:f>
              <c:strCache>
                <c:ptCount val="1"/>
                <c:pt idx="0">
                  <c:v>HR - vorig jaar</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DLE'!$V$13</c:f>
              <c:numCache>
                <c:formatCode>0.0</c:formatCode>
                <c:ptCount val="1"/>
                <c:pt idx="0">
                  <c:v>33</c:v>
                </c:pt>
              </c:numCache>
            </c:numRef>
          </c:val>
          <c:extLst>
            <c:ext xmlns:c16="http://schemas.microsoft.com/office/drawing/2014/chart" uri="{C3380CC4-5D6E-409C-BE32-E72D297353CC}">
              <c16:uniqueId val="{0000000F-4F9E-4DAC-BF44-FA2537FC4605}"/>
            </c:ext>
          </c:extLst>
        </c:ser>
        <c:ser>
          <c:idx val="13"/>
          <c:order val="13"/>
          <c:tx>
            <c:strRef>
              <c:f>'DL - DLE'!$W$12</c:f>
              <c:strCache>
                <c:ptCount val="1"/>
                <c:pt idx="0">
                  <c:v>HR - 1e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DLE'!$W$13</c:f>
              <c:numCache>
                <c:formatCode>0.0</c:formatCode>
                <c:ptCount val="1"/>
                <c:pt idx="0">
                  <c:v>0</c:v>
                </c:pt>
              </c:numCache>
            </c:numRef>
          </c:val>
          <c:extLst>
            <c:ext xmlns:c16="http://schemas.microsoft.com/office/drawing/2014/chart" uri="{C3380CC4-5D6E-409C-BE32-E72D297353CC}">
              <c16:uniqueId val="{00000010-4F9E-4DAC-BF44-FA2537FC4605}"/>
            </c:ext>
          </c:extLst>
        </c:ser>
        <c:ser>
          <c:idx val="14"/>
          <c:order val="14"/>
          <c:tx>
            <c:strRef>
              <c:f>'DL - DLE'!$X$12</c:f>
              <c:strCache>
                <c:ptCount val="1"/>
                <c:pt idx="0">
                  <c:v>HR - 2e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DLE'!$X$13</c:f>
              <c:numCache>
                <c:formatCode>0.0</c:formatCode>
                <c:ptCount val="1"/>
                <c:pt idx="0">
                  <c:v>0</c:v>
                </c:pt>
              </c:numCache>
            </c:numRef>
          </c:val>
          <c:extLst>
            <c:ext xmlns:c16="http://schemas.microsoft.com/office/drawing/2014/chart" uri="{C3380CC4-5D6E-409C-BE32-E72D297353CC}">
              <c16:uniqueId val="{00000011-4F9E-4DAC-BF44-FA2537FC4605}"/>
            </c:ext>
          </c:extLst>
        </c:ser>
        <c:dLbls>
          <c:dLblPos val="inEnd"/>
          <c:showLegendKey val="0"/>
          <c:showVal val="1"/>
          <c:showCatName val="0"/>
          <c:showSerName val="0"/>
          <c:showPercent val="0"/>
          <c:showBubbleSize val="0"/>
        </c:dLbls>
        <c:gapWidth val="10"/>
        <c:overlap val="-2"/>
        <c:axId val="456739808"/>
        <c:axId val="456734320"/>
      </c:barChart>
      <c:barChart>
        <c:barDir val="col"/>
        <c:grouping val="clustered"/>
        <c:varyColors val="0"/>
        <c:ser>
          <c:idx val="15"/>
          <c:order val="15"/>
          <c:tx>
            <c:strRef>
              <c:f>'DL - DLE'!$Y$12</c:f>
              <c:strCache>
                <c:ptCount val="1"/>
                <c:pt idx="0">
                  <c:v>gemiddelde-DLE</c:v>
                </c:pt>
              </c:strCache>
            </c:strRef>
          </c:tx>
          <c:spPr>
            <a:noFill/>
            <a:ln w="76200">
              <a:solidFill>
                <a:srgbClr val="002060"/>
              </a:solidFill>
            </a:ln>
            <a:effectLst/>
          </c:spPr>
          <c:invertIfNegative val="0"/>
          <c:dPt>
            <c:idx val="0"/>
            <c:invertIfNegative val="0"/>
            <c:bubble3D val="0"/>
            <c:spPr>
              <a:noFill/>
              <a:ln w="127000">
                <a:solidFill>
                  <a:srgbClr val="002060"/>
                </a:solidFill>
              </a:ln>
              <a:effectLst/>
            </c:spPr>
            <c:extLst>
              <c:ext xmlns:c16="http://schemas.microsoft.com/office/drawing/2014/chart" uri="{C3380CC4-5D6E-409C-BE32-E72D297353CC}">
                <c16:uniqueId val="{00000013-4F9E-4DAC-BF44-FA2537FC4605}"/>
              </c:ext>
            </c:extLst>
          </c:dPt>
          <c:dLbls>
            <c:spPr>
              <a:solidFill>
                <a:srgbClr val="002060"/>
              </a:solid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DLE'!$Y$13</c:f>
              <c:numCache>
                <c:formatCode>0.0</c:formatCode>
                <c:ptCount val="1"/>
                <c:pt idx="0">
                  <c:v>41.75</c:v>
                </c:pt>
              </c:numCache>
            </c:numRef>
          </c:val>
          <c:extLst>
            <c:ext xmlns:c16="http://schemas.microsoft.com/office/drawing/2014/chart" uri="{C3380CC4-5D6E-409C-BE32-E72D297353CC}">
              <c16:uniqueId val="{00000014-4F9E-4DAC-BF44-FA2537FC4605}"/>
            </c:ext>
          </c:extLst>
        </c:ser>
        <c:dLbls>
          <c:dLblPos val="inEnd"/>
          <c:showLegendKey val="0"/>
          <c:showVal val="1"/>
          <c:showCatName val="0"/>
          <c:showSerName val="0"/>
          <c:showPercent val="0"/>
          <c:showBubbleSize val="0"/>
        </c:dLbls>
        <c:gapWidth val="1"/>
        <c:overlap val="100"/>
        <c:axId val="456734712"/>
        <c:axId val="456737456"/>
      </c:barChart>
      <c:catAx>
        <c:axId val="456739808"/>
        <c:scaling>
          <c:orientation val="minMax"/>
        </c:scaling>
        <c:delete val="1"/>
        <c:axPos val="b"/>
        <c:numFmt formatCode="General" sourceLinked="1"/>
        <c:majorTickMark val="none"/>
        <c:minorTickMark val="none"/>
        <c:tickLblPos val="nextTo"/>
        <c:crossAx val="456734320"/>
        <c:crosses val="autoZero"/>
        <c:auto val="1"/>
        <c:lblAlgn val="ctr"/>
        <c:lblOffset val="100"/>
        <c:noMultiLvlLbl val="0"/>
      </c:catAx>
      <c:valAx>
        <c:axId val="456734320"/>
        <c:scaling>
          <c:orientation val="minMax"/>
          <c:max val="6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nl-NL"/>
          </a:p>
        </c:txPr>
        <c:crossAx val="456739808"/>
        <c:crosses val="autoZero"/>
        <c:crossBetween val="between"/>
        <c:majorUnit val="5"/>
      </c:valAx>
      <c:valAx>
        <c:axId val="456737456"/>
        <c:scaling>
          <c:orientation val="minMax"/>
        </c:scaling>
        <c:delete val="1"/>
        <c:axPos val="r"/>
        <c:numFmt formatCode="0.0" sourceLinked="1"/>
        <c:majorTickMark val="out"/>
        <c:minorTickMark val="none"/>
        <c:tickLblPos val="nextTo"/>
        <c:crossAx val="456734712"/>
        <c:crosses val="max"/>
        <c:crossBetween val="between"/>
      </c:valAx>
      <c:catAx>
        <c:axId val="456734712"/>
        <c:scaling>
          <c:orientation val="minMax"/>
        </c:scaling>
        <c:delete val="1"/>
        <c:axPos val="b"/>
        <c:majorTickMark val="out"/>
        <c:minorTickMark val="none"/>
        <c:tickLblPos val="nextTo"/>
        <c:crossAx val="456737456"/>
        <c:crosses val="autoZero"/>
        <c:auto val="1"/>
        <c:lblAlgn val="ctr"/>
        <c:lblOffset val="100"/>
        <c:noMultiLvlLbl val="0"/>
      </c:catAx>
      <c:spPr>
        <a:noFill/>
        <a:ln>
          <a:noFill/>
        </a:ln>
        <a:effectLst/>
      </c:spPr>
    </c:plotArea>
    <c:legend>
      <c:legendPos val="r"/>
      <c:layout>
        <c:manualLayout>
          <c:xMode val="edge"/>
          <c:yMode val="edge"/>
          <c:x val="0.84219780523423249"/>
          <c:y val="0.15560767353372496"/>
          <c:w val="0.15248522115086521"/>
          <c:h val="0.8253948260704165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559523684514494"/>
          <c:y val="5.0682357689064178E-2"/>
          <c:w val="0.48387604876563312"/>
          <c:h val="0.90058650970567888"/>
        </c:manualLayout>
      </c:layout>
      <c:barChart>
        <c:barDir val="col"/>
        <c:grouping val="clustered"/>
        <c:varyColors val="0"/>
        <c:ser>
          <c:idx val="5"/>
          <c:order val="0"/>
          <c:tx>
            <c:strRef>
              <c:f>OPO!$I$28</c:f>
              <c:strCache>
                <c:ptCount val="1"/>
                <c:pt idx="0">
                  <c:v>VWO</c:v>
                </c:pt>
              </c:strCache>
            </c:strRef>
          </c:tx>
          <c:spPr>
            <a:solidFill>
              <a:srgbClr val="000080"/>
            </a:solidFill>
            <a:ln w="12700">
              <a:solidFill>
                <a:srgbClr val="000000"/>
              </a:solidFill>
              <a:prstDash val="solid"/>
            </a:ln>
          </c:spPr>
          <c:invertIfNegative val="0"/>
          <c:dLbls>
            <c:spPr>
              <a:noFill/>
              <a:ln w="25400">
                <a:noFill/>
              </a:ln>
            </c:spPr>
            <c:txPr>
              <a:bodyPr rot="-5400000" vert="horz"/>
              <a:lstStyle/>
              <a:p>
                <a:pPr algn="ctr">
                  <a:defRPr>
                    <a:solidFill>
                      <a:schemeClr val="bg1"/>
                    </a:solidFil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OPO!$I$30</c:f>
              <c:numCache>
                <c:formatCode>General</c:formatCode>
                <c:ptCount val="1"/>
                <c:pt idx="0">
                  <c:v>5</c:v>
                </c:pt>
              </c:numCache>
            </c:numRef>
          </c:val>
          <c:extLst>
            <c:ext xmlns:c16="http://schemas.microsoft.com/office/drawing/2014/chart" uri="{C3380CC4-5D6E-409C-BE32-E72D297353CC}">
              <c16:uniqueId val="{00000000-2D3C-40FC-8199-9397BB160175}"/>
            </c:ext>
          </c:extLst>
        </c:ser>
        <c:ser>
          <c:idx val="4"/>
          <c:order val="1"/>
          <c:tx>
            <c:strRef>
              <c:f>OPO!$H$28</c:f>
              <c:strCache>
                <c:ptCount val="1"/>
                <c:pt idx="0">
                  <c:v>HAVO</c:v>
                </c:pt>
              </c:strCache>
            </c:strRef>
          </c:tx>
          <c:spPr>
            <a:solidFill>
              <a:srgbClr val="0000FF"/>
            </a:solidFill>
            <a:ln w="12700">
              <a:solidFill>
                <a:srgbClr val="000000"/>
              </a:solidFill>
              <a:prstDash val="solid"/>
            </a:ln>
          </c:spPr>
          <c:invertIfNegative val="0"/>
          <c:dLbls>
            <c:spPr>
              <a:noFill/>
              <a:ln w="25400">
                <a:noFill/>
              </a:ln>
            </c:spPr>
            <c:txPr>
              <a:bodyPr rot="-5400000" vert="horz"/>
              <a:lstStyle/>
              <a:p>
                <a:pPr algn="ctr">
                  <a:defRPr>
                    <a:solidFill>
                      <a:schemeClr val="bg1"/>
                    </a:solidFil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OPO!$H$30</c:f>
              <c:numCache>
                <c:formatCode>General</c:formatCode>
                <c:ptCount val="1"/>
                <c:pt idx="0">
                  <c:v>4.2</c:v>
                </c:pt>
              </c:numCache>
            </c:numRef>
          </c:val>
          <c:extLst>
            <c:ext xmlns:c16="http://schemas.microsoft.com/office/drawing/2014/chart" uri="{C3380CC4-5D6E-409C-BE32-E72D297353CC}">
              <c16:uniqueId val="{00000001-2D3C-40FC-8199-9397BB160175}"/>
            </c:ext>
          </c:extLst>
        </c:ser>
        <c:ser>
          <c:idx val="3"/>
          <c:order val="2"/>
          <c:tx>
            <c:strRef>
              <c:f>OPO!$G$28</c:f>
              <c:strCache>
                <c:ptCount val="1"/>
                <c:pt idx="0">
                  <c:v>GTL</c:v>
                </c:pt>
              </c:strCache>
            </c:strRef>
          </c:tx>
          <c:spPr>
            <a:solidFill>
              <a:srgbClr val="CCFFFF"/>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OPO!$G$30</c:f>
              <c:numCache>
                <c:formatCode>General</c:formatCode>
                <c:ptCount val="1"/>
                <c:pt idx="0">
                  <c:v>3.3</c:v>
                </c:pt>
              </c:numCache>
            </c:numRef>
          </c:val>
          <c:extLst>
            <c:ext xmlns:c16="http://schemas.microsoft.com/office/drawing/2014/chart" uri="{C3380CC4-5D6E-409C-BE32-E72D297353CC}">
              <c16:uniqueId val="{00000002-2D3C-40FC-8199-9397BB160175}"/>
            </c:ext>
          </c:extLst>
        </c:ser>
        <c:ser>
          <c:idx val="2"/>
          <c:order val="3"/>
          <c:tx>
            <c:strRef>
              <c:f>OPO!$F$28</c:f>
              <c:strCache>
                <c:ptCount val="1"/>
                <c:pt idx="0">
                  <c:v>KBL</c:v>
                </c:pt>
              </c:strCache>
            </c:strRef>
          </c:tx>
          <c:spPr>
            <a:solidFill>
              <a:srgbClr val="CCFFCC"/>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OPO!$F$30</c:f>
              <c:numCache>
                <c:formatCode>General</c:formatCode>
                <c:ptCount val="1"/>
                <c:pt idx="0">
                  <c:v>2.4</c:v>
                </c:pt>
              </c:numCache>
            </c:numRef>
          </c:val>
          <c:extLst>
            <c:ext xmlns:c16="http://schemas.microsoft.com/office/drawing/2014/chart" uri="{C3380CC4-5D6E-409C-BE32-E72D297353CC}">
              <c16:uniqueId val="{00000003-2D3C-40FC-8199-9397BB160175}"/>
            </c:ext>
          </c:extLst>
        </c:ser>
        <c:ser>
          <c:idx val="1"/>
          <c:order val="4"/>
          <c:tx>
            <c:strRef>
              <c:f>OPO!$E$28</c:f>
              <c:strCache>
                <c:ptCount val="1"/>
                <c:pt idx="0">
                  <c:v>BBL</c:v>
                </c:pt>
              </c:strCache>
            </c:strRef>
          </c:tx>
          <c:spPr>
            <a:solidFill>
              <a:srgbClr val="FFFF99"/>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OPO!$E$30</c:f>
              <c:numCache>
                <c:formatCode>General</c:formatCode>
                <c:ptCount val="1"/>
                <c:pt idx="0">
                  <c:v>1.5</c:v>
                </c:pt>
              </c:numCache>
            </c:numRef>
          </c:val>
          <c:extLst>
            <c:ext xmlns:c16="http://schemas.microsoft.com/office/drawing/2014/chart" uri="{C3380CC4-5D6E-409C-BE32-E72D297353CC}">
              <c16:uniqueId val="{00000004-2D3C-40FC-8199-9397BB160175}"/>
            </c:ext>
          </c:extLst>
        </c:ser>
        <c:ser>
          <c:idx val="0"/>
          <c:order val="5"/>
          <c:tx>
            <c:strRef>
              <c:f>OPO!$D$28</c:f>
              <c:strCache>
                <c:ptCount val="1"/>
                <c:pt idx="0">
                  <c:v>PRO</c:v>
                </c:pt>
              </c:strCache>
            </c:strRef>
          </c:tx>
          <c:spPr>
            <a:solidFill>
              <a:srgbClr val="FFFFCC"/>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OPO!$D$30</c:f>
              <c:numCache>
                <c:formatCode>General</c:formatCode>
                <c:ptCount val="1"/>
                <c:pt idx="0">
                  <c:v>0.5</c:v>
                </c:pt>
              </c:numCache>
            </c:numRef>
          </c:val>
          <c:extLst>
            <c:ext xmlns:c16="http://schemas.microsoft.com/office/drawing/2014/chart" uri="{C3380CC4-5D6E-409C-BE32-E72D297353CC}">
              <c16:uniqueId val="{00000005-2D3C-40FC-8199-9397BB160175}"/>
            </c:ext>
          </c:extLst>
        </c:ser>
        <c:dLbls>
          <c:showLegendKey val="0"/>
          <c:showVal val="0"/>
          <c:showCatName val="0"/>
          <c:showSerName val="1"/>
          <c:showPercent val="0"/>
          <c:showBubbleSize val="0"/>
        </c:dLbls>
        <c:gapWidth val="0"/>
        <c:overlap val="100"/>
        <c:axId val="577022624"/>
        <c:axId val="577017920"/>
      </c:barChart>
      <c:catAx>
        <c:axId val="577022624"/>
        <c:scaling>
          <c:orientation val="minMax"/>
        </c:scaling>
        <c:delete val="1"/>
        <c:axPos val="b"/>
        <c:majorTickMark val="out"/>
        <c:minorTickMark val="none"/>
        <c:tickLblPos val="none"/>
        <c:crossAx val="577017920"/>
        <c:crosses val="autoZero"/>
        <c:auto val="1"/>
        <c:lblAlgn val="ctr"/>
        <c:lblOffset val="100"/>
        <c:noMultiLvlLbl val="0"/>
      </c:catAx>
      <c:valAx>
        <c:axId val="577017920"/>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a:pPr>
            <a:endParaRPr lang="nl-NL"/>
          </a:p>
        </c:txPr>
        <c:crossAx val="577022624"/>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2262087492094436"/>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2533-4F8A-8837-2154ED077705}"/>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533-4F8A-8837-2154ED077705}"/>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2533-4F8A-8837-2154ED077705}"/>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533-4F8A-8837-2154ED077705}"/>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533-4F8A-8837-2154ED077705}"/>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2533-4F8A-8837-2154ED077705}"/>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533-4F8A-8837-2154ED077705}"/>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2533-4F8A-8837-2154ED077705}"/>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533-4F8A-8837-2154ED077705}"/>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533-4F8A-8837-2154ED077705}"/>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2533-4F8A-8837-2154ED077705}"/>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533-4F8A-8837-2154ED077705}"/>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2533-4F8A-8837-2154ED077705}"/>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533-4F8A-8837-2154ED077705}"/>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533-4F8A-8837-2154ED077705}"/>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533-4F8A-8837-2154ED077705}"/>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533-4F8A-8837-2154ED077705}"/>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533-4F8A-8837-2154ED077705}"/>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533-4F8A-8837-2154ED07770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2533-4F8A-8837-2154ED077705}"/>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533-4F8A-8837-2154ED077705}"/>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2533-4F8A-8837-2154ED077705}"/>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533-4F8A-8837-2154ED077705}"/>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533-4F8A-8837-2154ED077705}"/>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559523684514494"/>
          <c:y val="5.0682357689064178E-2"/>
          <c:w val="0.48387604876563312"/>
          <c:h val="0.90058650970567888"/>
        </c:manualLayout>
      </c:layout>
      <c:barChart>
        <c:barDir val="col"/>
        <c:grouping val="clustered"/>
        <c:varyColors val="0"/>
        <c:ser>
          <c:idx val="5"/>
          <c:order val="0"/>
          <c:tx>
            <c:strRef>
              <c:f>OPO!$I$28</c:f>
              <c:strCache>
                <c:ptCount val="1"/>
                <c:pt idx="0">
                  <c:v>VWO</c:v>
                </c:pt>
              </c:strCache>
            </c:strRef>
          </c:tx>
          <c:spPr>
            <a:solidFill>
              <a:srgbClr val="000080"/>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OPO!$I$30</c:f>
              <c:numCache>
                <c:formatCode>General</c:formatCode>
                <c:ptCount val="1"/>
                <c:pt idx="0">
                  <c:v>5</c:v>
                </c:pt>
              </c:numCache>
            </c:numRef>
          </c:val>
          <c:extLst>
            <c:ext xmlns:c16="http://schemas.microsoft.com/office/drawing/2014/chart" uri="{C3380CC4-5D6E-409C-BE32-E72D297353CC}">
              <c16:uniqueId val="{00000000-1502-4B9C-84B4-015C36DD703C}"/>
            </c:ext>
          </c:extLst>
        </c:ser>
        <c:ser>
          <c:idx val="4"/>
          <c:order val="1"/>
          <c:tx>
            <c:strRef>
              <c:f>OPO!$H$28</c:f>
              <c:strCache>
                <c:ptCount val="1"/>
                <c:pt idx="0">
                  <c:v>HAVO</c:v>
                </c:pt>
              </c:strCache>
            </c:strRef>
          </c:tx>
          <c:spPr>
            <a:solidFill>
              <a:srgbClr val="0000FF"/>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OPO!$H$30</c:f>
              <c:numCache>
                <c:formatCode>General</c:formatCode>
                <c:ptCount val="1"/>
                <c:pt idx="0">
                  <c:v>4.2</c:v>
                </c:pt>
              </c:numCache>
            </c:numRef>
          </c:val>
          <c:extLst>
            <c:ext xmlns:c16="http://schemas.microsoft.com/office/drawing/2014/chart" uri="{C3380CC4-5D6E-409C-BE32-E72D297353CC}">
              <c16:uniqueId val="{00000001-1502-4B9C-84B4-015C36DD703C}"/>
            </c:ext>
          </c:extLst>
        </c:ser>
        <c:ser>
          <c:idx val="3"/>
          <c:order val="2"/>
          <c:tx>
            <c:strRef>
              <c:f>OPO!$G$28</c:f>
              <c:strCache>
                <c:ptCount val="1"/>
                <c:pt idx="0">
                  <c:v>GTL</c:v>
                </c:pt>
              </c:strCache>
            </c:strRef>
          </c:tx>
          <c:spPr>
            <a:solidFill>
              <a:srgbClr val="CCFFFF"/>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OPO!$G$30</c:f>
              <c:numCache>
                <c:formatCode>General</c:formatCode>
                <c:ptCount val="1"/>
                <c:pt idx="0">
                  <c:v>3.3</c:v>
                </c:pt>
              </c:numCache>
            </c:numRef>
          </c:val>
          <c:extLst>
            <c:ext xmlns:c16="http://schemas.microsoft.com/office/drawing/2014/chart" uri="{C3380CC4-5D6E-409C-BE32-E72D297353CC}">
              <c16:uniqueId val="{00000002-1502-4B9C-84B4-015C36DD703C}"/>
            </c:ext>
          </c:extLst>
        </c:ser>
        <c:ser>
          <c:idx val="2"/>
          <c:order val="3"/>
          <c:tx>
            <c:strRef>
              <c:f>OPO!$F$28</c:f>
              <c:strCache>
                <c:ptCount val="1"/>
                <c:pt idx="0">
                  <c:v>KBL</c:v>
                </c:pt>
              </c:strCache>
            </c:strRef>
          </c:tx>
          <c:spPr>
            <a:solidFill>
              <a:srgbClr val="CCFFCC"/>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OPO!$F$30</c:f>
              <c:numCache>
                <c:formatCode>General</c:formatCode>
                <c:ptCount val="1"/>
                <c:pt idx="0">
                  <c:v>2.4</c:v>
                </c:pt>
              </c:numCache>
            </c:numRef>
          </c:val>
          <c:extLst>
            <c:ext xmlns:c16="http://schemas.microsoft.com/office/drawing/2014/chart" uri="{C3380CC4-5D6E-409C-BE32-E72D297353CC}">
              <c16:uniqueId val="{00000003-1502-4B9C-84B4-015C36DD703C}"/>
            </c:ext>
          </c:extLst>
        </c:ser>
        <c:ser>
          <c:idx val="1"/>
          <c:order val="4"/>
          <c:tx>
            <c:strRef>
              <c:f>OPO!$E$28</c:f>
              <c:strCache>
                <c:ptCount val="1"/>
                <c:pt idx="0">
                  <c:v>BBL</c:v>
                </c:pt>
              </c:strCache>
            </c:strRef>
          </c:tx>
          <c:spPr>
            <a:solidFill>
              <a:srgbClr val="FFFF99"/>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OPO!$E$30</c:f>
              <c:numCache>
                <c:formatCode>General</c:formatCode>
                <c:ptCount val="1"/>
                <c:pt idx="0">
                  <c:v>1.5</c:v>
                </c:pt>
              </c:numCache>
            </c:numRef>
          </c:val>
          <c:extLst>
            <c:ext xmlns:c16="http://schemas.microsoft.com/office/drawing/2014/chart" uri="{C3380CC4-5D6E-409C-BE32-E72D297353CC}">
              <c16:uniqueId val="{00000004-1502-4B9C-84B4-015C36DD703C}"/>
            </c:ext>
          </c:extLst>
        </c:ser>
        <c:ser>
          <c:idx val="0"/>
          <c:order val="5"/>
          <c:tx>
            <c:strRef>
              <c:f>OPO!$D$28</c:f>
              <c:strCache>
                <c:ptCount val="1"/>
                <c:pt idx="0">
                  <c:v>PRO</c:v>
                </c:pt>
              </c:strCache>
            </c:strRef>
          </c:tx>
          <c:spPr>
            <a:solidFill>
              <a:srgbClr val="FFFFCC"/>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OPO!$D$30</c:f>
              <c:numCache>
                <c:formatCode>General</c:formatCode>
                <c:ptCount val="1"/>
                <c:pt idx="0">
                  <c:v>0.5</c:v>
                </c:pt>
              </c:numCache>
            </c:numRef>
          </c:val>
          <c:extLst>
            <c:ext xmlns:c16="http://schemas.microsoft.com/office/drawing/2014/chart" uri="{C3380CC4-5D6E-409C-BE32-E72D297353CC}">
              <c16:uniqueId val="{00000005-1502-4B9C-84B4-015C36DD703C}"/>
            </c:ext>
          </c:extLst>
        </c:ser>
        <c:dLbls>
          <c:showLegendKey val="0"/>
          <c:showVal val="0"/>
          <c:showCatName val="0"/>
          <c:showSerName val="1"/>
          <c:showPercent val="0"/>
          <c:showBubbleSize val="0"/>
        </c:dLbls>
        <c:gapWidth val="0"/>
        <c:overlap val="100"/>
        <c:axId val="577022624"/>
        <c:axId val="577017920"/>
      </c:barChart>
      <c:catAx>
        <c:axId val="577022624"/>
        <c:scaling>
          <c:orientation val="minMax"/>
        </c:scaling>
        <c:delete val="1"/>
        <c:axPos val="b"/>
        <c:majorTickMark val="out"/>
        <c:minorTickMark val="none"/>
        <c:tickLblPos val="none"/>
        <c:crossAx val="577017920"/>
        <c:crosses val="autoZero"/>
        <c:auto val="1"/>
        <c:lblAlgn val="ctr"/>
        <c:lblOffset val="100"/>
        <c:noMultiLvlLbl val="0"/>
      </c:catAx>
      <c:valAx>
        <c:axId val="577017920"/>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77022624"/>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4285-4C41-BDCE-85233B558F60}"/>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4285-4C41-BDCE-85233B558F60}"/>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4285-4C41-BDCE-85233B558F60}"/>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4285-4C41-BDCE-85233B558F6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LIJV!$D$48:$D$51</c:f>
              <c:numCache>
                <c:formatCode>General</c:formatCode>
                <c:ptCount val="4"/>
                <c:pt idx="0">
                  <c:v>5</c:v>
                </c:pt>
                <c:pt idx="1">
                  <c:v>2</c:v>
                </c:pt>
                <c:pt idx="2">
                  <c:v>0</c:v>
                </c:pt>
                <c:pt idx="3">
                  <c:v>1</c:v>
                </c:pt>
              </c:numCache>
            </c:numRef>
          </c:val>
          <c:extLst>
            <c:ext xmlns:c16="http://schemas.microsoft.com/office/drawing/2014/chart" uri="{C3380CC4-5D6E-409C-BE32-E72D297353CC}">
              <c16:uniqueId val="{00000008-4285-4C41-BDCE-85233B558F60}"/>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752-4F34-BA4E-4E8CE18D5667}"/>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752-4F34-BA4E-4E8CE18D5667}"/>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752-4F34-BA4E-4E8CE18D5667}"/>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752-4F34-BA4E-4E8CE18D566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LIJV!$E$48:$E$51</c:f>
              <c:numCache>
                <c:formatCode>General</c:formatCode>
                <c:ptCount val="4"/>
                <c:pt idx="0">
                  <c:v>2</c:v>
                </c:pt>
                <c:pt idx="1">
                  <c:v>5</c:v>
                </c:pt>
                <c:pt idx="2">
                  <c:v>0</c:v>
                </c:pt>
                <c:pt idx="3">
                  <c:v>1</c:v>
                </c:pt>
              </c:numCache>
            </c:numRef>
          </c:val>
          <c:extLst>
            <c:ext xmlns:c16="http://schemas.microsoft.com/office/drawing/2014/chart" uri="{C3380CC4-5D6E-409C-BE32-E72D297353CC}">
              <c16:uniqueId val="{00000008-E752-4F34-BA4E-4E8CE18D566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DF1-43A5-992A-78890727FB81}"/>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DF1-43A5-992A-78890727FB81}"/>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DF1-43A5-992A-78890727FB81}"/>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DF1-43A5-992A-78890727FB8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LIJV!$F$48:$F$51</c:f>
              <c:numCache>
                <c:formatCode>General</c:formatCode>
                <c:ptCount val="4"/>
                <c:pt idx="0">
                  <c:v>4</c:v>
                </c:pt>
                <c:pt idx="1">
                  <c:v>4</c:v>
                </c:pt>
                <c:pt idx="2">
                  <c:v>0</c:v>
                </c:pt>
                <c:pt idx="3">
                  <c:v>0</c:v>
                </c:pt>
              </c:numCache>
            </c:numRef>
          </c:val>
          <c:extLst>
            <c:ext xmlns:c16="http://schemas.microsoft.com/office/drawing/2014/chart" uri="{C3380CC4-5D6E-409C-BE32-E72D297353CC}">
              <c16:uniqueId val="{00000008-EDF1-43A5-992A-78890727FB8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nl-NL" sz="2000" baseline="0"/>
              <a:t>GEMIDDELDE REFERENTIENIVEAU</a:t>
            </a:r>
            <a:endParaRPr lang="nl-NL" sz="2000"/>
          </a:p>
        </c:rich>
      </c:tx>
      <c:overlay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4.5195890246351934E-2"/>
          <c:y val="0.10535144169769725"/>
          <c:w val="0.94362037687338529"/>
          <c:h val="0.76952369241751239"/>
        </c:manualLayout>
      </c:layout>
      <c:barChart>
        <c:barDir val="col"/>
        <c:grouping val="clustered"/>
        <c:varyColors val="0"/>
        <c:ser>
          <c:idx val="0"/>
          <c:order val="0"/>
          <c:tx>
            <c:strRef>
              <c:f>[2]Referentieniveau!$R$5</c:f>
              <c:strCache>
                <c:ptCount val="1"/>
                <c:pt idx="0">
                  <c:v>B6</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([2]Referentieniveau!$S$5:$T$5,[2]Referentieniveau!$W$5:$X$5,[2]Referentieniveau!$AA$5:$AB$5)</c:f>
              <c:numCache>
                <c:formatCode>General</c:formatCode>
                <c:ptCount val="6"/>
                <c:pt idx="0">
                  <c:v>0</c:v>
                </c:pt>
                <c:pt idx="1">
                  <c:v>0</c:v>
                </c:pt>
                <c:pt idx="2">
                  <c:v>0.4</c:v>
                </c:pt>
                <c:pt idx="3">
                  <c:v>0</c:v>
                </c:pt>
                <c:pt idx="4">
                  <c:v>0</c:v>
                </c:pt>
                <c:pt idx="5">
                  <c:v>0</c:v>
                </c:pt>
              </c:numCache>
            </c:numRef>
          </c:val>
          <c:extLst>
            <c:ext xmlns:c16="http://schemas.microsoft.com/office/drawing/2014/chart" uri="{C3380CC4-5D6E-409C-BE32-E72D297353CC}">
              <c16:uniqueId val="{00000002-1469-4FA1-B7C1-F0F7CC95DF51}"/>
            </c:ext>
          </c:extLst>
        </c:ser>
        <c:ser>
          <c:idx val="1"/>
          <c:order val="1"/>
          <c:tx>
            <c:strRef>
              <c:f>[2]Referentieniveau!$R$6</c:f>
              <c:strCache>
                <c:ptCount val="1"/>
                <c:pt idx="0">
                  <c:v>M6</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4-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6-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([2]Referentieniveau!$S$6:$T$6,[2]Referentieniveau!$W$6:$X$6,[2]Referentieniveau!$AA$6:$AB$6)</c:f>
              <c:numCache>
                <c:formatCode>General</c:formatCode>
                <c:ptCount val="6"/>
                <c:pt idx="0">
                  <c:v>0.4</c:v>
                </c:pt>
                <c:pt idx="1">
                  <c:v>0</c:v>
                </c:pt>
                <c:pt idx="2">
                  <c:v>0.5</c:v>
                </c:pt>
                <c:pt idx="3">
                  <c:v>0</c:v>
                </c:pt>
                <c:pt idx="4">
                  <c:v>0.1</c:v>
                </c:pt>
                <c:pt idx="5">
                  <c:v>0</c:v>
                </c:pt>
              </c:numCache>
            </c:numRef>
          </c:val>
          <c:extLst>
            <c:ext xmlns:c16="http://schemas.microsoft.com/office/drawing/2014/chart" uri="{C3380CC4-5D6E-409C-BE32-E72D297353CC}">
              <c16:uniqueId val="{00000009-1469-4FA1-B7C1-F0F7CC95DF51}"/>
            </c:ext>
          </c:extLst>
        </c:ser>
        <c:ser>
          <c:idx val="2"/>
          <c:order val="2"/>
          <c:tx>
            <c:strRef>
              <c:f>[2]Referentieniveau!$R$7</c:f>
              <c:strCache>
                <c:ptCount val="1"/>
                <c:pt idx="0">
                  <c:v>B7</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([2]Referentieniveau!$S$7:$T$7,[2]Referentieniveau!$W$7:$X$7,[2]Referentieniveau!$AA$7:$AB$7)</c:f>
              <c:numCache>
                <c:formatCode>General</c:formatCode>
                <c:ptCount val="6"/>
                <c:pt idx="0">
                  <c:v>0.5</c:v>
                </c:pt>
                <c:pt idx="1">
                  <c:v>0.05</c:v>
                </c:pt>
                <c:pt idx="2">
                  <c:v>0.6</c:v>
                </c:pt>
                <c:pt idx="3">
                  <c:v>0</c:v>
                </c:pt>
                <c:pt idx="4">
                  <c:v>0.4</c:v>
                </c:pt>
                <c:pt idx="5">
                  <c:v>0</c:v>
                </c:pt>
              </c:numCache>
            </c:numRef>
          </c:val>
          <c:extLst>
            <c:ext xmlns:c16="http://schemas.microsoft.com/office/drawing/2014/chart" uri="{C3380CC4-5D6E-409C-BE32-E72D297353CC}">
              <c16:uniqueId val="{00000012-1469-4FA1-B7C1-F0F7CC95DF51}"/>
            </c:ext>
          </c:extLst>
        </c:ser>
        <c:ser>
          <c:idx val="3"/>
          <c:order val="3"/>
          <c:tx>
            <c:strRef>
              <c:f>[2]Referentieniveau!$R$8</c:f>
              <c:strCache>
                <c:ptCount val="1"/>
                <c:pt idx="0">
                  <c:v>M7</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4-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6-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8-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A-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C-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E-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([2]Referentieniveau!$S$8:$T$8,[2]Referentieniveau!$W$8:$X$8,[2]Referentieniveau!$AA$8:$AB$8)</c:f>
              <c:numCache>
                <c:formatCode>General</c:formatCode>
                <c:ptCount val="6"/>
                <c:pt idx="0">
                  <c:v>0.7</c:v>
                </c:pt>
                <c:pt idx="1">
                  <c:v>0.2</c:v>
                </c:pt>
                <c:pt idx="2">
                  <c:v>0.75</c:v>
                </c:pt>
                <c:pt idx="3">
                  <c:v>0.2</c:v>
                </c:pt>
                <c:pt idx="4">
                  <c:v>0.6</c:v>
                </c:pt>
                <c:pt idx="5">
                  <c:v>0.1</c:v>
                </c:pt>
              </c:numCache>
            </c:numRef>
          </c:val>
          <c:extLst>
            <c:ext xmlns:c16="http://schemas.microsoft.com/office/drawing/2014/chart" uri="{C3380CC4-5D6E-409C-BE32-E72D297353CC}">
              <c16:uniqueId val="{0000001F-1469-4FA1-B7C1-F0F7CC95DF51}"/>
            </c:ext>
          </c:extLst>
        </c:ser>
        <c:ser>
          <c:idx val="4"/>
          <c:order val="4"/>
          <c:tx>
            <c:strRef>
              <c:f>[2]Referentieniveau!$R$9</c:f>
              <c:strCache>
                <c:ptCount val="1"/>
                <c:pt idx="0">
                  <c:v>B8</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1-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3-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5-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7-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9-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B-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([2]Referentieniveau!$S$9:$T$9,[2]Referentieniveau!$W$9:$X$9,[2]Referentieniveau!$AA$9:$AB$9)</c:f>
              <c:numCache>
                <c:formatCode>General</c:formatCode>
                <c:ptCount val="6"/>
                <c:pt idx="0">
                  <c:v>0.75</c:v>
                </c:pt>
                <c:pt idx="1">
                  <c:v>0.25</c:v>
                </c:pt>
                <c:pt idx="2">
                  <c:v>0.8</c:v>
                </c:pt>
                <c:pt idx="3">
                  <c:v>0.25</c:v>
                </c:pt>
                <c:pt idx="4">
                  <c:v>0.75</c:v>
                </c:pt>
                <c:pt idx="5">
                  <c:v>0.2</c:v>
                </c:pt>
              </c:numCache>
            </c:numRef>
          </c:val>
          <c:extLst>
            <c:ext xmlns:c16="http://schemas.microsoft.com/office/drawing/2014/chart" uri="{C3380CC4-5D6E-409C-BE32-E72D297353CC}">
              <c16:uniqueId val="{0000002C-1469-4FA1-B7C1-F0F7CC95DF51}"/>
            </c:ext>
          </c:extLst>
        </c:ser>
        <c:ser>
          <c:idx val="5"/>
          <c:order val="5"/>
          <c:tx>
            <c:strRef>
              <c:f>[2]Referentieniveau!$R$10</c:f>
              <c:strCache>
                <c:ptCount val="1"/>
                <c:pt idx="0">
                  <c:v>M8</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E-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0-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2-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4-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6-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8-1469-4FA1-B7C1-F0F7CC95DF5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([2]Referentieniveau!$S$10:$T$10,[2]Referentieniveau!$W$10:$X$10,[2]Referentieniveau!$AA$10:$AB$10)</c:f>
              <c:numCache>
                <c:formatCode>General</c:formatCode>
                <c:ptCount val="6"/>
                <c:pt idx="0">
                  <c:v>0.8</c:v>
                </c:pt>
                <c:pt idx="1">
                  <c:v>0.45</c:v>
                </c:pt>
                <c:pt idx="2">
                  <c:v>0.85</c:v>
                </c:pt>
                <c:pt idx="3">
                  <c:v>0.45</c:v>
                </c:pt>
                <c:pt idx="4">
                  <c:v>0.9</c:v>
                </c:pt>
                <c:pt idx="5">
                  <c:v>0.3</c:v>
                </c:pt>
              </c:numCache>
            </c:numRef>
          </c:val>
          <c:extLst>
            <c:ext xmlns:c16="http://schemas.microsoft.com/office/drawing/2014/chart" uri="{C3380CC4-5D6E-409C-BE32-E72D297353CC}">
              <c16:uniqueId val="{00000039-1469-4FA1-B7C1-F0F7CC95DF51}"/>
            </c:ext>
          </c:extLst>
        </c:ser>
        <c:ser>
          <c:idx val="6"/>
          <c:order val="6"/>
          <c:tx>
            <c:strRef>
              <c:f>[2]Referentieniveau!$R$11</c:f>
              <c:strCache>
                <c:ptCount val="1"/>
                <c:pt idx="0">
                  <c:v>E8</c:v>
                </c:pt>
              </c:strCache>
            </c:strRef>
          </c:tx>
          <c:spPr>
            <a:solidFill>
              <a:srgbClr val="CCFFCC"/>
            </a:solidFill>
            <a:ln>
              <a:noFill/>
            </a:ln>
            <a:effectLst>
              <a:outerShdw blurRad="40000" dist="23000" dir="5400000" rotWithShape="0">
                <a:srgbClr val="000000">
                  <a:alpha val="35000"/>
                </a:srgbClr>
              </a:outerShdw>
            </a:effectLst>
          </c:spPr>
          <c:invertIfNegative val="0"/>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B-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D-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F-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41-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43-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([2]Referentieniveau!$S$4:$T$4,[2]Referentieniveau!$W$4:$X$4,[2]Referentieniveau!$AA$4:$AB$4)</c:f>
              <c:strCache>
                <c:ptCount val="6"/>
                <c:pt idx="0">
                  <c:v>1F</c:v>
                </c:pt>
                <c:pt idx="1">
                  <c:v>1S</c:v>
                </c:pt>
                <c:pt idx="2">
                  <c:v>1F</c:v>
                </c:pt>
                <c:pt idx="3">
                  <c:v>1S</c:v>
                </c:pt>
                <c:pt idx="4">
                  <c:v>1F</c:v>
                </c:pt>
                <c:pt idx="5">
                  <c:v>1S</c:v>
                </c:pt>
              </c:strCache>
            </c:strRef>
          </c:cat>
          <c:val>
            <c:numRef>
              <c:f>([2]Referentieniveau!$S$11:$T$11,[2]Referentieniveau!$W$11:$X$11,[2]Referentieniveau!$AA$11:$AB$11)</c:f>
              <c:numCache>
                <c:formatCode>General</c:formatCode>
                <c:ptCount val="6"/>
                <c:pt idx="0">
                  <c:v>0.96499999999999997</c:v>
                </c:pt>
                <c:pt idx="1">
                  <c:v>0.65</c:v>
                </c:pt>
                <c:pt idx="2">
                  <c:v>0.96499999999999997</c:v>
                </c:pt>
                <c:pt idx="3">
                  <c:v>0.65</c:v>
                </c:pt>
                <c:pt idx="4">
                  <c:v>0.96499999999999997</c:v>
                </c:pt>
                <c:pt idx="5">
                  <c:v>0.45</c:v>
                </c:pt>
              </c:numCache>
            </c:numRef>
          </c:val>
          <c:extLst>
            <c:ext xmlns:c16="http://schemas.microsoft.com/office/drawing/2014/chart" uri="{C3380CC4-5D6E-409C-BE32-E72D297353CC}">
              <c16:uniqueId val="{00000044-1469-4FA1-B7C1-F0F7CC95DF51}"/>
            </c:ext>
          </c:extLst>
        </c:ser>
        <c:dLbls>
          <c:dLblPos val="outEnd"/>
          <c:showLegendKey val="0"/>
          <c:showVal val="1"/>
          <c:showCatName val="0"/>
          <c:showSerName val="0"/>
          <c:showPercent val="0"/>
          <c:showBubbleSize val="0"/>
        </c:dLbls>
        <c:gapWidth val="24"/>
        <c:overlap val="-24"/>
        <c:axId val="1495336520"/>
        <c:axId val="1495338816"/>
      </c:barChart>
      <c:catAx>
        <c:axId val="1495336520"/>
        <c:scaling>
          <c:orientation val="minMax"/>
        </c:scaling>
        <c:delete val="1"/>
        <c:axPos val="b"/>
        <c:numFmt formatCode="General" sourceLinked="1"/>
        <c:majorTickMark val="out"/>
        <c:minorTickMark val="none"/>
        <c:tickLblPos val="nextTo"/>
        <c:crossAx val="1495338816"/>
        <c:crosses val="autoZero"/>
        <c:auto val="1"/>
        <c:lblAlgn val="ctr"/>
        <c:lblOffset val="100"/>
        <c:noMultiLvlLbl val="0"/>
      </c:catAx>
      <c:valAx>
        <c:axId val="1495338816"/>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nl-NL"/>
          </a:p>
        </c:txPr>
        <c:crossAx val="1495336520"/>
        <c:crosses val="autoZero"/>
        <c:crossBetween val="between"/>
      </c:valAx>
      <c:spPr>
        <a:noFill/>
        <a:ln>
          <a:noFill/>
        </a:ln>
        <a:effectLst/>
      </c:spPr>
    </c:plotArea>
    <c:plotVisOnly val="1"/>
    <c:dispBlanksAs val="gap"/>
    <c:showDLblsOverMax val="0"/>
  </c:chart>
  <c:spPr>
    <a:solidFill>
      <a:schemeClr val="bg1"/>
    </a:solidFill>
    <a:ln w="38100" cap="flat" cmpd="sng" algn="ctr">
      <a:solidFill>
        <a:srgbClr val="0070C0"/>
      </a:solidFill>
      <a:round/>
    </a:ln>
    <a:effectLst/>
  </c:spPr>
  <c:txPr>
    <a:bodyPr/>
    <a:lstStyle/>
    <a:p>
      <a:pPr>
        <a:defRPr sz="1100">
          <a:solidFill>
            <a:sysClr val="windowText" lastClr="000000"/>
          </a:solidFill>
        </a:defRPr>
      </a:pPr>
      <a:endParaRPr lang="nl-NL"/>
    </a:p>
  </c:txPr>
  <c:printSettings>
    <c:headerFooter/>
    <c:pageMargins b="0.75" l="0.7" r="0.7" t="0.75" header="0.3" footer="0.3"/>
    <c:pageSetup paperSize="9" orientation="landscape" horizontalDpi="-3"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0B0-462B-B13B-13A9A3D46BB1}"/>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0B0-462B-B13B-13A9A3D46BB1}"/>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0B0-462B-B13B-13A9A3D46BB1}"/>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0B0-462B-B13B-13A9A3D46BB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LIJV!$G$48:$G$51</c:f>
              <c:numCache>
                <c:formatCode>General</c:formatCode>
                <c:ptCount val="4"/>
                <c:pt idx="0">
                  <c:v>4</c:v>
                </c:pt>
                <c:pt idx="1">
                  <c:v>4</c:v>
                </c:pt>
                <c:pt idx="2">
                  <c:v>0</c:v>
                </c:pt>
                <c:pt idx="3">
                  <c:v>0</c:v>
                </c:pt>
              </c:numCache>
            </c:numRef>
          </c:val>
          <c:extLst>
            <c:ext xmlns:c16="http://schemas.microsoft.com/office/drawing/2014/chart" uri="{C3380CC4-5D6E-409C-BE32-E72D297353CC}">
              <c16:uniqueId val="{00000008-E0B0-462B-B13B-13A9A3D46BB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FCF4-4FDD-ADA2-A7545D3AC91C}"/>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FCF4-4FDD-ADA2-A7545D3AC91C}"/>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FCF4-4FDD-ADA2-A7545D3AC91C}"/>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FCF4-4FDD-ADA2-A7545D3AC91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LIJV!$P$48:$P$51</c:f>
              <c:numCache>
                <c:formatCode>General</c:formatCode>
                <c:ptCount val="4"/>
                <c:pt idx="0">
                  <c:v>4</c:v>
                </c:pt>
                <c:pt idx="1">
                  <c:v>3</c:v>
                </c:pt>
                <c:pt idx="2">
                  <c:v>0</c:v>
                </c:pt>
                <c:pt idx="3">
                  <c:v>1</c:v>
                </c:pt>
              </c:numCache>
            </c:numRef>
          </c:val>
          <c:extLst>
            <c:ext xmlns:c16="http://schemas.microsoft.com/office/drawing/2014/chart" uri="{C3380CC4-5D6E-409C-BE32-E72D297353CC}">
              <c16:uniqueId val="{00000008-FCF4-4FDD-ADA2-A7545D3AC91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9A23-4568-A617-B298933D648F}"/>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9A23-4568-A617-B298933D648F}"/>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9A23-4568-A617-B298933D648F}"/>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9A23-4568-A617-B298933D648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LIJV!$Q$48:$Q$51</c:f>
              <c:numCache>
                <c:formatCode>General</c:formatCode>
                <c:ptCount val="4"/>
                <c:pt idx="0">
                  <c:v>0</c:v>
                </c:pt>
                <c:pt idx="1">
                  <c:v>7</c:v>
                </c:pt>
                <c:pt idx="2">
                  <c:v>0</c:v>
                </c:pt>
                <c:pt idx="3">
                  <c:v>1</c:v>
                </c:pt>
              </c:numCache>
            </c:numRef>
          </c:val>
          <c:extLst>
            <c:ext xmlns:c16="http://schemas.microsoft.com/office/drawing/2014/chart" uri="{C3380CC4-5D6E-409C-BE32-E72D297353CC}">
              <c16:uniqueId val="{00000008-9A23-4568-A617-B298933D648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DFB3-4345-B966-5CFB643032E0}"/>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DFB3-4345-B966-5CFB643032E0}"/>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DFB3-4345-B966-5CFB643032E0}"/>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DFB3-4345-B966-5CFB643032E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LIJV!$R$48:$R$51</c:f>
              <c:numCache>
                <c:formatCode>General</c:formatCode>
                <c:ptCount val="4"/>
                <c:pt idx="0">
                  <c:v>3</c:v>
                </c:pt>
                <c:pt idx="1">
                  <c:v>4</c:v>
                </c:pt>
                <c:pt idx="2">
                  <c:v>0</c:v>
                </c:pt>
                <c:pt idx="3">
                  <c:v>1</c:v>
                </c:pt>
              </c:numCache>
            </c:numRef>
          </c:val>
          <c:extLst>
            <c:ext xmlns:c16="http://schemas.microsoft.com/office/drawing/2014/chart" uri="{C3380CC4-5D6E-409C-BE32-E72D297353CC}">
              <c16:uniqueId val="{00000008-DFB3-4345-B966-5CFB643032E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64A9-44D8-AF54-643D04C2B5E6}"/>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64A9-44D8-AF54-643D04C2B5E6}"/>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64A9-44D8-AF54-643D04C2B5E6}"/>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64A9-44D8-AF54-643D04C2B5E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LIJV!$S$48:$S$51</c:f>
              <c:numCache>
                <c:formatCode>General</c:formatCode>
                <c:ptCount val="4"/>
                <c:pt idx="0">
                  <c:v>1</c:v>
                </c:pt>
                <c:pt idx="1">
                  <c:v>6</c:v>
                </c:pt>
                <c:pt idx="2">
                  <c:v>0</c:v>
                </c:pt>
                <c:pt idx="3">
                  <c:v>1</c:v>
                </c:pt>
              </c:numCache>
            </c:numRef>
          </c:val>
          <c:extLst>
            <c:ext xmlns:c16="http://schemas.microsoft.com/office/drawing/2014/chart" uri="{C3380CC4-5D6E-409C-BE32-E72D297353CC}">
              <c16:uniqueId val="{00000008-64A9-44D8-AF54-643D04C2B5E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CDB3-46EF-8347-F8A5C564FBB5}"/>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CDB3-46EF-8347-F8A5C564FBB5}"/>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CDB3-46EF-8347-F8A5C564FBB5}"/>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CDB3-46EF-8347-F8A5C564FBB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LIJV!$AB$48:$AB$51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CDB3-46EF-8347-F8A5C564FBB5}"/>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4A0B-426C-A252-5564A6331F6A}"/>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4A0B-426C-A252-5564A6331F6A}"/>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4A0B-426C-A252-5564A6331F6A}"/>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4A0B-426C-A252-5564A6331F6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LIJV!$AC$48:$AC$51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4A0B-426C-A252-5564A6331F6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7457-4793-8E65-D7CD4CDF5A4E}"/>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7457-4793-8E65-D7CD4CDF5A4E}"/>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7457-4793-8E65-D7CD4CDF5A4E}"/>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7457-4793-8E65-D7CD4CDF5A4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LIJV!$AD$48:$AD$51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7457-4793-8E65-D7CD4CDF5A4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7334-4699-B1E9-89D4C30F555E}"/>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7334-4699-B1E9-89D4C30F555E}"/>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7334-4699-B1E9-89D4C30F555E}"/>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7334-4699-B1E9-89D4C30F555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LIJV!$AE$48:$AE$51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7334-4699-B1E9-89D4C30F55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1E43-49E1-9C1A-27D978B5B79A}"/>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1E43-49E1-9C1A-27D978B5B79A}"/>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1E43-49E1-9C1A-27D978B5B79A}"/>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1E43-49E1-9C1A-27D978B5B79A}"/>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1E43-49E1-9C1A-27D978B5B79A}"/>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1E43-49E1-9C1A-27D978B5B79A}"/>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1E43-49E1-9C1A-27D978B5B79A}"/>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1E43-49E1-9C1A-27D978B5B79A}"/>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1E43-49E1-9C1A-27D978B5B79A}"/>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1E43-49E1-9C1A-27D978B5B79A}"/>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1E43-49E1-9C1A-27D978B5B79A}"/>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1E43-49E1-9C1A-27D978B5B79A}"/>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1E43-49E1-9C1A-27D978B5B79A}"/>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1E43-49E1-9C1A-27D978B5B79A}"/>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1E43-49E1-9C1A-27D978B5B79A}"/>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1E43-49E1-9C1A-27D978B5B79A}"/>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1E43-49E1-9C1A-27D978B5B79A}"/>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1E43-49E1-9C1A-27D978B5B79A}"/>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1E43-49E1-9C1A-27D978B5B79A}"/>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1E43-49E1-9C1A-27D978B5B79A}"/>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1E43-49E1-9C1A-27D978B5B79A}"/>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1E43-49E1-9C1A-27D978B5B79A}"/>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1E43-49E1-9C1A-27D978B5B79A}"/>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1E43-49E1-9C1A-27D978B5B79A}"/>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Referentieniveau!$AH$4:$AI$45</c:f>
              <c:multiLvlStrCache>
                <c:ptCount val="42"/>
                <c:lvl>
                  <c:pt idx="0">
                    <c:v>B6</c:v>
                  </c:pt>
                  <c:pt idx="1">
                    <c:v>M6</c:v>
                  </c:pt>
                  <c:pt idx="2">
                    <c:v>B7</c:v>
                  </c:pt>
                  <c:pt idx="3">
                    <c:v>M7</c:v>
                  </c:pt>
                  <c:pt idx="4">
                    <c:v>B8</c:v>
                  </c:pt>
                  <c:pt idx="5">
                    <c:v>M8</c:v>
                  </c:pt>
                  <c:pt idx="6">
                    <c:v>E8</c:v>
                  </c:pt>
                  <c:pt idx="7">
                    <c:v>B6</c:v>
                  </c:pt>
                  <c:pt idx="8">
                    <c:v>M6</c:v>
                  </c:pt>
                  <c:pt idx="9">
                    <c:v>B7</c:v>
                  </c:pt>
                  <c:pt idx="10">
                    <c:v>M7</c:v>
                  </c:pt>
                  <c:pt idx="11">
                    <c:v>B8</c:v>
                  </c:pt>
                  <c:pt idx="12">
                    <c:v>M8</c:v>
                  </c:pt>
                  <c:pt idx="13">
                    <c:v>E8</c:v>
                  </c:pt>
                  <c:pt idx="14">
                    <c:v>B6</c:v>
                  </c:pt>
                  <c:pt idx="15">
                    <c:v>M6</c:v>
                  </c:pt>
                  <c:pt idx="16">
                    <c:v>B7</c:v>
                  </c:pt>
                  <c:pt idx="17">
                    <c:v>M7</c:v>
                  </c:pt>
                  <c:pt idx="18">
                    <c:v>B8</c:v>
                  </c:pt>
                  <c:pt idx="19">
                    <c:v>M8</c:v>
                  </c:pt>
                  <c:pt idx="20">
                    <c:v>E8</c:v>
                  </c:pt>
                  <c:pt idx="21">
                    <c:v>B6</c:v>
                  </c:pt>
                  <c:pt idx="22">
                    <c:v>M6</c:v>
                  </c:pt>
                  <c:pt idx="23">
                    <c:v>B7</c:v>
                  </c:pt>
                  <c:pt idx="24">
                    <c:v>M7</c:v>
                  </c:pt>
                  <c:pt idx="25">
                    <c:v>B8</c:v>
                  </c:pt>
                  <c:pt idx="26">
                    <c:v>M8</c:v>
                  </c:pt>
                  <c:pt idx="27">
                    <c:v>E8</c:v>
                  </c:pt>
                  <c:pt idx="28">
                    <c:v>B6</c:v>
                  </c:pt>
                  <c:pt idx="29">
                    <c:v>M6</c:v>
                  </c:pt>
                  <c:pt idx="30">
                    <c:v>B7</c:v>
                  </c:pt>
                  <c:pt idx="31">
                    <c:v>M7</c:v>
                  </c:pt>
                  <c:pt idx="32">
                    <c:v>B8</c:v>
                  </c:pt>
                  <c:pt idx="33">
                    <c:v>M8</c:v>
                  </c:pt>
                  <c:pt idx="34">
                    <c:v>E8</c:v>
                  </c:pt>
                  <c:pt idx="35">
                    <c:v>B6</c:v>
                  </c:pt>
                  <c:pt idx="36">
                    <c:v>M6</c:v>
                  </c:pt>
                  <c:pt idx="37">
                    <c:v>B7</c:v>
                  </c:pt>
                  <c:pt idx="38">
                    <c:v>M7</c:v>
                  </c:pt>
                  <c:pt idx="39">
                    <c:v>B8</c:v>
                  </c:pt>
                  <c:pt idx="40">
                    <c:v>M8</c:v>
                  </c:pt>
                  <c:pt idx="41">
                    <c:v>E8</c:v>
                  </c:pt>
                </c:lvl>
                <c:lvl>
                  <c:pt idx="0">
                    <c:v>1F</c:v>
                  </c:pt>
                  <c:pt idx="7">
                    <c:v>2F</c:v>
                  </c:pt>
                  <c:pt idx="14">
                    <c:v>1F</c:v>
                  </c:pt>
                  <c:pt idx="20">
                    <c:v>2F</c:v>
                  </c:pt>
                  <c:pt idx="28">
                    <c:v>1F</c:v>
                  </c:pt>
                  <c:pt idx="35">
                    <c:v>1S</c:v>
                  </c:pt>
                </c:lvl>
              </c:multiLvlStrCache>
            </c:multiLvlStrRef>
          </c:cat>
          <c:val>
            <c:numRef>
              <c:f>Referentieniveau!$AJ$4:$AJ$45</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04AC-4CE0-9920-4DB2DD7BECA6}"/>
            </c:ext>
          </c:extLst>
        </c:ser>
        <c:dLbls>
          <c:showLegendKey val="0"/>
          <c:showVal val="0"/>
          <c:showCatName val="0"/>
          <c:showSerName val="0"/>
          <c:showPercent val="0"/>
          <c:showBubbleSize val="0"/>
        </c:dLbls>
        <c:gapWidth val="219"/>
        <c:overlap val="-27"/>
        <c:axId val="943720032"/>
        <c:axId val="943718720"/>
      </c:barChart>
      <c:catAx>
        <c:axId val="943720032"/>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nl-NL"/>
          </a:p>
        </c:txPr>
        <c:crossAx val="943718720"/>
        <c:crosses val="autoZero"/>
        <c:auto val="1"/>
        <c:lblAlgn val="ctr"/>
        <c:lblOffset val="100"/>
        <c:noMultiLvlLbl val="0"/>
      </c:catAx>
      <c:valAx>
        <c:axId val="943718720"/>
        <c:scaling>
          <c:orientation val="minMax"/>
        </c:scaling>
        <c:delete val="1"/>
        <c:axPos val="l"/>
        <c:numFmt formatCode="General" sourceLinked="1"/>
        <c:majorTickMark val="out"/>
        <c:minorTickMark val="none"/>
        <c:tickLblPos val="nextTo"/>
        <c:crossAx val="94372003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1200" b="0">
          <a:solidFill>
            <a:sysClr val="windowText" lastClr="000000"/>
          </a:solidFill>
        </a:defRPr>
      </a:pPr>
      <a:endParaRPr lang="nl-N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D518-44A4-9039-F2606427EFF5}"/>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D518-44A4-9039-F2606427EFF5}"/>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D518-44A4-9039-F2606427EFF5}"/>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D518-44A4-9039-F2606427EFF5}"/>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D518-44A4-9039-F2606427EFF5}"/>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D518-44A4-9039-F2606427EFF5}"/>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D518-44A4-9039-F2606427EFF5}"/>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D518-44A4-9039-F2606427EFF5}"/>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D518-44A4-9039-F2606427EFF5}"/>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D518-44A4-9039-F2606427EFF5}"/>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D518-44A4-9039-F2606427EFF5}"/>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D518-44A4-9039-F2606427EFF5}"/>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D518-44A4-9039-F2606427EFF5}"/>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D518-44A4-9039-F2606427EFF5}"/>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D518-44A4-9039-F2606427EFF5}"/>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D518-44A4-9039-F2606427EFF5}"/>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D518-44A4-9039-F2606427EFF5}"/>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D518-44A4-9039-F2606427EFF5}"/>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D518-44A4-9039-F2606427EFF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D518-44A4-9039-F2606427EFF5}"/>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D518-44A4-9039-F2606427EFF5}"/>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D518-44A4-9039-F2606427EFF5}"/>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D518-44A4-9039-F2606427EFF5}"/>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D518-44A4-9039-F2606427EFF5}"/>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AEA4-4D4F-87AC-FB3A1A25E84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AEA4-4D4F-87AC-FB3A1A25E84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AEA4-4D4F-87AC-FB3A1A25E84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AEA4-4D4F-87AC-FB3A1A25E84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AEA4-4D4F-87AC-FB3A1A25E84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AEA4-4D4F-87AC-FB3A1A25E84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AEA4-4D4F-87AC-FB3A1A25E84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AEA4-4D4F-87AC-FB3A1A25E84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AEA4-4D4F-87AC-FB3A1A25E84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AEA4-4D4F-87AC-FB3A1A25E84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AEA4-4D4F-87AC-FB3A1A25E84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AEA4-4D4F-87AC-FB3A1A25E84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AEA4-4D4F-87AC-FB3A1A25E84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AEA4-4D4F-87AC-FB3A1A25E84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AEA4-4D4F-87AC-FB3A1A25E84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AEA4-4D4F-87AC-FB3A1A25E84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AEA4-4D4F-87AC-FB3A1A25E84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AEA4-4D4F-87AC-FB3A1A25E84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AEA4-4D4F-87AC-FB3A1A25E84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AEA4-4D4F-87AC-FB3A1A25E84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AEA4-4D4F-87AC-FB3A1A25E84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AEA4-4D4F-87AC-FB3A1A25E84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AEA4-4D4F-87AC-FB3A1A25E84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AEA4-4D4F-87AC-FB3A1A25E84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ECF1-4D2F-88F8-7AE37EB4C417}"/>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ECF1-4D2F-88F8-7AE37EB4C417}"/>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ECF1-4D2F-88F8-7AE37EB4C417}"/>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ECF1-4D2F-88F8-7AE37EB4C417}"/>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ECF1-4D2F-88F8-7AE37EB4C417}"/>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ECF1-4D2F-88F8-7AE37EB4C417}"/>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ECF1-4D2F-88F8-7AE37EB4C417}"/>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ECF1-4D2F-88F8-7AE37EB4C417}"/>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ECF1-4D2F-88F8-7AE37EB4C417}"/>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ECF1-4D2F-88F8-7AE37EB4C417}"/>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ECF1-4D2F-88F8-7AE37EB4C417}"/>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ECF1-4D2F-88F8-7AE37EB4C417}"/>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ECF1-4D2F-88F8-7AE37EB4C417}"/>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ECF1-4D2F-88F8-7AE37EB4C417}"/>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ECF1-4D2F-88F8-7AE37EB4C417}"/>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ECF1-4D2F-88F8-7AE37EB4C417}"/>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ECF1-4D2F-88F8-7AE37EB4C417}"/>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ECF1-4D2F-88F8-7AE37EB4C417}"/>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ECF1-4D2F-88F8-7AE37EB4C4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ECF1-4D2F-88F8-7AE37EB4C417}"/>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ECF1-4D2F-88F8-7AE37EB4C417}"/>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ECF1-4D2F-88F8-7AE37EB4C417}"/>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ECF1-4D2F-88F8-7AE37EB4C417}"/>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ECF1-4D2F-88F8-7AE37EB4C417}"/>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BA9B-4518-9876-A78EF887FB2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BA9B-4518-9876-A78EF887FB2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BA9B-4518-9876-A78EF887FB2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BA9B-4518-9876-A78EF887FB2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BA9B-4518-9876-A78EF887FB2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BA9B-4518-9876-A78EF887FB2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BA9B-4518-9876-A78EF887FB2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BA9B-4518-9876-A78EF887FB2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BA9B-4518-9876-A78EF887FB2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BA9B-4518-9876-A78EF887FB2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BA9B-4518-9876-A78EF887FB2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BA9B-4518-9876-A78EF887FB2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BA9B-4518-9876-A78EF887FB2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BA9B-4518-9876-A78EF887FB2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BA9B-4518-9876-A78EF887FB2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BA9B-4518-9876-A78EF887FB2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BA9B-4518-9876-A78EF887FB2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BA9B-4518-9876-A78EF887FB2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BA9B-4518-9876-A78EF887FB2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BA9B-4518-9876-A78EF887FB2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BA9B-4518-9876-A78EF887FB2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BA9B-4518-9876-A78EF887FB2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BA9B-4518-9876-A78EF887FB2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BA9B-4518-9876-A78EF887FB2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89F4-4E0B-B627-C9AE03FCB2FF}"/>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89F4-4E0B-B627-C9AE03FCB2FF}"/>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89F4-4E0B-B627-C9AE03FCB2FF}"/>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89F4-4E0B-B627-C9AE03FCB2FF}"/>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89F4-4E0B-B627-C9AE03FCB2FF}"/>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89F4-4E0B-B627-C9AE03FCB2FF}"/>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89F4-4E0B-B627-C9AE03FCB2FF}"/>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89F4-4E0B-B627-C9AE03FCB2FF}"/>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89F4-4E0B-B627-C9AE03FCB2FF}"/>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89F4-4E0B-B627-C9AE03FCB2FF}"/>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89F4-4E0B-B627-C9AE03FCB2FF}"/>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89F4-4E0B-B627-C9AE03FCB2FF}"/>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89F4-4E0B-B627-C9AE03FCB2FF}"/>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89F4-4E0B-B627-C9AE03FCB2FF}"/>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89F4-4E0B-B627-C9AE03FCB2FF}"/>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89F4-4E0B-B627-C9AE03FCB2FF}"/>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89F4-4E0B-B627-C9AE03FCB2FF}"/>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89F4-4E0B-B627-C9AE03FCB2FF}"/>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89F4-4E0B-B627-C9AE03FCB2F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89F4-4E0B-B627-C9AE03FCB2FF}"/>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89F4-4E0B-B627-C9AE03FCB2FF}"/>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89F4-4E0B-B627-C9AE03FCB2FF}"/>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89F4-4E0B-B627-C9AE03FCB2FF}"/>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89F4-4E0B-B627-C9AE03FCB2FF}"/>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'VERWIJZING - VO'!$AP$4</c:f>
              <c:strCache>
                <c:ptCount val="1"/>
                <c:pt idx="0">
                  <c:v>Groep 8</c:v>
                </c:pt>
              </c:strCache>
            </c:strRef>
          </c:tx>
          <c:spPr>
            <a:solidFill>
              <a:srgbClr val="00FF00">
                <a:alpha val="50196"/>
              </a:srgbClr>
            </a:solidFill>
            <a:ln w="38100">
              <a:solidFill>
                <a:schemeClr val="accent1"/>
              </a:solidFill>
            </a:ln>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'VERWIJZING - VO'!$AM$5:$AM$15</c:f>
              <c:strCache>
                <c:ptCount val="9"/>
                <c:pt idx="0">
                  <c:v>PRO/BB</c:v>
                </c:pt>
                <c:pt idx="2">
                  <c:v>BB/KB</c:v>
                </c:pt>
                <c:pt idx="4">
                  <c:v>KB/TL</c:v>
                </c:pt>
                <c:pt idx="6">
                  <c:v>TL/HAVO</c:v>
                </c:pt>
                <c:pt idx="8">
                  <c:v>HAVO/VWO</c:v>
                </c:pt>
              </c:strCache>
            </c:strRef>
          </c:cat>
          <c:val>
            <c:numRef>
              <c:f>'VERWIJZING - VO'!$AP$5:$AP$15</c:f>
              <c:numCache>
                <c:formatCode>0%</c:formatCode>
                <c:ptCount val="11"/>
                <c:pt idx="0">
                  <c:v>0</c:v>
                </c:pt>
                <c:pt idx="2">
                  <c:v>0</c:v>
                </c:pt>
                <c:pt idx="4">
                  <c:v>0</c:v>
                </c:pt>
                <c:pt idx="6">
                  <c:v>0</c:v>
                </c:pt>
                <c:pt idx="8">
                  <c:v>0</c:v>
                </c:pt>
              </c:numCache>
            </c:numRef>
          </c:val>
          <c:extLst>
            <c:ext xmlns:c14="http://schemas.microsoft.com/office/drawing/2007/8/2/chart" uri="{6F2FDCE9-48DA-4B69-8628-5D25D57E5C99}">
              <c14:invertSolidFillFmt>
                <c14:spPr xmlns:c14="http://schemas.microsoft.com/office/drawing/2007/8/2/chart">
                  <a:solidFill>
                    <a:srgbClr val="FFFFFF"/>
                  </a:solidFill>
                  <a:ln w="38100">
                    <a:solidFill>
                      <a:schemeClr val="accent1"/>
                    </a:solidFill>
                  </a:ln>
                  <a:effectLst/>
                </c14:spPr>
              </c14:invertSolidFillFmt>
            </c:ext>
            <c:ext xmlns:c16="http://schemas.microsoft.com/office/drawing/2014/chart" uri="{C3380CC4-5D6E-409C-BE32-E72D297353CC}">
              <c16:uniqueId val="{00000000-E03A-410A-BA9A-18A849651733}"/>
            </c:ext>
          </c:extLst>
        </c:ser>
        <c:dLbls>
          <c:showLegendKey val="0"/>
          <c:showVal val="0"/>
          <c:showCatName val="0"/>
          <c:showSerName val="0"/>
          <c:showPercent val="0"/>
          <c:showBubbleSize val="0"/>
        </c:dLbls>
        <c:gapWidth val="0"/>
        <c:axId val="461400240"/>
        <c:axId val="461401416"/>
      </c:barChart>
      <c:barChart>
        <c:barDir val="col"/>
        <c:grouping val="clustered"/>
        <c:varyColors val="0"/>
        <c:ser>
          <c:idx val="1"/>
          <c:order val="1"/>
          <c:tx>
            <c:strRef>
              <c:f>'VERWIJZING - VO'!$AR$4</c:f>
              <c:strCache>
                <c:ptCount val="1"/>
                <c:pt idx="0">
                  <c:v>Landelijk</c:v>
                </c:pt>
              </c:strCache>
            </c:strRef>
          </c:tx>
          <c:spPr>
            <a:solidFill>
              <a:srgbClr val="FF0000">
                <a:alpha val="50000"/>
              </a:srgbClr>
            </a:solidFill>
            <a:ln w="3810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'VERWIJZING - VO'!$AL$5:$AL$14</c:f>
              <c:strCache>
                <c:ptCount val="10"/>
                <c:pt idx="0">
                  <c:v>PRO</c:v>
                </c:pt>
                <c:pt idx="1">
                  <c:v>BB</c:v>
                </c:pt>
                <c:pt idx="2">
                  <c:v>BB/KB</c:v>
                </c:pt>
                <c:pt idx="3">
                  <c:v>KB</c:v>
                </c:pt>
                <c:pt idx="4">
                  <c:v>KB/TL</c:v>
                </c:pt>
                <c:pt idx="5">
                  <c:v>TL</c:v>
                </c:pt>
                <c:pt idx="6">
                  <c:v>TL/HAVO</c:v>
                </c:pt>
                <c:pt idx="7">
                  <c:v>HAVO</c:v>
                </c:pt>
                <c:pt idx="8">
                  <c:v>HAVO/VWO</c:v>
                </c:pt>
                <c:pt idx="9">
                  <c:v>VWO</c:v>
                </c:pt>
              </c:strCache>
            </c:strRef>
          </c:cat>
          <c:val>
            <c:numRef>
              <c:f>'VERWIJZING - VO'!$AR$5:$AR$14</c:f>
              <c:numCache>
                <c:formatCode>0%</c:formatCode>
                <c:ptCount val="10"/>
                <c:pt idx="0">
                  <c:v>0.08</c:v>
                </c:pt>
                <c:pt idx="2">
                  <c:v>0.13</c:v>
                </c:pt>
                <c:pt idx="4">
                  <c:v>0.24</c:v>
                </c:pt>
                <c:pt idx="6">
                  <c:v>0.27</c:v>
                </c:pt>
                <c:pt idx="8">
                  <c:v>0.28000000000000003</c:v>
                </c:pt>
              </c:numCache>
            </c:numRef>
          </c:val>
          <c:extLst>
            <c:ext xmlns:c16="http://schemas.microsoft.com/office/drawing/2014/chart" uri="{C3380CC4-5D6E-409C-BE32-E72D297353CC}">
              <c16:uniqueId val="{00000001-E03A-410A-BA9A-18A849651733}"/>
            </c:ext>
          </c:extLst>
        </c:ser>
        <c:dLbls>
          <c:showLegendKey val="0"/>
          <c:showVal val="0"/>
          <c:showCatName val="0"/>
          <c:showSerName val="0"/>
          <c:showPercent val="0"/>
          <c:showBubbleSize val="0"/>
        </c:dLbls>
        <c:gapWidth val="0"/>
        <c:overlap val="21"/>
        <c:axId val="461393968"/>
        <c:axId val="461396320"/>
      </c:barChart>
      <c:catAx>
        <c:axId val="46140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461401416"/>
        <c:crosses val="autoZero"/>
        <c:auto val="1"/>
        <c:lblAlgn val="ctr"/>
        <c:lblOffset val="100"/>
        <c:noMultiLvlLbl val="0"/>
      </c:catAx>
      <c:valAx>
        <c:axId val="461401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461400240"/>
        <c:crosses val="autoZero"/>
        <c:crossBetween val="between"/>
      </c:valAx>
      <c:valAx>
        <c:axId val="461396320"/>
        <c:scaling>
          <c:orientation val="minMax"/>
        </c:scaling>
        <c:delete val="1"/>
        <c:axPos val="r"/>
        <c:numFmt formatCode="0%" sourceLinked="1"/>
        <c:majorTickMark val="out"/>
        <c:minorTickMark val="none"/>
        <c:tickLblPos val="nextTo"/>
        <c:crossAx val="461393968"/>
        <c:crosses val="max"/>
        <c:crossBetween val="between"/>
      </c:valAx>
      <c:catAx>
        <c:axId val="461393968"/>
        <c:scaling>
          <c:orientation val="minMax"/>
        </c:scaling>
        <c:delete val="1"/>
        <c:axPos val="b"/>
        <c:numFmt formatCode="General" sourceLinked="1"/>
        <c:majorTickMark val="out"/>
        <c:minorTickMark val="none"/>
        <c:tickLblPos val="nextTo"/>
        <c:crossAx val="4613963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legend>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periode'!$N$51</c:f>
              <c:numCache>
                <c:formatCode>0%</c:formatCode>
                <c:ptCount val="1"/>
                <c:pt idx="0">
                  <c:v>0.875</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1395144"/>
        <c:axId val="461394752"/>
      </c:barChart>
      <c:valAx>
        <c:axId val="461394752"/>
        <c:scaling>
          <c:orientation val="minMax"/>
          <c:max val="1"/>
        </c:scaling>
        <c:delete val="1"/>
        <c:axPos val="t"/>
        <c:numFmt formatCode="0%" sourceLinked="1"/>
        <c:majorTickMark val="out"/>
        <c:minorTickMark val="none"/>
        <c:tickLblPos val="nextTo"/>
        <c:crossAx val="461395144"/>
        <c:crosses val="max"/>
        <c:crossBetween val="between"/>
      </c:valAx>
      <c:catAx>
        <c:axId val="461395144"/>
        <c:scaling>
          <c:orientation val="minMax"/>
        </c:scaling>
        <c:delete val="1"/>
        <c:axPos val="l"/>
        <c:majorTickMark val="out"/>
        <c:minorTickMark val="none"/>
        <c:tickLblPos val="nextTo"/>
        <c:crossAx val="46139475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90B5-4373-B1E3-7D4A3AB5F2E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90B5-4373-B1E3-7D4A3AB5F2E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90B5-4373-B1E3-7D4A3AB5F2E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90B5-4373-B1E3-7D4A3AB5F2E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90B5-4373-B1E3-7D4A3AB5F2E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90B5-4373-B1E3-7D4A3AB5F2E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90B5-4373-B1E3-7D4A3AB5F2E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90B5-4373-B1E3-7D4A3AB5F2E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90B5-4373-B1E3-7D4A3AB5F2E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90B5-4373-B1E3-7D4A3AB5F2E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90B5-4373-B1E3-7D4A3AB5F2E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90B5-4373-B1E3-7D4A3AB5F2E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90B5-4373-B1E3-7D4A3AB5F2E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90B5-4373-B1E3-7D4A3AB5F2E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90B5-4373-B1E3-7D4A3AB5F2E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90B5-4373-B1E3-7D4A3AB5F2E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90B5-4373-B1E3-7D4A3AB5F2E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90B5-4373-B1E3-7D4A3AB5F2E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90B5-4373-B1E3-7D4A3AB5F2E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90B5-4373-B1E3-7D4A3AB5F2E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90B5-4373-B1E3-7D4A3AB5F2E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90B5-4373-B1E3-7D4A3AB5F2E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90B5-4373-B1E3-7D4A3AB5F2E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90B5-4373-B1E3-7D4A3AB5F2E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vorige jaar'!$H$12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vorige jaar'!$H$14</c:f>
              <c:numCache>
                <c:formatCode>General</c:formatCode>
                <c:ptCount val="1"/>
                <c:pt idx="0">
                  <c:v>8.4</c:v>
                </c:pt>
              </c:numCache>
            </c:numRef>
          </c:val>
          <c:extLst>
            <c:ext xmlns:c16="http://schemas.microsoft.com/office/drawing/2014/chart" uri="{C3380CC4-5D6E-409C-BE32-E72D297353CC}">
              <c16:uniqueId val="{00000000-4FA4-4C3C-8EB6-82C79E8BCC1C}"/>
            </c:ext>
          </c:extLst>
        </c:ser>
        <c:ser>
          <c:idx val="3"/>
          <c:order val="1"/>
          <c:tx>
            <c:strRef>
              <c:f>'OPP vorige jaar'!$I$12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jaar'!$I$14</c:f>
              <c:numCache>
                <c:formatCode>General</c:formatCode>
                <c:ptCount val="1"/>
                <c:pt idx="0">
                  <c:v>10</c:v>
                </c:pt>
              </c:numCache>
            </c:numRef>
          </c:val>
          <c:extLst>
            <c:ext xmlns:c16="http://schemas.microsoft.com/office/drawing/2014/chart" uri="{C3380CC4-5D6E-409C-BE32-E72D297353CC}">
              <c16:uniqueId val="{00000003-4FA4-4C3C-8EB6-82C79E8BCC1C}"/>
            </c:ext>
          </c:extLst>
        </c:ser>
        <c:ser>
          <c:idx val="4"/>
          <c:order val="2"/>
          <c:tx>
            <c:strRef>
              <c:f>'OPP vorige jaar'!$J$12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vorige jaar'!$J$14</c:f>
              <c:numCache>
                <c:formatCode>General</c:formatCode>
                <c:ptCount val="1"/>
                <c:pt idx="0">
                  <c:v>9.1999999999999993</c:v>
                </c:pt>
              </c:numCache>
            </c:numRef>
          </c:val>
          <c:extLst>
            <c:ext xmlns:c16="http://schemas.microsoft.com/office/drawing/2014/chart" uri="{C3380CC4-5D6E-409C-BE32-E72D297353CC}">
              <c16:uniqueId val="{00000004-4FA4-4C3C-8EB6-82C79E8BCC1C}"/>
            </c:ext>
          </c:extLst>
        </c:ser>
        <c:ser>
          <c:idx val="7"/>
          <c:order val="3"/>
          <c:tx>
            <c:strRef>
              <c:f>'OPP vorige jaar'!$K$12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jaar'!$K$14</c:f>
              <c:numCache>
                <c:formatCode>General</c:formatCode>
                <c:ptCount val="1"/>
                <c:pt idx="0">
                  <c:v>10</c:v>
                </c:pt>
              </c:numCache>
            </c:numRef>
          </c:val>
          <c:extLst>
            <c:ext xmlns:c16="http://schemas.microsoft.com/office/drawing/2014/chart" uri="{C3380CC4-5D6E-409C-BE32-E72D297353CC}">
              <c16:uniqueId val="{00000007-4FA4-4C3C-8EB6-82C79E8BCC1C}"/>
            </c:ext>
          </c:extLst>
        </c:ser>
        <c:ser>
          <c:idx val="8"/>
          <c:order val="4"/>
          <c:tx>
            <c:strRef>
              <c:f>'OPP vorige jaar'!$L$12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vorige jaar'!$L$14</c:f>
              <c:numCache>
                <c:formatCode>General</c:formatCode>
                <c:ptCount val="1"/>
                <c:pt idx="0">
                  <c:v>9.1999999999999993</c:v>
                </c:pt>
              </c:numCache>
            </c:numRef>
          </c:val>
          <c:extLst>
            <c:ext xmlns:c16="http://schemas.microsoft.com/office/drawing/2014/chart" uri="{C3380CC4-5D6E-409C-BE32-E72D297353CC}">
              <c16:uniqueId val="{00000008-4FA4-4C3C-8EB6-82C79E8BCC1C}"/>
            </c:ext>
          </c:extLst>
        </c:ser>
        <c:ser>
          <c:idx val="11"/>
          <c:order val="5"/>
          <c:tx>
            <c:strRef>
              <c:f>'OPP vorige jaar'!$M$12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jaar'!$M$14</c:f>
              <c:numCache>
                <c:formatCode>General</c:formatCode>
                <c:ptCount val="1"/>
                <c:pt idx="0">
                  <c:v>10</c:v>
                </c:pt>
              </c:numCache>
            </c:numRef>
          </c:val>
          <c:extLst>
            <c:ext xmlns:c16="http://schemas.microsoft.com/office/drawing/2014/chart" uri="{C3380CC4-5D6E-409C-BE32-E72D297353CC}">
              <c16:uniqueId val="{0000000B-4FA4-4C3C-8EB6-82C79E8BCC1C}"/>
            </c:ext>
          </c:extLst>
        </c:ser>
        <c:ser>
          <c:idx val="12"/>
          <c:order val="6"/>
          <c:tx>
            <c:strRef>
              <c:f>'OPP vorige jaar'!$N$12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vorige jaar'!$N$14</c:f>
              <c:numCache>
                <c:formatCode>General</c:formatCode>
                <c:ptCount val="1"/>
                <c:pt idx="0">
                  <c:v>8.6</c:v>
                </c:pt>
              </c:numCache>
            </c:numRef>
          </c:val>
          <c:extLst>
            <c:ext xmlns:c16="http://schemas.microsoft.com/office/drawing/2014/chart" uri="{C3380CC4-5D6E-409C-BE32-E72D297353CC}">
              <c16:uniqueId val="{0000000C-4FA4-4C3C-8EB6-82C79E8BCC1C}"/>
            </c:ext>
          </c:extLst>
        </c:ser>
        <c:ser>
          <c:idx val="15"/>
          <c:order val="7"/>
          <c:tx>
            <c:strRef>
              <c:f>'OPP vorige jaar'!$O$12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jaar'!$O$14</c:f>
              <c:numCache>
                <c:formatCode>General</c:formatCode>
                <c:ptCount val="1"/>
                <c:pt idx="0">
                  <c:v>10</c:v>
                </c:pt>
              </c:numCache>
            </c:numRef>
          </c:val>
          <c:extLst>
            <c:ext xmlns:c16="http://schemas.microsoft.com/office/drawing/2014/chart" uri="{C3380CC4-5D6E-409C-BE32-E72D297353CC}">
              <c16:uniqueId val="{0000000F-4FA4-4C3C-8EB6-82C79E8BCC1C}"/>
            </c:ext>
          </c:extLst>
        </c:ser>
        <c:ser>
          <c:idx val="16"/>
          <c:order val="8"/>
          <c:tx>
            <c:strRef>
              <c:f>'OPP vorige jaar'!$P$12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vorige jaar'!$P$14</c:f>
              <c:numCache>
                <c:formatCode>General</c:formatCode>
                <c:ptCount val="1"/>
                <c:pt idx="0">
                  <c:v>8.4</c:v>
                </c:pt>
              </c:numCache>
            </c:numRef>
          </c:val>
          <c:extLst>
            <c:ext xmlns:c16="http://schemas.microsoft.com/office/drawing/2014/chart" uri="{C3380CC4-5D6E-409C-BE32-E72D297353CC}">
              <c16:uniqueId val="{00000010-4FA4-4C3C-8EB6-82C79E8BCC1C}"/>
            </c:ext>
          </c:extLst>
        </c:ser>
        <c:ser>
          <c:idx val="19"/>
          <c:order val="9"/>
          <c:tx>
            <c:strRef>
              <c:f>'OPP vorige jaar'!$Q$12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jaar'!$Q$14</c:f>
              <c:numCache>
                <c:formatCode>General</c:formatCode>
                <c:ptCount val="1"/>
                <c:pt idx="0">
                  <c:v>10</c:v>
                </c:pt>
              </c:numCache>
            </c:numRef>
          </c:val>
          <c:extLst>
            <c:ext xmlns:c16="http://schemas.microsoft.com/office/drawing/2014/chart" uri="{C3380CC4-5D6E-409C-BE32-E72D297353CC}">
              <c16:uniqueId val="{00000013-4FA4-4C3C-8EB6-82C79E8BCC1C}"/>
            </c:ext>
          </c:extLst>
        </c:ser>
        <c:dLbls>
          <c:showLegendKey val="0"/>
          <c:showVal val="0"/>
          <c:showCatName val="0"/>
          <c:showSerName val="0"/>
          <c:showPercent val="0"/>
          <c:showBubbleSize val="0"/>
        </c:dLbls>
        <c:gapWidth val="5"/>
        <c:overlap val="-10"/>
        <c:axId val="453709536"/>
        <c:axId val="374846856"/>
      </c:barChart>
      <c:barChart>
        <c:barDir val="bar"/>
        <c:grouping val="clustered"/>
        <c:varyColors val="0"/>
        <c:ser>
          <c:idx val="20"/>
          <c:order val="10"/>
          <c:tx>
            <c:strRef>
              <c:f>'OPP vorige jaar'!$R$12</c:f>
              <c:strCache>
                <c:ptCount val="1"/>
                <c:pt idx="0">
                  <c:v>gemiddeld</c:v>
                </c:pt>
              </c:strCache>
            </c:strRef>
          </c:tx>
          <c:spPr>
            <a:noFill/>
            <a:ln w="127000">
              <a:solidFill>
                <a:srgbClr val="002060"/>
              </a:solidFill>
            </a:ln>
            <a:effectLst/>
          </c:spPr>
          <c:invertIfNegative val="0"/>
          <c:val>
            <c:numRef>
              <c:f>'OPP vorige jaar'!$R$14</c:f>
              <c:numCache>
                <c:formatCode>0.0</c:formatCode>
                <c:ptCount val="1"/>
                <c:pt idx="0">
                  <c:v>8.76</c:v>
                </c:pt>
              </c:numCache>
            </c:numRef>
          </c:val>
          <c:extLst>
            <c:ext xmlns:c16="http://schemas.microsoft.com/office/drawing/2014/chart" uri="{C3380CC4-5D6E-409C-BE32-E72D297353CC}">
              <c16:uniqueId val="{00000014-4FA4-4C3C-8EB6-82C79E8BCC1C}"/>
            </c:ext>
          </c:extLst>
        </c:ser>
        <c:dLbls>
          <c:showLegendKey val="0"/>
          <c:showVal val="0"/>
          <c:showCatName val="0"/>
          <c:showSerName val="0"/>
          <c:showPercent val="0"/>
          <c:showBubbleSize val="0"/>
        </c:dLbls>
        <c:gapWidth val="0"/>
        <c:axId val="374843720"/>
        <c:axId val="374841368"/>
      </c:barChart>
      <c:catAx>
        <c:axId val="453709536"/>
        <c:scaling>
          <c:orientation val="maxMin"/>
        </c:scaling>
        <c:delete val="1"/>
        <c:axPos val="l"/>
        <c:numFmt formatCode="General" sourceLinked="1"/>
        <c:majorTickMark val="none"/>
        <c:minorTickMark val="none"/>
        <c:tickLblPos val="nextTo"/>
        <c:crossAx val="374846856"/>
        <c:crosses val="autoZero"/>
        <c:auto val="1"/>
        <c:lblAlgn val="ctr"/>
        <c:lblOffset val="100"/>
        <c:noMultiLvlLbl val="0"/>
      </c:catAx>
      <c:valAx>
        <c:axId val="374846856"/>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53709536"/>
        <c:crosses val="autoZero"/>
        <c:crossBetween val="between"/>
      </c:valAx>
      <c:valAx>
        <c:axId val="374841368"/>
        <c:scaling>
          <c:orientation val="minMax"/>
        </c:scaling>
        <c:delete val="1"/>
        <c:axPos val="b"/>
        <c:numFmt formatCode="0.0" sourceLinked="1"/>
        <c:majorTickMark val="out"/>
        <c:minorTickMark val="none"/>
        <c:tickLblPos val="nextTo"/>
        <c:crossAx val="374843720"/>
        <c:crosses val="autoZero"/>
        <c:crossBetween val="between"/>
      </c:valAx>
      <c:catAx>
        <c:axId val="374843720"/>
        <c:scaling>
          <c:orientation val="minMax"/>
        </c:scaling>
        <c:delete val="1"/>
        <c:axPos val="l"/>
        <c:majorTickMark val="out"/>
        <c:minorTickMark val="none"/>
        <c:tickLblPos val="nextTo"/>
        <c:crossAx val="374841368"/>
        <c:crosses val="autoZero"/>
        <c:auto val="1"/>
        <c:lblAlgn val="ctr"/>
        <c:lblOffset val="100"/>
        <c:noMultiLvlLbl val="0"/>
      </c:catAx>
      <c:spPr>
        <a:noFill/>
        <a:ln>
          <a:noFill/>
        </a:ln>
        <a:effectLst/>
      </c:spPr>
    </c:plotArea>
    <c:legend>
      <c:legendPos val="tr"/>
      <c:legendEntry>
        <c:idx val="10"/>
        <c:delete val="1"/>
      </c:legendEntry>
      <c:layout>
        <c:manualLayout>
          <c:xMode val="edge"/>
          <c:yMode val="edge"/>
          <c:x val="0.81625471420178031"/>
          <c:y val="1.9578416681915373E-2"/>
          <c:w val="0.17664980662463922"/>
          <c:h val="0.95194283878514885"/>
        </c:manualLayout>
      </c:layout>
      <c:overlay val="1"/>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1399456"/>
        <c:axId val="461397888"/>
      </c:barChart>
      <c:valAx>
        <c:axId val="461397888"/>
        <c:scaling>
          <c:orientation val="minMax"/>
          <c:max val="1"/>
        </c:scaling>
        <c:delete val="1"/>
        <c:axPos val="t"/>
        <c:numFmt formatCode="0%" sourceLinked="1"/>
        <c:majorTickMark val="out"/>
        <c:minorTickMark val="none"/>
        <c:tickLblPos val="nextTo"/>
        <c:crossAx val="461399456"/>
        <c:crosses val="max"/>
        <c:crossBetween val="between"/>
      </c:valAx>
      <c:catAx>
        <c:axId val="461399456"/>
        <c:scaling>
          <c:orientation val="minMax"/>
        </c:scaling>
        <c:delete val="1"/>
        <c:axPos val="l"/>
        <c:majorTickMark val="out"/>
        <c:minorTickMark val="none"/>
        <c:tickLblPos val="nextTo"/>
        <c:crossAx val="4613978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80B1-4428-BE2E-4F739D7861CA}"/>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80B1-4428-BE2E-4F739D7861CA}"/>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80B1-4428-BE2E-4F739D7861CA}"/>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80B1-4428-BE2E-4F739D7861CA}"/>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80B1-4428-BE2E-4F739D7861CA}"/>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80B1-4428-BE2E-4F739D7861CA}"/>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80B1-4428-BE2E-4F739D7861CA}"/>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80B1-4428-BE2E-4F739D7861CA}"/>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80B1-4428-BE2E-4F739D7861CA}"/>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80B1-4428-BE2E-4F739D7861CA}"/>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80B1-4428-BE2E-4F739D7861CA}"/>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80B1-4428-BE2E-4F739D7861CA}"/>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80B1-4428-BE2E-4F739D7861CA}"/>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80B1-4428-BE2E-4F739D7861CA}"/>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80B1-4428-BE2E-4F739D7861CA}"/>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80B1-4428-BE2E-4F739D7861CA}"/>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80B1-4428-BE2E-4F739D7861CA}"/>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80B1-4428-BE2E-4F739D7861CA}"/>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80B1-4428-BE2E-4F739D7861CA}"/>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80B1-4428-BE2E-4F739D7861CA}"/>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80B1-4428-BE2E-4F739D7861CA}"/>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80B1-4428-BE2E-4F739D7861CA}"/>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80B1-4428-BE2E-4F739D7861CA}"/>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80B1-4428-BE2E-4F739D7861CA}"/>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periode'!$N$51</c:f>
              <c:numCache>
                <c:formatCode>0%</c:formatCode>
                <c:ptCount val="1"/>
                <c:pt idx="0">
                  <c:v>0.75</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9408"/>
        <c:axId val="464570584"/>
      </c:barChart>
      <c:valAx>
        <c:axId val="464570584"/>
        <c:scaling>
          <c:orientation val="minMax"/>
          <c:max val="1"/>
        </c:scaling>
        <c:delete val="1"/>
        <c:axPos val="t"/>
        <c:numFmt formatCode="0%" sourceLinked="1"/>
        <c:majorTickMark val="out"/>
        <c:minorTickMark val="none"/>
        <c:tickLblPos val="nextTo"/>
        <c:crossAx val="464569408"/>
        <c:crosses val="max"/>
        <c:crossBetween val="between"/>
      </c:valAx>
      <c:catAx>
        <c:axId val="464569408"/>
        <c:scaling>
          <c:orientation val="minMax"/>
        </c:scaling>
        <c:delete val="1"/>
        <c:axPos val="l"/>
        <c:majorTickMark val="out"/>
        <c:minorTickMark val="none"/>
        <c:tickLblPos val="nextTo"/>
        <c:crossAx val="464570584"/>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73EF-49F1-A687-F0747F7DE60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73EF-49F1-A687-F0747F7DE60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73EF-49F1-A687-F0747F7DE60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73EF-49F1-A687-F0747F7DE60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73EF-49F1-A687-F0747F7DE60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73EF-49F1-A687-F0747F7DE60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73EF-49F1-A687-F0747F7DE60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73EF-49F1-A687-F0747F7DE60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73EF-49F1-A687-F0747F7DE60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73EF-49F1-A687-F0747F7DE60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73EF-49F1-A687-F0747F7DE60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73EF-49F1-A687-F0747F7DE60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73EF-49F1-A687-F0747F7DE60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73EF-49F1-A687-F0747F7DE60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73EF-49F1-A687-F0747F7DE60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73EF-49F1-A687-F0747F7DE60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73EF-49F1-A687-F0747F7DE60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73EF-49F1-A687-F0747F7DE60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73EF-49F1-A687-F0747F7DE60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73EF-49F1-A687-F0747F7DE60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73EF-49F1-A687-F0747F7DE60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73EF-49F1-A687-F0747F7DE60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73EF-49F1-A687-F0747F7DE60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73EF-49F1-A687-F0747F7DE60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8624"/>
        <c:axId val="464567448"/>
      </c:barChart>
      <c:valAx>
        <c:axId val="464567448"/>
        <c:scaling>
          <c:orientation val="minMax"/>
          <c:max val="1"/>
        </c:scaling>
        <c:delete val="1"/>
        <c:axPos val="t"/>
        <c:numFmt formatCode="0%" sourceLinked="1"/>
        <c:majorTickMark val="out"/>
        <c:minorTickMark val="none"/>
        <c:tickLblPos val="nextTo"/>
        <c:crossAx val="464568624"/>
        <c:crosses val="max"/>
        <c:crossBetween val="between"/>
      </c:valAx>
      <c:catAx>
        <c:axId val="464568624"/>
        <c:scaling>
          <c:orientation val="minMax"/>
        </c:scaling>
        <c:delete val="1"/>
        <c:axPos val="l"/>
        <c:majorTickMark val="out"/>
        <c:minorTickMark val="none"/>
        <c:tickLblPos val="nextTo"/>
        <c:crossAx val="46456744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442B-45BE-BF59-39BD21D45DA1}"/>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442B-45BE-BF59-39BD21D45DA1}"/>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442B-45BE-BF59-39BD21D45DA1}"/>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442B-45BE-BF59-39BD21D45DA1}"/>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442B-45BE-BF59-39BD21D45DA1}"/>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442B-45BE-BF59-39BD21D45DA1}"/>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442B-45BE-BF59-39BD21D45DA1}"/>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442B-45BE-BF59-39BD21D45DA1}"/>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442B-45BE-BF59-39BD21D45DA1}"/>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442B-45BE-BF59-39BD21D45DA1}"/>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442B-45BE-BF59-39BD21D45DA1}"/>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442B-45BE-BF59-39BD21D45DA1}"/>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442B-45BE-BF59-39BD21D45DA1}"/>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442B-45BE-BF59-39BD21D45DA1}"/>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442B-45BE-BF59-39BD21D45DA1}"/>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442B-45BE-BF59-39BD21D45DA1}"/>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442B-45BE-BF59-39BD21D45DA1}"/>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442B-45BE-BF59-39BD21D45DA1}"/>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442B-45BE-BF59-39BD21D45DA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442B-45BE-BF59-39BD21D45DA1}"/>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442B-45BE-BF59-39BD21D45DA1}"/>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442B-45BE-BF59-39BD21D45DA1}"/>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442B-45BE-BF59-39BD21D45DA1}"/>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442B-45BE-BF59-39BD21D45DA1}"/>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Pt>
            <c:idx val="0"/>
            <c:invertIfNegative val="0"/>
            <c:bubble3D val="0"/>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1-66E6-4554-8C07-D8022E993FE5}"/>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periode'!$N$51</c:f>
              <c:numCache>
                <c:formatCode>0%</c:formatCode>
                <c:ptCount val="1"/>
                <c:pt idx="0">
                  <c:v>1</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9016"/>
        <c:axId val="464568232"/>
      </c:barChart>
      <c:valAx>
        <c:axId val="464568232"/>
        <c:scaling>
          <c:orientation val="minMax"/>
          <c:max val="1"/>
        </c:scaling>
        <c:delete val="1"/>
        <c:axPos val="t"/>
        <c:numFmt formatCode="0%" sourceLinked="1"/>
        <c:majorTickMark val="out"/>
        <c:minorTickMark val="none"/>
        <c:tickLblPos val="nextTo"/>
        <c:crossAx val="464569016"/>
        <c:crosses val="max"/>
        <c:crossBetween val="between"/>
      </c:valAx>
      <c:catAx>
        <c:axId val="464569016"/>
        <c:scaling>
          <c:orientation val="minMax"/>
        </c:scaling>
        <c:delete val="1"/>
        <c:axPos val="l"/>
        <c:majorTickMark val="out"/>
        <c:minorTickMark val="none"/>
        <c:tickLblPos val="nextTo"/>
        <c:crossAx val="46456823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527093596059111E-2"/>
          <c:y val="1.8139534219390799E-2"/>
          <c:w val="0.75294595254615615"/>
          <c:h val="0.96342343962822463"/>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7-1CCB-4A66-9F73-27FA31BD447B}"/>
              </c:ext>
            </c:extLst>
          </c:dPt>
          <c:dPt>
            <c:idx val="4"/>
            <c:invertIfNegative val="0"/>
            <c:bubble3D val="0"/>
            <c:spPr>
              <a:gradFill>
                <a:gsLst>
                  <a:gs pos="0">
                    <a:schemeClr val="tx1">
                      <a:lumMod val="50000"/>
                      <a:lumOff val="50000"/>
                    </a:schemeClr>
                  </a:gs>
                  <a:gs pos="50000">
                    <a:srgbClr val="9933FF"/>
                  </a:gs>
                  <a:gs pos="98000">
                    <a:srgbClr val="9933FF"/>
                  </a:gs>
                </a:gsLst>
                <a:lin ang="0" scaled="1"/>
              </a:gradFill>
              <a:ln>
                <a:solidFill>
                  <a:schemeClr val="bg1"/>
                </a:solidFill>
              </a:ln>
              <a:effectLst/>
            </c:spPr>
            <c:extLst>
              <c:ext xmlns:c16="http://schemas.microsoft.com/office/drawing/2014/chart" uri="{C3380CC4-5D6E-409C-BE32-E72D297353CC}">
                <c16:uniqueId val="{00000008-1CCB-4A66-9F73-27FA31BD447B}"/>
              </c:ext>
            </c:extLst>
          </c:dPt>
          <c:dPt>
            <c:idx val="5"/>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9-1CCB-4A66-9F73-27FA31BD447B}"/>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A-1CCB-4A66-9F73-27FA31BD447B}"/>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B-1CCB-4A66-9F73-27FA31BD447B}"/>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C-1CCB-4A66-9F73-27FA31BD447B}"/>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D-1CCB-4A66-9F73-27FA31BD447B}"/>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E-1CCB-4A66-9F73-27FA31BD447B}"/>
              </c:ext>
            </c:extLst>
          </c:dPt>
          <c:dPt>
            <c:idx val="11"/>
            <c:invertIfNegative val="0"/>
            <c:bubble3D val="0"/>
            <c:spPr>
              <a:gradFill>
                <a:gsLst>
                  <a:gs pos="0">
                    <a:schemeClr val="tx1">
                      <a:lumMod val="50000"/>
                      <a:lumOff val="50000"/>
                    </a:schemeClr>
                  </a:gs>
                  <a:gs pos="51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F-1CCB-4A66-9F73-27FA31BD447B}"/>
              </c:ext>
            </c:extLst>
          </c:dPt>
          <c:cat>
            <c:strRef>
              <c:f>'OPP vorige jaar'!$R$74:$AC$74</c:f>
              <c:strCache>
                <c:ptCount val="10"/>
                <c:pt idx="0">
                  <c:v>Technisch lezen</c:v>
                </c:pt>
                <c:pt idx="3">
                  <c:v>Spellen</c:v>
                </c:pt>
                <c:pt idx="6">
                  <c:v>Begrijpend lezen</c:v>
                </c:pt>
                <c:pt idx="9">
                  <c:v>Rekenen</c:v>
                </c:pt>
              </c:strCache>
            </c:strRef>
          </c:cat>
          <c:val>
            <c:numRef>
              <c:f>'OPP vorige jaar'!$R$75:$AC$75</c:f>
              <c:numCache>
                <c:formatCode>0.0</c:formatCode>
                <c:ptCount val="12"/>
                <c:pt idx="0">
                  <c:v>4</c:v>
                </c:pt>
                <c:pt idx="1">
                  <c:v>4</c:v>
                </c:pt>
                <c:pt idx="2">
                  <c:v>0</c:v>
                </c:pt>
                <c:pt idx="3">
                  <c:v>4</c:v>
                </c:pt>
                <c:pt idx="4">
                  <c:v>3</c:v>
                </c:pt>
                <c:pt idx="5">
                  <c:v>0</c:v>
                </c:pt>
                <c:pt idx="6">
                  <c:v>3</c:v>
                </c:pt>
                <c:pt idx="7">
                  <c:v>3</c:v>
                </c:pt>
                <c:pt idx="8">
                  <c:v>0</c:v>
                </c:pt>
                <c:pt idx="9">
                  <c:v>3</c:v>
                </c:pt>
                <c:pt idx="10">
                  <c:v>3</c:v>
                </c:pt>
                <c:pt idx="11">
                  <c:v>0</c:v>
                </c:pt>
              </c:numCache>
            </c:numRef>
          </c:val>
          <c:extLst>
            <c:ext xmlns:c16="http://schemas.microsoft.com/office/drawing/2014/chart" uri="{C3380CC4-5D6E-409C-BE32-E72D297353CC}">
              <c16:uniqueId val="{00000000-1CCB-4A66-9F73-27FA31BD447B}"/>
            </c:ext>
          </c:extLst>
        </c:ser>
        <c:dLbls>
          <c:showLegendKey val="0"/>
          <c:showVal val="0"/>
          <c:showCatName val="0"/>
          <c:showSerName val="0"/>
          <c:showPercent val="0"/>
          <c:showBubbleSize val="0"/>
        </c:dLbls>
        <c:gapWidth val="0"/>
        <c:overlap val="-27"/>
        <c:axId val="941904047"/>
        <c:axId val="941906959"/>
        <c:extLst>
          <c:ext xmlns:c15="http://schemas.microsoft.com/office/drawing/2012/chart" uri="{02D57815-91ED-43cb-92C2-25804820EDAC}">
            <c15:filteredBarSeries>
              <c15:ser>
                <c:idx val="1"/>
                <c:order val="1"/>
                <c:spPr>
                  <a:solidFill>
                    <a:schemeClr val="accent2"/>
                  </a:solidFill>
                  <a:ln>
                    <a:noFill/>
                  </a:ln>
                  <a:effectLst/>
                </c:spPr>
                <c:invertIfNegative val="0"/>
                <c:cat>
                  <c:strRef>
                    <c:extLst>
                      <c:ext uri="{02D57815-91ED-43cb-92C2-25804820EDAC}">
                        <c15:formulaRef>
                          <c15:sqref>'OPP vorige jaar'!$R$74:$AC$74</c15:sqref>
                        </c15:formulaRef>
                      </c:ext>
                    </c:extLst>
                    <c:strCache>
                      <c:ptCount val="10"/>
                      <c:pt idx="0">
                        <c:v>Technisch lezen</c:v>
                      </c:pt>
                      <c:pt idx="3">
                        <c:v>Spellen</c:v>
                      </c:pt>
                      <c:pt idx="6">
                        <c:v>Begrijpend lezen</c:v>
                      </c:pt>
                      <c:pt idx="9">
                        <c:v>Rekenen</c:v>
                      </c:pt>
                    </c:strCache>
                  </c:strRef>
                </c:cat>
                <c:val>
                  <c:numRef>
                    <c:extLst>
                      <c:ext uri="{02D57815-91ED-43cb-92C2-25804820EDAC}">
                        <c15:formulaRef>
                          <c15:sqref>'OPP vorige jaar'!$R$76:$AC$76</c15:sqref>
                        </c15:formulaRef>
                      </c:ext>
                    </c:extLst>
                    <c:numCache>
                      <c:formatCode>General</c:formatCode>
                      <c:ptCount val="12"/>
                    </c:numCache>
                  </c:numRef>
                </c:val>
                <c:extLst>
                  <c:ext xmlns:c16="http://schemas.microsoft.com/office/drawing/2014/chart" uri="{C3380CC4-5D6E-409C-BE32-E72D297353CC}">
                    <c16:uniqueId val="{00000001-1CCB-4A66-9F73-27FA31BD447B}"/>
                  </c:ext>
                </c:extLst>
              </c15:ser>
            </c15:filteredBarSeries>
          </c:ext>
        </c:extLst>
      </c:barChart>
      <c:catAx>
        <c:axId val="941904047"/>
        <c:scaling>
          <c:orientation val="minMax"/>
        </c:scaling>
        <c:delete val="1"/>
        <c:axPos val="b"/>
        <c:numFmt formatCode="General" sourceLinked="1"/>
        <c:majorTickMark val="out"/>
        <c:minorTickMark val="none"/>
        <c:tickLblPos val="nextTo"/>
        <c:crossAx val="941906959"/>
        <c:crosses val="autoZero"/>
        <c:auto val="1"/>
        <c:lblAlgn val="ctr"/>
        <c:lblOffset val="100"/>
        <c:noMultiLvlLbl val="0"/>
      </c:catAx>
      <c:valAx>
        <c:axId val="941906959"/>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941904047"/>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2B62-4442-BED0-2B0F5FA71810}"/>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B62-4442-BED0-2B0F5FA71810}"/>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2B62-4442-BED0-2B0F5FA71810}"/>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B62-4442-BED0-2B0F5FA71810}"/>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B62-4442-BED0-2B0F5FA71810}"/>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2B62-4442-BED0-2B0F5FA71810}"/>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B62-4442-BED0-2B0F5FA71810}"/>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2B62-4442-BED0-2B0F5FA71810}"/>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B62-4442-BED0-2B0F5FA71810}"/>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B62-4442-BED0-2B0F5FA71810}"/>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2B62-4442-BED0-2B0F5FA71810}"/>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B62-4442-BED0-2B0F5FA71810}"/>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2B62-4442-BED0-2B0F5FA71810}"/>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B62-4442-BED0-2B0F5FA71810}"/>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B62-4442-BED0-2B0F5FA71810}"/>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B62-4442-BED0-2B0F5FA71810}"/>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B62-4442-BED0-2B0F5FA71810}"/>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B62-4442-BED0-2B0F5FA71810}"/>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B62-4442-BED0-2B0F5FA718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2B62-4442-BED0-2B0F5FA71810}"/>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B62-4442-BED0-2B0F5FA71810}"/>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2B62-4442-BED0-2B0F5FA71810}"/>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B62-4442-BED0-2B0F5FA71810}"/>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B62-4442-BED0-2B0F5FA71810}"/>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780976"/>
        <c:axId val="464775488"/>
      </c:barChart>
      <c:valAx>
        <c:axId val="464775488"/>
        <c:scaling>
          <c:orientation val="minMax"/>
          <c:max val="1"/>
        </c:scaling>
        <c:delete val="1"/>
        <c:axPos val="t"/>
        <c:numFmt formatCode="0%" sourceLinked="1"/>
        <c:majorTickMark val="out"/>
        <c:minorTickMark val="none"/>
        <c:tickLblPos val="nextTo"/>
        <c:crossAx val="464780976"/>
        <c:crosses val="max"/>
        <c:crossBetween val="between"/>
      </c:valAx>
      <c:catAx>
        <c:axId val="464780976"/>
        <c:scaling>
          <c:orientation val="minMax"/>
        </c:scaling>
        <c:delete val="1"/>
        <c:axPos val="l"/>
        <c:majorTickMark val="out"/>
        <c:minorTickMark val="none"/>
        <c:tickLblPos val="nextTo"/>
        <c:crossAx val="4647754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1763-4FED-A999-1933B203EEF0}"/>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1763-4FED-A999-1933B203EEF0}"/>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1763-4FED-A999-1933B203EEF0}"/>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1763-4FED-A999-1933B203EEF0}"/>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1763-4FED-A999-1933B203EEF0}"/>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1763-4FED-A999-1933B203EEF0}"/>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1763-4FED-A999-1933B203EEF0}"/>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1763-4FED-A999-1933B203EEF0}"/>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1763-4FED-A999-1933B203EEF0}"/>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1763-4FED-A999-1933B203EEF0}"/>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1763-4FED-A999-1933B203EEF0}"/>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1763-4FED-A999-1933B203EEF0}"/>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1763-4FED-A999-1933B203EEF0}"/>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1763-4FED-A999-1933B203EEF0}"/>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1763-4FED-A999-1933B203EEF0}"/>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1763-4FED-A999-1933B203EEF0}"/>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1763-4FED-A999-1933B203EEF0}"/>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1763-4FED-A999-1933B203EEF0}"/>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1763-4FED-A999-1933B203EEF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1763-4FED-A999-1933B203EEF0}"/>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1763-4FED-A999-1933B203EEF0}"/>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1763-4FED-A999-1933B203EEF0}"/>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1763-4FED-A999-1933B203EEF0}"/>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1763-4FED-A999-1933B203EEF0}"/>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periode'!$N$51</c:f>
              <c:numCache>
                <c:formatCode>0%</c:formatCode>
                <c:ptCount val="1"/>
                <c:pt idx="0">
                  <c:v>1</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782544"/>
        <c:axId val="464780192"/>
      </c:barChart>
      <c:valAx>
        <c:axId val="464780192"/>
        <c:scaling>
          <c:orientation val="minMax"/>
          <c:max val="1"/>
        </c:scaling>
        <c:delete val="1"/>
        <c:axPos val="t"/>
        <c:numFmt formatCode="0%" sourceLinked="1"/>
        <c:majorTickMark val="out"/>
        <c:minorTickMark val="none"/>
        <c:tickLblPos val="nextTo"/>
        <c:crossAx val="464782544"/>
        <c:crosses val="max"/>
        <c:crossBetween val="between"/>
      </c:valAx>
      <c:catAx>
        <c:axId val="464782544"/>
        <c:scaling>
          <c:orientation val="minMax"/>
        </c:scaling>
        <c:delete val="1"/>
        <c:axPos val="l"/>
        <c:majorTickMark val="out"/>
        <c:minorTickMark val="none"/>
        <c:tickLblPos val="nextTo"/>
        <c:crossAx val="46478019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2D38-4929-B1FC-793B821397A7}"/>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D38-4929-B1FC-793B821397A7}"/>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2D38-4929-B1FC-793B821397A7}"/>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D38-4929-B1FC-793B821397A7}"/>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D38-4929-B1FC-793B821397A7}"/>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2D38-4929-B1FC-793B821397A7}"/>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D38-4929-B1FC-793B821397A7}"/>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2D38-4929-B1FC-793B821397A7}"/>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D38-4929-B1FC-793B821397A7}"/>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D38-4929-B1FC-793B821397A7}"/>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2D38-4929-B1FC-793B821397A7}"/>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D38-4929-B1FC-793B821397A7}"/>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2D38-4929-B1FC-793B821397A7}"/>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D38-4929-B1FC-793B821397A7}"/>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D38-4929-B1FC-793B821397A7}"/>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D38-4929-B1FC-793B821397A7}"/>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D38-4929-B1FC-793B821397A7}"/>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D38-4929-B1FC-793B821397A7}"/>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D38-4929-B1FC-793B821397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2D38-4929-B1FC-793B821397A7}"/>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D38-4929-B1FC-793B821397A7}"/>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2D38-4929-B1FC-793B821397A7}"/>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D38-4929-B1FC-793B821397A7}"/>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D38-4929-B1FC-793B821397A7}"/>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5800"/>
        <c:axId val="465876192"/>
      </c:barChart>
      <c:valAx>
        <c:axId val="465876192"/>
        <c:scaling>
          <c:orientation val="minMax"/>
          <c:max val="1"/>
        </c:scaling>
        <c:delete val="1"/>
        <c:axPos val="t"/>
        <c:numFmt formatCode="0%" sourceLinked="1"/>
        <c:majorTickMark val="out"/>
        <c:minorTickMark val="none"/>
        <c:tickLblPos val="nextTo"/>
        <c:crossAx val="465875800"/>
        <c:crosses val="max"/>
        <c:crossBetween val="between"/>
      </c:valAx>
      <c:catAx>
        <c:axId val="465875800"/>
        <c:scaling>
          <c:orientation val="minMax"/>
        </c:scaling>
        <c:delete val="1"/>
        <c:axPos val="l"/>
        <c:majorTickMark val="out"/>
        <c:minorTickMark val="none"/>
        <c:tickLblPos val="nextTo"/>
        <c:crossAx val="46587619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E964-4A9C-8867-D3CB9001589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E964-4A9C-8867-D3CB9001589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E964-4A9C-8867-D3CB9001589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E964-4A9C-8867-D3CB9001589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E964-4A9C-8867-D3CB9001589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E964-4A9C-8867-D3CB9001589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E964-4A9C-8867-D3CB9001589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E964-4A9C-8867-D3CB9001589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E964-4A9C-8867-D3CB9001589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E964-4A9C-8867-D3CB9001589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E964-4A9C-8867-D3CB9001589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E964-4A9C-8867-D3CB9001589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E964-4A9C-8867-D3CB9001589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E964-4A9C-8867-D3CB9001589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E964-4A9C-8867-D3CB9001589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E964-4A9C-8867-D3CB9001589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E964-4A9C-8867-D3CB9001589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E964-4A9C-8867-D3CB9001589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E964-4A9C-8867-D3CB9001589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E964-4A9C-8867-D3CB9001589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E964-4A9C-8867-D3CB9001589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E964-4A9C-8867-D3CB9001589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E964-4A9C-8867-D3CB9001589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E964-4A9C-8867-D3CB9001589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9474293178833E-2"/>
          <c:y val="1.6344721286817451E-2"/>
          <c:w val="0.71819621632400799"/>
          <c:h val="0.96258053314445047"/>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6-508D-4AA0-90BB-27148CC57224}"/>
              </c:ext>
            </c:extLst>
          </c:dPt>
          <c:dPt>
            <c:idx val="4"/>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7-508D-4AA0-90BB-27148CC57224}"/>
              </c:ext>
            </c:extLst>
          </c:dPt>
          <c:dPt>
            <c:idx val="5"/>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8-508D-4AA0-90BB-27148CC57224}"/>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9-508D-4AA0-90BB-27148CC57224}"/>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A-508D-4AA0-90BB-27148CC57224}"/>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B-508D-4AA0-90BB-27148CC57224}"/>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C-508D-4AA0-90BB-27148CC57224}"/>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D-508D-4AA0-90BB-27148CC57224}"/>
              </c:ext>
            </c:extLst>
          </c:dPt>
          <c:dPt>
            <c:idx val="11"/>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E-508D-4AA0-90BB-27148CC57224}"/>
              </c:ext>
            </c:extLst>
          </c:dPt>
          <c:cat>
            <c:strRef>
              <c:f>'OPP 1e periode'!$R$74:$AC$74</c:f>
              <c:strCache>
                <c:ptCount val="10"/>
                <c:pt idx="0">
                  <c:v>Technisch lezen</c:v>
                </c:pt>
                <c:pt idx="3">
                  <c:v>Spellen</c:v>
                </c:pt>
                <c:pt idx="6">
                  <c:v>Begrijpend lezen</c:v>
                </c:pt>
                <c:pt idx="9">
                  <c:v>Rekenen</c:v>
                </c:pt>
              </c:strCache>
            </c:strRef>
          </c:cat>
          <c:val>
            <c:numRef>
              <c:f>'OPP 1e periode'!$R$75:$AC$75</c:f>
              <c:numCache>
                <c:formatCode>0.0</c:formatCode>
                <c:ptCount val="12"/>
                <c:pt idx="0">
                  <c:v>4</c:v>
                </c:pt>
                <c:pt idx="1">
                  <c:v>4</c:v>
                </c:pt>
                <c:pt idx="2">
                  <c:v>0</c:v>
                </c:pt>
                <c:pt idx="3">
                  <c:v>4</c:v>
                </c:pt>
                <c:pt idx="4">
                  <c:v>3</c:v>
                </c:pt>
                <c:pt idx="5">
                  <c:v>0</c:v>
                </c:pt>
                <c:pt idx="6">
                  <c:v>3</c:v>
                </c:pt>
                <c:pt idx="7">
                  <c:v>3</c:v>
                </c:pt>
                <c:pt idx="8">
                  <c:v>0</c:v>
                </c:pt>
                <c:pt idx="9">
                  <c:v>3</c:v>
                </c:pt>
                <c:pt idx="10">
                  <c:v>3</c:v>
                </c:pt>
                <c:pt idx="11">
                  <c:v>0</c:v>
                </c:pt>
              </c:numCache>
            </c:numRef>
          </c:val>
          <c:extLst>
            <c:ext xmlns:c16="http://schemas.microsoft.com/office/drawing/2014/chart" uri="{C3380CC4-5D6E-409C-BE32-E72D297353CC}">
              <c16:uniqueId val="{00000000-508D-4AA0-90BB-27148CC57224}"/>
            </c:ext>
          </c:extLst>
        </c:ser>
        <c:dLbls>
          <c:showLegendKey val="0"/>
          <c:showVal val="0"/>
          <c:showCatName val="0"/>
          <c:showSerName val="0"/>
          <c:showPercent val="0"/>
          <c:showBubbleSize val="0"/>
        </c:dLbls>
        <c:gapWidth val="0"/>
        <c:overlap val="-27"/>
        <c:axId val="758601744"/>
        <c:axId val="758600912"/>
      </c:barChart>
      <c:catAx>
        <c:axId val="758601744"/>
        <c:scaling>
          <c:orientation val="minMax"/>
        </c:scaling>
        <c:delete val="1"/>
        <c:axPos val="b"/>
        <c:numFmt formatCode="General" sourceLinked="1"/>
        <c:majorTickMark val="none"/>
        <c:minorTickMark val="none"/>
        <c:tickLblPos val="nextTo"/>
        <c:crossAx val="758600912"/>
        <c:crosses val="autoZero"/>
        <c:auto val="1"/>
        <c:lblAlgn val="ctr"/>
        <c:lblOffset val="100"/>
        <c:noMultiLvlLbl val="0"/>
      </c:catAx>
      <c:valAx>
        <c:axId val="758600912"/>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758601744"/>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periode'!$R$51</c:f>
              <c:numCache>
                <c:formatCode>0%</c:formatCode>
                <c:ptCount val="1"/>
                <c:pt idx="0">
                  <c:v>1</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2272"/>
        <c:axId val="465874624"/>
      </c:barChart>
      <c:valAx>
        <c:axId val="465874624"/>
        <c:scaling>
          <c:orientation val="minMax"/>
          <c:max val="1"/>
        </c:scaling>
        <c:delete val="1"/>
        <c:axPos val="t"/>
        <c:numFmt formatCode="0%" sourceLinked="1"/>
        <c:majorTickMark val="out"/>
        <c:minorTickMark val="none"/>
        <c:tickLblPos val="nextTo"/>
        <c:crossAx val="465872272"/>
        <c:crosses val="max"/>
        <c:crossBetween val="between"/>
      </c:valAx>
      <c:catAx>
        <c:axId val="465872272"/>
        <c:scaling>
          <c:orientation val="minMax"/>
        </c:scaling>
        <c:delete val="1"/>
        <c:axPos val="l"/>
        <c:majorTickMark val="out"/>
        <c:minorTickMark val="none"/>
        <c:tickLblPos val="nextTo"/>
        <c:crossAx val="465874624"/>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B62E-4591-9EA9-71E384261024}"/>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B62E-4591-9EA9-71E384261024}"/>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B62E-4591-9EA9-71E384261024}"/>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B62E-4591-9EA9-71E384261024}"/>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B62E-4591-9EA9-71E384261024}"/>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B62E-4591-9EA9-71E384261024}"/>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B62E-4591-9EA9-71E384261024}"/>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B62E-4591-9EA9-71E384261024}"/>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B62E-4591-9EA9-71E384261024}"/>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B62E-4591-9EA9-71E384261024}"/>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B62E-4591-9EA9-71E384261024}"/>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B62E-4591-9EA9-71E384261024}"/>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B62E-4591-9EA9-71E384261024}"/>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B62E-4591-9EA9-71E384261024}"/>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B62E-4591-9EA9-71E384261024}"/>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B62E-4591-9EA9-71E384261024}"/>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B62E-4591-9EA9-71E384261024}"/>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B62E-4591-9EA9-71E384261024}"/>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B62E-4591-9EA9-71E38426102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B62E-4591-9EA9-71E384261024}"/>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B62E-4591-9EA9-71E384261024}"/>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B62E-4591-9EA9-71E384261024}"/>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B62E-4591-9EA9-71E384261024}"/>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B62E-4591-9EA9-71E384261024}"/>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1880"/>
        <c:axId val="465871488"/>
      </c:barChart>
      <c:valAx>
        <c:axId val="465871488"/>
        <c:scaling>
          <c:orientation val="minMax"/>
          <c:max val="1"/>
        </c:scaling>
        <c:delete val="1"/>
        <c:axPos val="t"/>
        <c:numFmt formatCode="0%" sourceLinked="1"/>
        <c:majorTickMark val="out"/>
        <c:minorTickMark val="none"/>
        <c:tickLblPos val="nextTo"/>
        <c:crossAx val="465871880"/>
        <c:crosses val="max"/>
        <c:crossBetween val="between"/>
      </c:valAx>
      <c:catAx>
        <c:axId val="465871880"/>
        <c:scaling>
          <c:orientation val="minMax"/>
        </c:scaling>
        <c:delete val="1"/>
        <c:axPos val="l"/>
        <c:majorTickMark val="out"/>
        <c:minorTickMark val="none"/>
        <c:tickLblPos val="nextTo"/>
        <c:crossAx val="4658714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1E-A3AE-4864-B828-228680199A1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A3AE-4864-B828-228680199A1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20-A3AE-4864-B828-228680199A1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A3AE-4864-B828-228680199A1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A3AE-4864-B828-228680199A1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41-A3AE-4864-B828-228680199A1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A3AE-4864-B828-228680199A1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43-A3AE-4864-B828-228680199A1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A3AE-4864-B828-228680199A1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A3AE-4864-B828-228680199A1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64-A3AE-4864-B828-228680199A1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A3AE-4864-B828-228680199A1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66-A3AE-4864-B828-228680199A1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A3AE-4864-B828-228680199A1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A3AE-4864-B828-228680199A1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A3AE-4864-B828-228680199A1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A3AE-4864-B828-228680199A1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A3AE-4864-B828-228680199A1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A3AE-4864-B828-228680199A1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4.3</c:v>
                </c:pt>
                <c:pt idx="1">
                  <c:v>4</c:v>
                </c:pt>
                <c:pt idx="2">
                  <c:v>0</c:v>
                </c:pt>
                <c:pt idx="3">
                  <c:v>4.5999999999999996</c:v>
                </c:pt>
                <c:pt idx="4">
                  <c:v>3.9</c:v>
                </c:pt>
                <c:pt idx="5">
                  <c:v>0</c:v>
                </c:pt>
                <c:pt idx="6">
                  <c:v>4.4000000000000004</c:v>
                </c:pt>
                <c:pt idx="7">
                  <c:v>4.3</c:v>
                </c:pt>
                <c:pt idx="8">
                  <c:v>0</c:v>
                </c:pt>
                <c:pt idx="9">
                  <c:v>4.2</c:v>
                </c:pt>
                <c:pt idx="10">
                  <c:v>4.8</c:v>
                </c:pt>
                <c:pt idx="11">
                  <c:v>0</c:v>
                </c:pt>
                <c:pt idx="12">
                  <c:v>4.8</c:v>
                </c:pt>
                <c:pt idx="13">
                  <c:v>4.5999999999999996</c:v>
                </c:pt>
                <c:pt idx="14">
                  <c:v>0</c:v>
                </c:pt>
              </c:numCache>
            </c:numRef>
          </c:val>
          <c:extLst>
            <c:ext xmlns:c16="http://schemas.microsoft.com/office/drawing/2014/chart" uri="{C3380CC4-5D6E-409C-BE32-E72D297353CC}">
              <c16:uniqueId val="{0000008D-A3AE-4864-B828-228680199A1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A3AE-4864-B828-228680199A1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3</c:v>
                </c:pt>
                <c:pt idx="1">
                  <c:v>3.5</c:v>
                </c:pt>
                <c:pt idx="2">
                  <c:v>0</c:v>
                </c:pt>
                <c:pt idx="3">
                  <c:v>3.3</c:v>
                </c:pt>
                <c:pt idx="4">
                  <c:v>3.6</c:v>
                </c:pt>
                <c:pt idx="5">
                  <c:v>0</c:v>
                </c:pt>
                <c:pt idx="6">
                  <c:v>3.2</c:v>
                </c:pt>
                <c:pt idx="7">
                  <c:v>3.4</c:v>
                </c:pt>
                <c:pt idx="8">
                  <c:v>0</c:v>
                </c:pt>
                <c:pt idx="9">
                  <c:v>4.2</c:v>
                </c:pt>
                <c:pt idx="10">
                  <c:v>4.2</c:v>
                </c:pt>
                <c:pt idx="11">
                  <c:v>0</c:v>
                </c:pt>
                <c:pt idx="12">
                  <c:v>4.2</c:v>
                </c:pt>
                <c:pt idx="13">
                  <c:v>3.3</c:v>
                </c:pt>
                <c:pt idx="14">
                  <c:v>0</c:v>
                </c:pt>
              </c:numCache>
            </c:numRef>
          </c:val>
          <c:extLst>
            <c:ext xmlns:c16="http://schemas.microsoft.com/office/drawing/2014/chart" uri="{C3380CC4-5D6E-409C-BE32-E72D297353CC}">
              <c16:uniqueId val="{0000008F-A3AE-4864-B828-228680199A1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A3AE-4864-B828-228680199A1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A3AE-4864-B828-228680199A1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66477346069447"/>
          <c:y val="2.7403486552041386E-2"/>
          <c:w val="0.67177198915709313"/>
          <c:h val="0.95260929826867224"/>
        </c:manualLayout>
      </c:layout>
      <c:barChart>
        <c:barDir val="col"/>
        <c:grouping val="clustered"/>
        <c:varyColors val="0"/>
        <c:ser>
          <c:idx val="0"/>
          <c:order val="0"/>
          <c:tx>
            <c:strRef>
              <c:f>DIVERSITEIT!$AI$7</c:f>
              <c:strCache>
                <c:ptCount val="1"/>
                <c:pt idx="0">
                  <c:v>DQ</c:v>
                </c:pt>
              </c:strCache>
            </c:strRef>
          </c:tx>
          <c:spPr>
            <a:gradFill rotWithShape="0">
              <a:gsLst>
                <a:gs pos="0">
                  <a:srgbClr val="CC99FF"/>
                </a:gs>
                <a:gs pos="50000">
                  <a:srgbClr val="FFFFFF"/>
                </a:gs>
                <a:gs pos="100000">
                  <a:srgbClr val="CC99FF"/>
                </a:gs>
              </a:gsLst>
              <a:lin ang="0" scaled="1"/>
            </a:gradFill>
            <a:ln w="12700">
              <a:solidFill>
                <a:srgbClr val="000000"/>
              </a:solidFill>
              <a:prstDash val="solid"/>
            </a:ln>
          </c:spPr>
          <c:invertIfNegative val="0"/>
          <c:dLbls>
            <c:spPr>
              <a:noFill/>
              <a:ln w="25400">
                <a:noFill/>
              </a:ln>
            </c:spPr>
            <c:txPr>
              <a:bodyPr/>
              <a:lstStyle/>
              <a:p>
                <a:pPr>
                  <a:defRPr sz="14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DIVERSITEIT!$AI$9</c:f>
              <c:numCache>
                <c:formatCode>0.00</c:formatCode>
                <c:ptCount val="1"/>
                <c:pt idx="0">
                  <c:v>0</c:v>
                </c:pt>
              </c:numCache>
            </c:numRef>
          </c:val>
          <c:extLst>
            <c:ext xmlns:c16="http://schemas.microsoft.com/office/drawing/2014/chart" uri="{C3380CC4-5D6E-409C-BE32-E72D297353CC}">
              <c16:uniqueId val="{00000000-E722-45C7-8CDF-A7B623F8A121}"/>
            </c:ext>
          </c:extLst>
        </c:ser>
        <c:dLbls>
          <c:showLegendKey val="0"/>
          <c:showVal val="0"/>
          <c:showCatName val="0"/>
          <c:showSerName val="0"/>
          <c:showPercent val="0"/>
          <c:showBubbleSize val="0"/>
        </c:dLbls>
        <c:gapWidth val="20"/>
        <c:axId val="468030224"/>
        <c:axId val="468024736"/>
      </c:barChart>
      <c:barChart>
        <c:barDir val="col"/>
        <c:grouping val="clustered"/>
        <c:varyColors val="0"/>
        <c:ser>
          <c:idx val="1"/>
          <c:order val="1"/>
          <c:tx>
            <c:strRef>
              <c:f>DIVERSITEIT!$AJ$4</c:f>
              <c:strCache>
                <c:ptCount val="1"/>
                <c:pt idx="0">
                  <c:v>1,2</c:v>
                </c:pt>
              </c:strCache>
            </c:strRef>
          </c:tx>
          <c:spPr>
            <a:noFill/>
            <a:ln w="44450">
              <a:solidFill>
                <a:srgbClr val="990099"/>
              </a:solidFill>
              <a:prstDash val="solid"/>
            </a:ln>
          </c:spPr>
          <c:invertIfNegative val="1"/>
          <c:val>
            <c:numRef>
              <c:f>DIVERSITEIT!$AJ$6</c:f>
              <c:numCache>
                <c:formatCode>General</c:formatCode>
                <c:ptCount val="1"/>
                <c:pt idx="0">
                  <c:v>1.2</c:v>
                </c:pt>
              </c:numCache>
            </c:numRef>
          </c:val>
          <c:extLst>
            <c:ext xmlns:c16="http://schemas.microsoft.com/office/drawing/2014/chart" uri="{C3380CC4-5D6E-409C-BE32-E72D297353CC}">
              <c16:uniqueId val="{00000001-E722-45C7-8CDF-A7B623F8A121}"/>
            </c:ext>
          </c:extLst>
        </c:ser>
        <c:dLbls>
          <c:showLegendKey val="0"/>
          <c:showVal val="0"/>
          <c:showCatName val="0"/>
          <c:showSerName val="0"/>
          <c:showPercent val="0"/>
          <c:showBubbleSize val="0"/>
        </c:dLbls>
        <c:gapWidth val="20"/>
        <c:axId val="468025128"/>
        <c:axId val="468027480"/>
      </c:barChart>
      <c:catAx>
        <c:axId val="468030224"/>
        <c:scaling>
          <c:orientation val="minMax"/>
        </c:scaling>
        <c:delete val="1"/>
        <c:axPos val="b"/>
        <c:majorTickMark val="out"/>
        <c:minorTickMark val="none"/>
        <c:tickLblPos val="none"/>
        <c:crossAx val="468024736"/>
        <c:crosses val="autoZero"/>
        <c:auto val="1"/>
        <c:lblAlgn val="ctr"/>
        <c:lblOffset val="100"/>
        <c:noMultiLvlLbl val="0"/>
      </c:catAx>
      <c:valAx>
        <c:axId val="468024736"/>
        <c:scaling>
          <c:orientation val="minMax"/>
          <c:max val="2"/>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nl-NL"/>
          </a:p>
        </c:txPr>
        <c:crossAx val="468030224"/>
        <c:crosses val="autoZero"/>
        <c:crossBetween val="between"/>
      </c:valAx>
      <c:catAx>
        <c:axId val="468025128"/>
        <c:scaling>
          <c:orientation val="minMax"/>
        </c:scaling>
        <c:delete val="1"/>
        <c:axPos val="b"/>
        <c:majorTickMark val="out"/>
        <c:minorTickMark val="none"/>
        <c:tickLblPos val="none"/>
        <c:crossAx val="468027480"/>
        <c:crosses val="autoZero"/>
        <c:auto val="1"/>
        <c:lblAlgn val="ctr"/>
        <c:lblOffset val="100"/>
        <c:noMultiLvlLbl val="0"/>
      </c:catAx>
      <c:valAx>
        <c:axId val="468027480"/>
        <c:scaling>
          <c:orientation val="minMax"/>
        </c:scaling>
        <c:delete val="1"/>
        <c:axPos val="r"/>
        <c:numFmt formatCode="General" sourceLinked="1"/>
        <c:majorTickMark val="out"/>
        <c:minorTickMark val="none"/>
        <c:tickLblPos val="none"/>
        <c:crossAx val="468025128"/>
        <c:crosses val="max"/>
        <c:crossBetween val="between"/>
      </c:valAx>
      <c:spPr>
        <a:blipFill>
          <a:blip xmlns:r="http://schemas.openxmlformats.org/officeDocument/2006/relationships" r:embed="rId1"/>
          <a:tile tx="0" ty="0" sx="100000" sy="100000" flip="none" algn="tl"/>
        </a:blip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300" b="0" i="0" u="none" strike="noStrike" baseline="0">
          <a:solidFill>
            <a:srgbClr val="000000"/>
          </a:solidFill>
          <a:latin typeface="Arial"/>
          <a:ea typeface="Arial"/>
          <a:cs typeface="Arial"/>
        </a:defRPr>
      </a:pPr>
      <a:endParaRPr lang="nl-NL"/>
    </a:p>
  </c:txPr>
  <c:printSettings>
    <c:headerFooter alignWithMargins="0"/>
    <c:pageMargins b="1" l="0.75000000000000133" r="0.750000000000001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1e periode'!$H$12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1e periode'!$H$14</c:f>
              <c:numCache>
                <c:formatCode>General</c:formatCode>
                <c:ptCount val="1"/>
                <c:pt idx="0">
                  <c:v>8.4</c:v>
                </c:pt>
              </c:numCache>
            </c:numRef>
          </c:val>
          <c:extLst>
            <c:ext xmlns:c16="http://schemas.microsoft.com/office/drawing/2014/chart" uri="{C3380CC4-5D6E-409C-BE32-E72D297353CC}">
              <c16:uniqueId val="{00000000-78D4-48C8-BDC6-38F979565F25}"/>
            </c:ext>
          </c:extLst>
        </c:ser>
        <c:ser>
          <c:idx val="1"/>
          <c:order val="1"/>
          <c:tx>
            <c:strRef>
              <c:f>'OPP 1e periode'!$I$12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1e periode'!$I$14</c:f>
              <c:numCache>
                <c:formatCode>General</c:formatCode>
                <c:ptCount val="1"/>
                <c:pt idx="0">
                  <c:v>7.6</c:v>
                </c:pt>
              </c:numCache>
            </c:numRef>
          </c:val>
          <c:extLst>
            <c:ext xmlns:c16="http://schemas.microsoft.com/office/drawing/2014/chart" uri="{C3380CC4-5D6E-409C-BE32-E72D297353CC}">
              <c16:uniqueId val="{00000001-78D4-48C8-BDC6-38F979565F25}"/>
            </c:ext>
          </c:extLst>
        </c:ser>
        <c:ser>
          <c:idx val="3"/>
          <c:order val="2"/>
          <c:tx>
            <c:strRef>
              <c:f>'OPP 1e periode'!$J$12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periode'!$J$14</c:f>
              <c:numCache>
                <c:formatCode>General</c:formatCode>
                <c:ptCount val="1"/>
                <c:pt idx="0">
                  <c:v>10</c:v>
                </c:pt>
              </c:numCache>
            </c:numRef>
          </c:val>
          <c:extLst>
            <c:ext xmlns:c16="http://schemas.microsoft.com/office/drawing/2014/chart" uri="{C3380CC4-5D6E-409C-BE32-E72D297353CC}">
              <c16:uniqueId val="{00000003-78D4-48C8-BDC6-38F979565F25}"/>
            </c:ext>
          </c:extLst>
        </c:ser>
        <c:ser>
          <c:idx val="4"/>
          <c:order val="3"/>
          <c:tx>
            <c:strRef>
              <c:f>'OPP 1e periode'!$K$12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1e periode'!$K$14</c:f>
              <c:numCache>
                <c:formatCode>General</c:formatCode>
                <c:ptCount val="1"/>
                <c:pt idx="0">
                  <c:v>9.1999999999999993</c:v>
                </c:pt>
              </c:numCache>
            </c:numRef>
          </c:val>
          <c:extLst>
            <c:ext xmlns:c16="http://schemas.microsoft.com/office/drawing/2014/chart" uri="{C3380CC4-5D6E-409C-BE32-E72D297353CC}">
              <c16:uniqueId val="{00000004-78D4-48C8-BDC6-38F979565F25}"/>
            </c:ext>
          </c:extLst>
        </c:ser>
        <c:ser>
          <c:idx val="5"/>
          <c:order val="4"/>
          <c:tx>
            <c:strRef>
              <c:f>'OPP 1e periode'!$L$12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1e periode'!$L$14</c:f>
              <c:numCache>
                <c:formatCode>General</c:formatCode>
                <c:ptCount val="1"/>
                <c:pt idx="0">
                  <c:v>7.8</c:v>
                </c:pt>
              </c:numCache>
            </c:numRef>
          </c:val>
          <c:extLst>
            <c:ext xmlns:c16="http://schemas.microsoft.com/office/drawing/2014/chart" uri="{C3380CC4-5D6E-409C-BE32-E72D297353CC}">
              <c16:uniqueId val="{00000005-78D4-48C8-BDC6-38F979565F25}"/>
            </c:ext>
          </c:extLst>
        </c:ser>
        <c:ser>
          <c:idx val="7"/>
          <c:order val="5"/>
          <c:tx>
            <c:strRef>
              <c:f>'OPP 1e periode'!$M$12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periode'!$M$14</c:f>
              <c:numCache>
                <c:formatCode>General</c:formatCode>
                <c:ptCount val="1"/>
                <c:pt idx="0">
                  <c:v>10</c:v>
                </c:pt>
              </c:numCache>
            </c:numRef>
          </c:val>
          <c:extLst>
            <c:ext xmlns:c16="http://schemas.microsoft.com/office/drawing/2014/chart" uri="{C3380CC4-5D6E-409C-BE32-E72D297353CC}">
              <c16:uniqueId val="{00000007-78D4-48C8-BDC6-38F979565F25}"/>
            </c:ext>
          </c:extLst>
        </c:ser>
        <c:ser>
          <c:idx val="8"/>
          <c:order val="6"/>
          <c:tx>
            <c:strRef>
              <c:f>'OPP 1e periode'!$N$12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1e periode'!$N$14</c:f>
              <c:numCache>
                <c:formatCode>General</c:formatCode>
                <c:ptCount val="1"/>
                <c:pt idx="0">
                  <c:v>9.1999999999999993</c:v>
                </c:pt>
              </c:numCache>
            </c:numRef>
          </c:val>
          <c:extLst>
            <c:ext xmlns:c16="http://schemas.microsoft.com/office/drawing/2014/chart" uri="{C3380CC4-5D6E-409C-BE32-E72D297353CC}">
              <c16:uniqueId val="{00000008-78D4-48C8-BDC6-38F979565F25}"/>
            </c:ext>
          </c:extLst>
        </c:ser>
        <c:ser>
          <c:idx val="9"/>
          <c:order val="7"/>
          <c:tx>
            <c:strRef>
              <c:f>'OPP 1e periode'!$O$12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1e periode'!$O$14</c:f>
              <c:numCache>
                <c:formatCode>General</c:formatCode>
                <c:ptCount val="1"/>
                <c:pt idx="0">
                  <c:v>8.6</c:v>
                </c:pt>
              </c:numCache>
            </c:numRef>
          </c:val>
          <c:extLst>
            <c:ext xmlns:c16="http://schemas.microsoft.com/office/drawing/2014/chart" uri="{C3380CC4-5D6E-409C-BE32-E72D297353CC}">
              <c16:uniqueId val="{00000009-78D4-48C8-BDC6-38F979565F25}"/>
            </c:ext>
          </c:extLst>
        </c:ser>
        <c:ser>
          <c:idx val="11"/>
          <c:order val="8"/>
          <c:tx>
            <c:strRef>
              <c:f>'OPP 1e periode'!$P$12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periode'!$P$14</c:f>
              <c:numCache>
                <c:formatCode>General</c:formatCode>
                <c:ptCount val="1"/>
                <c:pt idx="0">
                  <c:v>10</c:v>
                </c:pt>
              </c:numCache>
            </c:numRef>
          </c:val>
          <c:extLst>
            <c:ext xmlns:c16="http://schemas.microsoft.com/office/drawing/2014/chart" uri="{C3380CC4-5D6E-409C-BE32-E72D297353CC}">
              <c16:uniqueId val="{0000000B-78D4-48C8-BDC6-38F979565F25}"/>
            </c:ext>
          </c:extLst>
        </c:ser>
        <c:ser>
          <c:idx val="12"/>
          <c:order val="9"/>
          <c:tx>
            <c:strRef>
              <c:f>'OPP 1e periode'!$Q$12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1e periode'!$Q$14</c:f>
              <c:numCache>
                <c:formatCode>General</c:formatCode>
                <c:ptCount val="1"/>
                <c:pt idx="0">
                  <c:v>8.6</c:v>
                </c:pt>
              </c:numCache>
            </c:numRef>
          </c:val>
          <c:extLst>
            <c:ext xmlns:c16="http://schemas.microsoft.com/office/drawing/2014/chart" uri="{C3380CC4-5D6E-409C-BE32-E72D297353CC}">
              <c16:uniqueId val="{0000000C-78D4-48C8-BDC6-38F979565F25}"/>
            </c:ext>
          </c:extLst>
        </c:ser>
        <c:ser>
          <c:idx val="13"/>
          <c:order val="10"/>
          <c:tx>
            <c:strRef>
              <c:f>'OPP 1e periode'!$R$12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1e periode'!$R$14</c:f>
              <c:numCache>
                <c:formatCode>General</c:formatCode>
                <c:ptCount val="1"/>
                <c:pt idx="0">
                  <c:v>9.1999999999999993</c:v>
                </c:pt>
              </c:numCache>
            </c:numRef>
          </c:val>
          <c:extLst>
            <c:ext xmlns:c16="http://schemas.microsoft.com/office/drawing/2014/chart" uri="{C3380CC4-5D6E-409C-BE32-E72D297353CC}">
              <c16:uniqueId val="{0000000D-78D4-48C8-BDC6-38F979565F25}"/>
            </c:ext>
          </c:extLst>
        </c:ser>
        <c:ser>
          <c:idx val="15"/>
          <c:order val="11"/>
          <c:tx>
            <c:strRef>
              <c:f>'OPP 1e periode'!$S$12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periode'!$S$14</c:f>
              <c:numCache>
                <c:formatCode>General</c:formatCode>
                <c:ptCount val="1"/>
                <c:pt idx="0">
                  <c:v>10</c:v>
                </c:pt>
              </c:numCache>
            </c:numRef>
          </c:val>
          <c:extLst>
            <c:ext xmlns:c16="http://schemas.microsoft.com/office/drawing/2014/chart" uri="{C3380CC4-5D6E-409C-BE32-E72D297353CC}">
              <c16:uniqueId val="{0000000F-78D4-48C8-BDC6-38F979565F25}"/>
            </c:ext>
          </c:extLst>
        </c:ser>
        <c:ser>
          <c:idx val="16"/>
          <c:order val="12"/>
          <c:tx>
            <c:strRef>
              <c:f>'OPP 1e periode'!$T$12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1e periode'!$T$14</c:f>
              <c:numCache>
                <c:formatCode>General</c:formatCode>
                <c:ptCount val="1"/>
                <c:pt idx="0">
                  <c:v>8.4</c:v>
                </c:pt>
              </c:numCache>
            </c:numRef>
          </c:val>
          <c:extLst>
            <c:ext xmlns:c16="http://schemas.microsoft.com/office/drawing/2014/chart" uri="{C3380CC4-5D6E-409C-BE32-E72D297353CC}">
              <c16:uniqueId val="{00000010-78D4-48C8-BDC6-38F979565F25}"/>
            </c:ext>
          </c:extLst>
        </c:ser>
        <c:ser>
          <c:idx val="17"/>
          <c:order val="13"/>
          <c:tx>
            <c:strRef>
              <c:f>'OPP 1e periode'!$U$12</c:f>
              <c:strCache>
                <c:ptCount val="1"/>
                <c:pt idx="0">
                  <c:v>HR - 1e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1e periode'!$U$14</c:f>
              <c:numCache>
                <c:formatCode>General</c:formatCode>
                <c:ptCount val="1"/>
                <c:pt idx="0">
                  <c:v>8.8000000000000007</c:v>
                </c:pt>
              </c:numCache>
            </c:numRef>
          </c:val>
          <c:extLst>
            <c:ext xmlns:c16="http://schemas.microsoft.com/office/drawing/2014/chart" uri="{C3380CC4-5D6E-409C-BE32-E72D297353CC}">
              <c16:uniqueId val="{00000011-78D4-48C8-BDC6-38F979565F25}"/>
            </c:ext>
          </c:extLst>
        </c:ser>
        <c:ser>
          <c:idx val="19"/>
          <c:order val="14"/>
          <c:tx>
            <c:strRef>
              <c:f>'OPP 1e periode'!$V$12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periode'!$V$14</c:f>
              <c:numCache>
                <c:formatCode>General</c:formatCode>
                <c:ptCount val="1"/>
                <c:pt idx="0">
                  <c:v>10</c:v>
                </c:pt>
              </c:numCache>
            </c:numRef>
          </c:val>
          <c:extLst>
            <c:ext xmlns:c16="http://schemas.microsoft.com/office/drawing/2014/chart" uri="{C3380CC4-5D6E-409C-BE32-E72D297353CC}">
              <c16:uniqueId val="{00000013-78D4-48C8-BDC6-38F979565F25}"/>
            </c:ext>
          </c:extLst>
        </c:ser>
        <c:dLbls>
          <c:showLegendKey val="0"/>
          <c:showVal val="0"/>
          <c:showCatName val="0"/>
          <c:showSerName val="0"/>
          <c:showPercent val="0"/>
          <c:showBubbleSize val="0"/>
        </c:dLbls>
        <c:gapWidth val="5"/>
        <c:overlap val="-10"/>
        <c:axId val="374842544"/>
        <c:axId val="374844504"/>
      </c:barChart>
      <c:barChart>
        <c:barDir val="bar"/>
        <c:grouping val="clustered"/>
        <c:varyColors val="0"/>
        <c:ser>
          <c:idx val="20"/>
          <c:order val="15"/>
          <c:tx>
            <c:strRef>
              <c:f>'OPP 1e periode'!$W$12</c:f>
              <c:strCache>
                <c:ptCount val="1"/>
                <c:pt idx="0">
                  <c:v>gemiddeld</c:v>
                </c:pt>
              </c:strCache>
            </c:strRef>
          </c:tx>
          <c:spPr>
            <a:noFill/>
            <a:ln w="127000">
              <a:solidFill>
                <a:srgbClr val="002060"/>
              </a:solidFill>
            </a:ln>
            <a:effectLst/>
          </c:spPr>
          <c:invertIfNegative val="0"/>
          <c:val>
            <c:numRef>
              <c:f>'OPP 1e periode'!$W$14</c:f>
              <c:numCache>
                <c:formatCode>0.0</c:formatCode>
                <c:ptCount val="1"/>
                <c:pt idx="0">
                  <c:v>8.5800000000000018</c:v>
                </c:pt>
              </c:numCache>
            </c:numRef>
          </c:val>
          <c:extLst>
            <c:ext xmlns:c16="http://schemas.microsoft.com/office/drawing/2014/chart" uri="{C3380CC4-5D6E-409C-BE32-E72D297353CC}">
              <c16:uniqueId val="{00000014-78D4-48C8-BDC6-38F979565F25}"/>
            </c:ext>
          </c:extLst>
        </c:ser>
        <c:dLbls>
          <c:showLegendKey val="0"/>
          <c:showVal val="0"/>
          <c:showCatName val="0"/>
          <c:showSerName val="0"/>
          <c:showPercent val="0"/>
          <c:showBubbleSize val="0"/>
        </c:dLbls>
        <c:gapWidth val="0"/>
        <c:axId val="374845680"/>
        <c:axId val="374845288"/>
      </c:barChart>
      <c:catAx>
        <c:axId val="374842544"/>
        <c:scaling>
          <c:orientation val="maxMin"/>
        </c:scaling>
        <c:delete val="1"/>
        <c:axPos val="l"/>
        <c:numFmt formatCode="General" sourceLinked="1"/>
        <c:majorTickMark val="none"/>
        <c:minorTickMark val="none"/>
        <c:tickLblPos val="nextTo"/>
        <c:crossAx val="374844504"/>
        <c:crosses val="autoZero"/>
        <c:auto val="1"/>
        <c:lblAlgn val="ctr"/>
        <c:lblOffset val="100"/>
        <c:noMultiLvlLbl val="0"/>
      </c:catAx>
      <c:valAx>
        <c:axId val="374844504"/>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74842544"/>
        <c:crosses val="autoZero"/>
        <c:crossBetween val="between"/>
      </c:valAx>
      <c:valAx>
        <c:axId val="374845288"/>
        <c:scaling>
          <c:orientation val="minMax"/>
        </c:scaling>
        <c:delete val="1"/>
        <c:axPos val="b"/>
        <c:numFmt formatCode="0.0" sourceLinked="1"/>
        <c:majorTickMark val="out"/>
        <c:minorTickMark val="none"/>
        <c:tickLblPos val="nextTo"/>
        <c:crossAx val="374845680"/>
        <c:crosses val="autoZero"/>
        <c:crossBetween val="between"/>
      </c:valAx>
      <c:catAx>
        <c:axId val="374845680"/>
        <c:scaling>
          <c:orientation val="minMax"/>
        </c:scaling>
        <c:delete val="1"/>
        <c:axPos val="l"/>
        <c:majorTickMark val="out"/>
        <c:minorTickMark val="none"/>
        <c:tickLblPos val="nextTo"/>
        <c:crossAx val="374845288"/>
        <c:crosses val="autoZero"/>
        <c:auto val="1"/>
        <c:lblAlgn val="ctr"/>
        <c:lblOffset val="100"/>
        <c:noMultiLvlLbl val="0"/>
      </c:catAx>
      <c:spPr>
        <a:noFill/>
        <a:ln>
          <a:noFill/>
        </a:ln>
        <a:effectLst/>
      </c:spPr>
    </c:plotArea>
    <c:legend>
      <c:legendPos val="tr"/>
      <c:legendEntry>
        <c:idx val="3"/>
        <c:txPr>
          <a:bodyPr rot="0" spcFirstLastPara="1" vertOverflow="ellipsis" vert="horz" wrap="square" anchor="ctr" anchorCtr="1"/>
          <a:lstStyle/>
          <a:p>
            <a:pPr>
              <a:defRPr sz="1800" b="0" i="0" u="none" strike="noStrike" kern="1200" baseline="0">
                <a:solidFill>
                  <a:schemeClr val="tx1"/>
                </a:solidFill>
                <a:latin typeface="+mn-lt"/>
                <a:ea typeface="+mn-ea"/>
                <a:cs typeface="Arial" panose="020B0604020202020204" pitchFamily="34" charset="0"/>
              </a:defRPr>
            </a:pPr>
            <a:endParaRPr lang="nl-NL"/>
          </a:p>
        </c:txPr>
      </c:legendEntry>
      <c:legendEntry>
        <c:idx val="15"/>
        <c:delete val="1"/>
      </c:legendEntry>
      <c:layout>
        <c:manualLayout>
          <c:xMode val="edge"/>
          <c:yMode val="edge"/>
          <c:x val="0.8137589533608186"/>
          <c:y val="1.2728093637124896E-2"/>
          <c:w val="0.17664980662463922"/>
          <c:h val="0.96253124570371573"/>
        </c:manualLayout>
      </c:layout>
      <c:overlay val="1"/>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Arial" panose="020B0604020202020204" pitchFamily="34" charset="0"/>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horizontalDpi="-3"/>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83361228456987E-2"/>
          <c:y val="5.0925925925925923E-2"/>
          <c:w val="0.83115500953326038"/>
          <c:h val="0.94145330495238744"/>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3-D041-4905-8C19-B0546559CD23}"/>
              </c:ext>
            </c:extLst>
          </c:dPt>
          <c:dPt>
            <c:idx val="4"/>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4-D041-4905-8C19-B0546559CD23}"/>
              </c:ext>
            </c:extLst>
          </c:dPt>
          <c:dPt>
            <c:idx val="5"/>
            <c:invertIfNegative val="0"/>
            <c:bubble3D val="0"/>
            <c:spPr>
              <a:gradFill>
                <a:gsLst>
                  <a:gs pos="0">
                    <a:schemeClr val="tx1">
                      <a:lumMod val="50000"/>
                      <a:lumOff val="50000"/>
                    </a:schemeClr>
                  </a:gs>
                  <a:gs pos="51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5-D041-4905-8C19-B0546559CD23}"/>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6-D041-4905-8C19-B0546559CD23}"/>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7-D041-4905-8C19-B0546559CD23}"/>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8-D041-4905-8C19-B0546559CD23}"/>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B-D041-4905-8C19-B0546559CD23}"/>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A-D041-4905-8C19-B0546559CD23}"/>
              </c:ext>
            </c:extLst>
          </c:dPt>
          <c:dPt>
            <c:idx val="11"/>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9-D041-4905-8C19-B0546559CD23}"/>
              </c:ext>
            </c:extLst>
          </c:dPt>
          <c:cat>
            <c:strRef>
              <c:f>'OPP 2e periode'!$R$74:$AD$74</c:f>
              <c:strCache>
                <c:ptCount val="10"/>
                <c:pt idx="0">
                  <c:v>Technisch lezen</c:v>
                </c:pt>
                <c:pt idx="3">
                  <c:v>Spellen</c:v>
                </c:pt>
                <c:pt idx="6">
                  <c:v>Begrijpend lezen</c:v>
                </c:pt>
                <c:pt idx="9">
                  <c:v>Rekenen</c:v>
                </c:pt>
              </c:strCache>
            </c:strRef>
          </c:cat>
          <c:val>
            <c:numRef>
              <c:f>'OPP 2e periode'!$R$75:$AD$75</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041-4905-8C19-B0546559CD23}"/>
            </c:ext>
          </c:extLst>
        </c:ser>
        <c:dLbls>
          <c:showLegendKey val="0"/>
          <c:showVal val="0"/>
          <c:showCatName val="0"/>
          <c:showSerName val="0"/>
          <c:showPercent val="0"/>
          <c:showBubbleSize val="0"/>
        </c:dLbls>
        <c:gapWidth val="0"/>
        <c:overlap val="-27"/>
        <c:axId val="617663504"/>
        <c:axId val="617673072"/>
      </c:barChart>
      <c:catAx>
        <c:axId val="617663504"/>
        <c:scaling>
          <c:orientation val="minMax"/>
        </c:scaling>
        <c:delete val="1"/>
        <c:axPos val="b"/>
        <c:numFmt formatCode="General" sourceLinked="1"/>
        <c:majorTickMark val="none"/>
        <c:minorTickMark val="none"/>
        <c:tickLblPos val="nextTo"/>
        <c:crossAx val="617673072"/>
        <c:crosses val="autoZero"/>
        <c:auto val="1"/>
        <c:lblAlgn val="ctr"/>
        <c:lblOffset val="100"/>
        <c:noMultiLvlLbl val="0"/>
      </c:catAx>
      <c:valAx>
        <c:axId val="617673072"/>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17663504"/>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2e periode'!$H$12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periode'!$H$14</c:f>
              <c:numCache>
                <c:formatCode>General</c:formatCode>
                <c:ptCount val="1"/>
                <c:pt idx="0">
                  <c:v>0</c:v>
                </c:pt>
              </c:numCache>
            </c:numRef>
          </c:val>
          <c:extLst>
            <c:ext xmlns:c16="http://schemas.microsoft.com/office/drawing/2014/chart" uri="{C3380CC4-5D6E-409C-BE32-E72D297353CC}">
              <c16:uniqueId val="{00000000-600F-4C61-9D9C-E7C6C7F5805C}"/>
            </c:ext>
          </c:extLst>
        </c:ser>
        <c:ser>
          <c:idx val="1"/>
          <c:order val="1"/>
          <c:tx>
            <c:strRef>
              <c:f>'OPP 2e periode'!$I$12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periode'!$I$14</c:f>
              <c:numCache>
                <c:formatCode>General</c:formatCode>
                <c:ptCount val="1"/>
                <c:pt idx="0">
                  <c:v>0</c:v>
                </c:pt>
              </c:numCache>
            </c:numRef>
          </c:val>
          <c:extLst>
            <c:ext xmlns:c16="http://schemas.microsoft.com/office/drawing/2014/chart" uri="{C3380CC4-5D6E-409C-BE32-E72D297353CC}">
              <c16:uniqueId val="{00000001-600F-4C61-9D9C-E7C6C7F5805C}"/>
            </c:ext>
          </c:extLst>
        </c:ser>
        <c:ser>
          <c:idx val="2"/>
          <c:order val="2"/>
          <c:tx>
            <c:strRef>
              <c:f>'OPP 2e periode'!$J$12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periode'!$J$14</c:f>
              <c:numCache>
                <c:formatCode>General</c:formatCode>
                <c:ptCount val="1"/>
                <c:pt idx="0">
                  <c:v>0</c:v>
                </c:pt>
              </c:numCache>
            </c:numRef>
          </c:val>
          <c:extLst>
            <c:ext xmlns:c16="http://schemas.microsoft.com/office/drawing/2014/chart" uri="{C3380CC4-5D6E-409C-BE32-E72D297353CC}">
              <c16:uniqueId val="{00000002-600F-4C61-9D9C-E7C6C7F5805C}"/>
            </c:ext>
          </c:extLst>
        </c:ser>
        <c:ser>
          <c:idx val="3"/>
          <c:order val="3"/>
          <c:tx>
            <c:strRef>
              <c:f>'OPP 2e periode'!$K$12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periode'!$K$14</c:f>
              <c:numCache>
                <c:formatCode>General</c:formatCode>
                <c:ptCount val="1"/>
                <c:pt idx="0">
                  <c:v>10</c:v>
                </c:pt>
              </c:numCache>
            </c:numRef>
          </c:val>
          <c:extLst>
            <c:ext xmlns:c16="http://schemas.microsoft.com/office/drawing/2014/chart" uri="{C3380CC4-5D6E-409C-BE32-E72D297353CC}">
              <c16:uniqueId val="{00000003-600F-4C61-9D9C-E7C6C7F5805C}"/>
            </c:ext>
          </c:extLst>
        </c:ser>
        <c:ser>
          <c:idx val="4"/>
          <c:order val="4"/>
          <c:tx>
            <c:strRef>
              <c:f>'OPP 2e periode'!$L$12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periode'!$L$14</c:f>
              <c:numCache>
                <c:formatCode>General</c:formatCode>
                <c:ptCount val="1"/>
                <c:pt idx="0">
                  <c:v>0</c:v>
                </c:pt>
              </c:numCache>
            </c:numRef>
          </c:val>
          <c:extLst>
            <c:ext xmlns:c16="http://schemas.microsoft.com/office/drawing/2014/chart" uri="{C3380CC4-5D6E-409C-BE32-E72D297353CC}">
              <c16:uniqueId val="{00000004-600F-4C61-9D9C-E7C6C7F5805C}"/>
            </c:ext>
          </c:extLst>
        </c:ser>
        <c:ser>
          <c:idx val="5"/>
          <c:order val="5"/>
          <c:tx>
            <c:strRef>
              <c:f>'OPP 2e periode'!$M$12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periode'!$M$14</c:f>
              <c:numCache>
                <c:formatCode>General</c:formatCode>
                <c:ptCount val="1"/>
                <c:pt idx="0">
                  <c:v>0</c:v>
                </c:pt>
              </c:numCache>
            </c:numRef>
          </c:val>
          <c:extLst>
            <c:ext xmlns:c16="http://schemas.microsoft.com/office/drawing/2014/chart" uri="{C3380CC4-5D6E-409C-BE32-E72D297353CC}">
              <c16:uniqueId val="{00000005-600F-4C61-9D9C-E7C6C7F5805C}"/>
            </c:ext>
          </c:extLst>
        </c:ser>
        <c:ser>
          <c:idx val="6"/>
          <c:order val="6"/>
          <c:tx>
            <c:strRef>
              <c:f>'OPP 2e periode'!$N$12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periode'!$N$14</c:f>
              <c:numCache>
                <c:formatCode>General</c:formatCode>
                <c:ptCount val="1"/>
                <c:pt idx="0">
                  <c:v>0</c:v>
                </c:pt>
              </c:numCache>
            </c:numRef>
          </c:val>
          <c:extLst>
            <c:ext xmlns:c16="http://schemas.microsoft.com/office/drawing/2014/chart" uri="{C3380CC4-5D6E-409C-BE32-E72D297353CC}">
              <c16:uniqueId val="{00000006-600F-4C61-9D9C-E7C6C7F5805C}"/>
            </c:ext>
          </c:extLst>
        </c:ser>
        <c:ser>
          <c:idx val="7"/>
          <c:order val="7"/>
          <c:tx>
            <c:strRef>
              <c:f>'OPP 2e periode'!$O$12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periode'!$O$14</c:f>
              <c:numCache>
                <c:formatCode>General</c:formatCode>
                <c:ptCount val="1"/>
                <c:pt idx="0">
                  <c:v>10</c:v>
                </c:pt>
              </c:numCache>
            </c:numRef>
          </c:val>
          <c:extLst>
            <c:ext xmlns:c16="http://schemas.microsoft.com/office/drawing/2014/chart" uri="{C3380CC4-5D6E-409C-BE32-E72D297353CC}">
              <c16:uniqueId val="{00000007-600F-4C61-9D9C-E7C6C7F5805C}"/>
            </c:ext>
          </c:extLst>
        </c:ser>
        <c:ser>
          <c:idx val="8"/>
          <c:order val="8"/>
          <c:tx>
            <c:strRef>
              <c:f>'OPP 2e periode'!$P$12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periode'!$P$14</c:f>
              <c:numCache>
                <c:formatCode>General</c:formatCode>
                <c:ptCount val="1"/>
                <c:pt idx="0">
                  <c:v>0</c:v>
                </c:pt>
              </c:numCache>
            </c:numRef>
          </c:val>
          <c:extLst>
            <c:ext xmlns:c16="http://schemas.microsoft.com/office/drawing/2014/chart" uri="{C3380CC4-5D6E-409C-BE32-E72D297353CC}">
              <c16:uniqueId val="{00000008-600F-4C61-9D9C-E7C6C7F5805C}"/>
            </c:ext>
          </c:extLst>
        </c:ser>
        <c:ser>
          <c:idx val="9"/>
          <c:order val="9"/>
          <c:tx>
            <c:strRef>
              <c:f>'OPP 2e periode'!$Q$12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periode'!$Q$14</c:f>
              <c:numCache>
                <c:formatCode>General</c:formatCode>
                <c:ptCount val="1"/>
                <c:pt idx="0">
                  <c:v>0</c:v>
                </c:pt>
              </c:numCache>
            </c:numRef>
          </c:val>
          <c:extLst>
            <c:ext xmlns:c16="http://schemas.microsoft.com/office/drawing/2014/chart" uri="{C3380CC4-5D6E-409C-BE32-E72D297353CC}">
              <c16:uniqueId val="{00000009-600F-4C61-9D9C-E7C6C7F5805C}"/>
            </c:ext>
          </c:extLst>
        </c:ser>
        <c:ser>
          <c:idx val="10"/>
          <c:order val="10"/>
          <c:tx>
            <c:strRef>
              <c:f>'OPP 2e periode'!$R$12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periode'!$R$14</c:f>
              <c:numCache>
                <c:formatCode>General</c:formatCode>
                <c:ptCount val="1"/>
                <c:pt idx="0">
                  <c:v>0</c:v>
                </c:pt>
              </c:numCache>
            </c:numRef>
          </c:val>
          <c:extLst>
            <c:ext xmlns:c16="http://schemas.microsoft.com/office/drawing/2014/chart" uri="{C3380CC4-5D6E-409C-BE32-E72D297353CC}">
              <c16:uniqueId val="{0000000A-600F-4C61-9D9C-E7C6C7F5805C}"/>
            </c:ext>
          </c:extLst>
        </c:ser>
        <c:ser>
          <c:idx val="11"/>
          <c:order val="11"/>
          <c:tx>
            <c:strRef>
              <c:f>'OPP 2e periode'!$S$12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periode'!$S$14</c:f>
              <c:numCache>
                <c:formatCode>General</c:formatCode>
                <c:ptCount val="1"/>
                <c:pt idx="0">
                  <c:v>10</c:v>
                </c:pt>
              </c:numCache>
            </c:numRef>
          </c:val>
          <c:extLst>
            <c:ext xmlns:c16="http://schemas.microsoft.com/office/drawing/2014/chart" uri="{C3380CC4-5D6E-409C-BE32-E72D297353CC}">
              <c16:uniqueId val="{0000000B-600F-4C61-9D9C-E7C6C7F5805C}"/>
            </c:ext>
          </c:extLst>
        </c:ser>
        <c:ser>
          <c:idx val="12"/>
          <c:order val="12"/>
          <c:tx>
            <c:strRef>
              <c:f>'OPP 2e periode'!$T$12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2e periode'!$T$14</c:f>
              <c:numCache>
                <c:formatCode>General</c:formatCode>
                <c:ptCount val="1"/>
                <c:pt idx="0">
                  <c:v>0</c:v>
                </c:pt>
              </c:numCache>
            </c:numRef>
          </c:val>
          <c:extLst>
            <c:ext xmlns:c16="http://schemas.microsoft.com/office/drawing/2014/chart" uri="{C3380CC4-5D6E-409C-BE32-E72D297353CC}">
              <c16:uniqueId val="{0000000C-600F-4C61-9D9C-E7C6C7F5805C}"/>
            </c:ext>
          </c:extLst>
        </c:ser>
        <c:ser>
          <c:idx val="13"/>
          <c:order val="13"/>
          <c:tx>
            <c:strRef>
              <c:f>'OPP 2e periode'!$U$12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2e periode'!$U$14</c:f>
              <c:numCache>
                <c:formatCode>General</c:formatCode>
                <c:ptCount val="1"/>
                <c:pt idx="0">
                  <c:v>0</c:v>
                </c:pt>
              </c:numCache>
            </c:numRef>
          </c:val>
          <c:extLst>
            <c:ext xmlns:c16="http://schemas.microsoft.com/office/drawing/2014/chart" uri="{C3380CC4-5D6E-409C-BE32-E72D297353CC}">
              <c16:uniqueId val="{0000000D-600F-4C61-9D9C-E7C6C7F5805C}"/>
            </c:ext>
          </c:extLst>
        </c:ser>
        <c:ser>
          <c:idx val="14"/>
          <c:order val="14"/>
          <c:tx>
            <c:strRef>
              <c:f>'OPP 2e periode'!$V$12</c:f>
              <c:strCache>
                <c:ptCount val="1"/>
                <c:pt idx="0">
                  <c:v>R&amp;W - 2e periode</c:v>
                </c:pt>
              </c:strCache>
            </c:strRef>
          </c:tx>
          <c:spPr>
            <a:solidFill>
              <a:srgbClr val="FF0000"/>
            </a:solidFill>
            <a:ln>
              <a:noFill/>
            </a:ln>
            <a:effectLst/>
          </c:spPr>
          <c:invertIfNegative val="0"/>
          <c:val>
            <c:numRef>
              <c:f>'OPP 2e periode'!$V$14</c:f>
              <c:numCache>
                <c:formatCode>General</c:formatCode>
                <c:ptCount val="1"/>
                <c:pt idx="0">
                  <c:v>0</c:v>
                </c:pt>
              </c:numCache>
            </c:numRef>
          </c:val>
          <c:extLst>
            <c:ext xmlns:c16="http://schemas.microsoft.com/office/drawing/2014/chart" uri="{C3380CC4-5D6E-409C-BE32-E72D297353CC}">
              <c16:uniqueId val="{0000000E-600F-4C61-9D9C-E7C6C7F5805C}"/>
            </c:ext>
          </c:extLst>
        </c:ser>
        <c:ser>
          <c:idx val="15"/>
          <c:order val="15"/>
          <c:tx>
            <c:strRef>
              <c:f>'OPP 2e periode'!$W$12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periode'!$W$14</c:f>
              <c:numCache>
                <c:formatCode>General</c:formatCode>
                <c:ptCount val="1"/>
                <c:pt idx="0">
                  <c:v>10</c:v>
                </c:pt>
              </c:numCache>
            </c:numRef>
          </c:val>
          <c:extLst>
            <c:ext xmlns:c16="http://schemas.microsoft.com/office/drawing/2014/chart" uri="{C3380CC4-5D6E-409C-BE32-E72D297353CC}">
              <c16:uniqueId val="{0000000F-600F-4C61-9D9C-E7C6C7F5805C}"/>
            </c:ext>
          </c:extLst>
        </c:ser>
        <c:ser>
          <c:idx val="16"/>
          <c:order val="16"/>
          <c:tx>
            <c:strRef>
              <c:f>'OPP 2e periode'!$X$12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periode'!$X$14</c:f>
              <c:numCache>
                <c:formatCode>General</c:formatCode>
                <c:ptCount val="1"/>
                <c:pt idx="0">
                  <c:v>0</c:v>
                </c:pt>
              </c:numCache>
            </c:numRef>
          </c:val>
          <c:extLst>
            <c:ext xmlns:c16="http://schemas.microsoft.com/office/drawing/2014/chart" uri="{C3380CC4-5D6E-409C-BE32-E72D297353CC}">
              <c16:uniqueId val="{00000010-600F-4C61-9D9C-E7C6C7F5805C}"/>
            </c:ext>
          </c:extLst>
        </c:ser>
        <c:ser>
          <c:idx val="17"/>
          <c:order val="17"/>
          <c:tx>
            <c:strRef>
              <c:f>'OPP 2e periode'!$Y$12</c:f>
              <c:strCache>
                <c:ptCount val="1"/>
                <c:pt idx="0">
                  <c:v>HR - 1e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periode'!$Y$14</c:f>
              <c:numCache>
                <c:formatCode>General</c:formatCode>
                <c:ptCount val="1"/>
                <c:pt idx="0">
                  <c:v>0</c:v>
                </c:pt>
              </c:numCache>
            </c:numRef>
          </c:val>
          <c:extLst>
            <c:ext xmlns:c16="http://schemas.microsoft.com/office/drawing/2014/chart" uri="{C3380CC4-5D6E-409C-BE32-E72D297353CC}">
              <c16:uniqueId val="{00000011-600F-4C61-9D9C-E7C6C7F5805C}"/>
            </c:ext>
          </c:extLst>
        </c:ser>
        <c:ser>
          <c:idx val="18"/>
          <c:order val="18"/>
          <c:tx>
            <c:strRef>
              <c:f>'OPP 2e periode'!$Z$12</c:f>
              <c:strCache>
                <c:ptCount val="1"/>
                <c:pt idx="0">
                  <c:v>HR - 2e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periode'!$Z$14</c:f>
              <c:numCache>
                <c:formatCode>General</c:formatCode>
                <c:ptCount val="1"/>
                <c:pt idx="0">
                  <c:v>0</c:v>
                </c:pt>
              </c:numCache>
            </c:numRef>
          </c:val>
          <c:extLst>
            <c:ext xmlns:c16="http://schemas.microsoft.com/office/drawing/2014/chart" uri="{C3380CC4-5D6E-409C-BE32-E72D297353CC}">
              <c16:uniqueId val="{00000012-600F-4C61-9D9C-E7C6C7F5805C}"/>
            </c:ext>
          </c:extLst>
        </c:ser>
        <c:ser>
          <c:idx val="19"/>
          <c:order val="19"/>
          <c:tx>
            <c:strRef>
              <c:f>'OPP 2e periode'!$AA$12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periode'!$AA$14</c:f>
              <c:numCache>
                <c:formatCode>General</c:formatCode>
                <c:ptCount val="1"/>
                <c:pt idx="0">
                  <c:v>10</c:v>
                </c:pt>
              </c:numCache>
            </c:numRef>
          </c:val>
          <c:extLst>
            <c:ext xmlns:c16="http://schemas.microsoft.com/office/drawing/2014/chart" uri="{C3380CC4-5D6E-409C-BE32-E72D297353CC}">
              <c16:uniqueId val="{00000013-600F-4C61-9D9C-E7C6C7F5805C}"/>
            </c:ext>
          </c:extLst>
        </c:ser>
        <c:dLbls>
          <c:showLegendKey val="0"/>
          <c:showVal val="0"/>
          <c:showCatName val="0"/>
          <c:showSerName val="0"/>
          <c:showPercent val="0"/>
          <c:showBubbleSize val="0"/>
        </c:dLbls>
        <c:gapWidth val="5"/>
        <c:overlap val="-10"/>
        <c:axId val="374846464"/>
        <c:axId val="374847248"/>
      </c:barChart>
      <c:barChart>
        <c:barDir val="bar"/>
        <c:grouping val="clustered"/>
        <c:varyColors val="0"/>
        <c:ser>
          <c:idx val="20"/>
          <c:order val="20"/>
          <c:tx>
            <c:strRef>
              <c:f>'OPP 2e periode'!$AB$12</c:f>
              <c:strCache>
                <c:ptCount val="1"/>
                <c:pt idx="0">
                  <c:v>gemiddeld</c:v>
                </c:pt>
              </c:strCache>
            </c:strRef>
          </c:tx>
          <c:spPr>
            <a:noFill/>
            <a:ln w="127000">
              <a:solidFill>
                <a:srgbClr val="002060"/>
              </a:solidFill>
            </a:ln>
            <a:effectLst/>
          </c:spPr>
          <c:invertIfNegative val="0"/>
          <c:val>
            <c:numRef>
              <c:f>'OPP 2e periode'!$AB$14</c:f>
              <c:numCache>
                <c:formatCode>0.0</c:formatCode>
                <c:ptCount val="1"/>
                <c:pt idx="0">
                  <c:v>0</c:v>
                </c:pt>
              </c:numCache>
            </c:numRef>
          </c:val>
          <c:extLst>
            <c:ext xmlns:c16="http://schemas.microsoft.com/office/drawing/2014/chart" uri="{C3380CC4-5D6E-409C-BE32-E72D297353CC}">
              <c16:uniqueId val="{00000014-600F-4C61-9D9C-E7C6C7F5805C}"/>
            </c:ext>
          </c:extLst>
        </c:ser>
        <c:dLbls>
          <c:showLegendKey val="0"/>
          <c:showVal val="0"/>
          <c:showCatName val="0"/>
          <c:showSerName val="0"/>
          <c:showPercent val="0"/>
          <c:showBubbleSize val="0"/>
        </c:dLbls>
        <c:gapWidth val="0"/>
        <c:axId val="456740592"/>
        <c:axId val="374847640"/>
      </c:barChart>
      <c:catAx>
        <c:axId val="374846464"/>
        <c:scaling>
          <c:orientation val="maxMin"/>
        </c:scaling>
        <c:delete val="1"/>
        <c:axPos val="l"/>
        <c:numFmt formatCode="General" sourceLinked="1"/>
        <c:majorTickMark val="none"/>
        <c:minorTickMark val="none"/>
        <c:tickLblPos val="nextTo"/>
        <c:crossAx val="374847248"/>
        <c:crosses val="autoZero"/>
        <c:auto val="1"/>
        <c:lblAlgn val="ctr"/>
        <c:lblOffset val="100"/>
        <c:noMultiLvlLbl val="0"/>
      </c:catAx>
      <c:valAx>
        <c:axId val="374847248"/>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74846464"/>
        <c:crosses val="autoZero"/>
        <c:crossBetween val="between"/>
      </c:valAx>
      <c:valAx>
        <c:axId val="374847640"/>
        <c:scaling>
          <c:orientation val="minMax"/>
        </c:scaling>
        <c:delete val="1"/>
        <c:axPos val="b"/>
        <c:numFmt formatCode="0.0" sourceLinked="1"/>
        <c:majorTickMark val="out"/>
        <c:minorTickMark val="none"/>
        <c:tickLblPos val="nextTo"/>
        <c:crossAx val="456740592"/>
        <c:crosses val="autoZero"/>
        <c:crossBetween val="between"/>
      </c:valAx>
      <c:catAx>
        <c:axId val="456740592"/>
        <c:scaling>
          <c:orientation val="minMax"/>
        </c:scaling>
        <c:delete val="1"/>
        <c:axPos val="l"/>
        <c:majorTickMark val="out"/>
        <c:minorTickMark val="none"/>
        <c:tickLblPos val="nextTo"/>
        <c:crossAx val="374847640"/>
        <c:crosses val="autoZero"/>
        <c:auto val="1"/>
        <c:lblAlgn val="ctr"/>
        <c:lblOffset val="100"/>
        <c:noMultiLvlLbl val="0"/>
      </c:catAx>
      <c:spPr>
        <a:noFill/>
        <a:ln>
          <a:noFill/>
        </a:ln>
        <a:effectLst/>
      </c:spPr>
    </c:plotArea>
    <c:legend>
      <c:legendPos val="tr"/>
      <c:legendEntry>
        <c:idx val="20"/>
        <c:delete val="1"/>
      </c:legendEntry>
      <c:layout>
        <c:manualLayout>
          <c:xMode val="edge"/>
          <c:yMode val="edge"/>
          <c:x val="0.81872383709045715"/>
          <c:y val="1.3691933649105157E-2"/>
          <c:w val="0.17664980662463922"/>
          <c:h val="0.96479217061658673"/>
        </c:manualLayout>
      </c:layout>
      <c:overlay val="1"/>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Z$10" lockText="1" noThreeD="1"/>
</file>

<file path=xl/ctrlProps/ctrlProp10.xml><?xml version="1.0" encoding="utf-8"?>
<formControlPr xmlns="http://schemas.microsoft.com/office/spreadsheetml/2009/9/main" objectType="CheckBox" fmlaLink="$Z$17"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checked="Checked" firstButton="1" fmlaLink="$H$29"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checked="Checked" firstButton="1" fmlaLink="$H$30"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Z$19" lockText="1" noThreeD="1"/>
</file>

<file path=xl/ctrlProps/ctrlProp110.xml><?xml version="1.0" encoding="utf-8"?>
<formControlPr xmlns="http://schemas.microsoft.com/office/spreadsheetml/2009/9/main" objectType="Radio" checked="Checked" firstButton="1" fmlaLink="$H$3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checked="Checked" firstButton="1" fmlaLink="$H$32"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firstButton="1" fmlaLink="$H$33"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fmlaLink="$Z$20"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checked="Checked" firstButton="1" fmlaLink="$H$34"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checked="Checked" firstButton="1" fmlaLink="$H$35"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fmlaLink="$Z$22" lockText="1" noThreeD="1"/>
</file>

<file path=xl/ctrlProps/ctrlProp130.xml><?xml version="1.0" encoding="utf-8"?>
<formControlPr xmlns="http://schemas.microsoft.com/office/spreadsheetml/2009/9/main" objectType="Radio" checked="Checked" firstButton="1" fmlaLink="$H$36"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checked="Checked" firstButton="1" fmlaLink="$H$37"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checked="Checked" firstButton="1" fmlaLink="$H$38"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Z$21"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checked="Checked" firstButton="1" fmlaLink="$H$39"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checked="Checked" firstButton="1" fmlaLink="$H$40"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Z$23" lockText="1" noThreeD="1"/>
</file>

<file path=xl/ctrlProps/ctrlProp150.xml><?xml version="1.0" encoding="utf-8"?>
<formControlPr xmlns="http://schemas.microsoft.com/office/spreadsheetml/2009/9/main" objectType="Radio" checked="Checked" firstButton="1" fmlaLink="$H$41"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checked="Checked" firstButton="1" fmlaLink="$H$42"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checked="Checked" firstButton="1" fmlaLink="$H$43"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Z$24"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checked="Checked" firstButton="1" fmlaLink="$H$44"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checked="Checked" firstButton="1" fmlaLink="$H$45"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fmlaLink="$Z$26" lockText="1" noThreeD="1"/>
</file>

<file path=xl/ctrlProps/ctrlProp170.xml><?xml version="1.0" encoding="utf-8"?>
<formControlPr xmlns="http://schemas.microsoft.com/office/spreadsheetml/2009/9/main" objectType="Radio" checked="Checked" firstButton="1" fmlaLink="$H$46"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checked="Checked" firstButton="1" fmlaLink="$H$47"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checked="Checked" firstButton="1" fmlaLink="$H$48"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Z$25"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firstButton="1" fmlaLink="$H$49"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fmlaLink="$Z$27"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Z$9" lockText="1" noThreeD="1"/>
</file>

<file path=xl/ctrlProps/ctrlProp20.xml><?xml version="1.0" encoding="utf-8"?>
<formControlPr xmlns="http://schemas.microsoft.com/office/spreadsheetml/2009/9/main" objectType="CheckBox" fmlaLink="$Z$28"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CheckBox" fmlaLink="$Z$30"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CheckBox" fmlaLink="$Z$29"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Z$31" lockText="1" noThreeD="1"/>
</file>

<file path=xl/ctrlProps/ctrlProp24.xml><?xml version="1.0" encoding="utf-8"?>
<formControlPr xmlns="http://schemas.microsoft.com/office/spreadsheetml/2009/9/main" objectType="CheckBox" fmlaLink="$Z$32" lockText="1" noThreeD="1"/>
</file>

<file path=xl/ctrlProps/ctrlProp25.xml><?xml version="1.0" encoding="utf-8"?>
<formControlPr xmlns="http://schemas.microsoft.com/office/spreadsheetml/2009/9/main" objectType="CheckBox" fmlaLink="$Z$34" lockText="1" noThreeD="1"/>
</file>

<file path=xl/ctrlProps/ctrlProp26.xml><?xml version="1.0" encoding="utf-8"?>
<formControlPr xmlns="http://schemas.microsoft.com/office/spreadsheetml/2009/9/main" objectType="CheckBox" fmlaLink="$Z$33" lockText="1" noThreeD="1"/>
</file>

<file path=xl/ctrlProps/ctrlProp27.xml><?xml version="1.0" encoding="utf-8"?>
<formControlPr xmlns="http://schemas.microsoft.com/office/spreadsheetml/2009/9/main" objectType="CheckBox" fmlaLink="$Z$35" lockText="1" noThreeD="1"/>
</file>

<file path=xl/ctrlProps/ctrlProp28.xml><?xml version="1.0" encoding="utf-8"?>
<formControlPr xmlns="http://schemas.microsoft.com/office/spreadsheetml/2009/9/main" objectType="CheckBox" fmlaLink="$Z$36" lockText="1" noThreeD="1"/>
</file>

<file path=xl/ctrlProps/ctrlProp29.xml><?xml version="1.0" encoding="utf-8"?>
<formControlPr xmlns="http://schemas.microsoft.com/office/spreadsheetml/2009/9/main" objectType="CheckBox" fmlaLink="$Z$38" lockText="1" noThreeD="1"/>
</file>

<file path=xl/ctrlProps/ctrlProp3.xml><?xml version="1.0" encoding="utf-8"?>
<formControlPr xmlns="http://schemas.microsoft.com/office/spreadsheetml/2009/9/main" objectType="CheckBox" fmlaLink="$Z$11" lockText="1" noThreeD="1"/>
</file>

<file path=xl/ctrlProps/ctrlProp30.xml><?xml version="1.0" encoding="utf-8"?>
<formControlPr xmlns="http://schemas.microsoft.com/office/spreadsheetml/2009/9/main" objectType="CheckBox" fmlaLink="$Z$37" lockText="1" noThreeD="1"/>
</file>

<file path=xl/ctrlProps/ctrlProp31.xml><?xml version="1.0" encoding="utf-8"?>
<formControlPr xmlns="http://schemas.microsoft.com/office/spreadsheetml/2009/9/main" objectType="CheckBox" fmlaLink="$Z$39" lockText="1" noThreeD="1"/>
</file>

<file path=xl/ctrlProps/ctrlProp32.xml><?xml version="1.0" encoding="utf-8"?>
<formControlPr xmlns="http://schemas.microsoft.com/office/spreadsheetml/2009/9/main" objectType="CheckBox" fmlaLink="$Z$40" lockText="1" noThreeD="1"/>
</file>

<file path=xl/ctrlProps/ctrlProp33.xml><?xml version="1.0" encoding="utf-8"?>
<formControlPr xmlns="http://schemas.microsoft.com/office/spreadsheetml/2009/9/main" objectType="CheckBox" fmlaLink="$Z$42" lockText="1" noThreeD="1"/>
</file>

<file path=xl/ctrlProps/ctrlProp34.xml><?xml version="1.0" encoding="utf-8"?>
<formControlPr xmlns="http://schemas.microsoft.com/office/spreadsheetml/2009/9/main" objectType="CheckBox" fmlaLink="$Z$41" lockText="1" noThreeD="1"/>
</file>

<file path=xl/ctrlProps/ctrlProp35.xml><?xml version="1.0" encoding="utf-8"?>
<formControlPr xmlns="http://schemas.microsoft.com/office/spreadsheetml/2009/9/main" objectType="CheckBox" fmlaLink="$Z$7" lockText="1" noThreeD="1"/>
</file>

<file path=xl/ctrlProps/ctrlProp36.xml><?xml version="1.0" encoding="utf-8"?>
<formControlPr xmlns="http://schemas.microsoft.com/office/spreadsheetml/2009/9/main" objectType="CheckBox" fmlaLink="$Z$8" lockText="1" noThreeD="1"/>
</file>

<file path=xl/ctrlProps/ctrlProp37.xml><?xml version="1.0" encoding="utf-8"?>
<formControlPr xmlns="http://schemas.microsoft.com/office/spreadsheetml/2009/9/main" objectType="Radio" firstButton="1" fmlaLink="$AB$8"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fmlaLink="$Z$12"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checked="Checked" firstButton="1" fmlaLink="$H$14"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checked="Checked" firstButton="1" fmlaLink="$H$15"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Z$14" lockText="1" noThreeD="1"/>
</file>

<file path=xl/ctrlProps/ctrlProp50.xml><?xml version="1.0" encoding="utf-8"?>
<formControlPr xmlns="http://schemas.microsoft.com/office/spreadsheetml/2009/9/main" objectType="Radio" checked="Checked" firstButton="1" fmlaLink="$H$16"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checked="Checked" firstButton="1" fmlaLink="$H$17"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checked="Checked" firstButton="1" fmlaLink="$H$18"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Z$13"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checked="Checked" firstButton="1" fmlaLink="$H$1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firstButton="1" fmlaLink="$H$20"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Z$15" lockText="1" noThreeD="1"/>
</file>

<file path=xl/ctrlProps/ctrlProp70.xml><?xml version="1.0" encoding="utf-8"?>
<formControlPr xmlns="http://schemas.microsoft.com/office/spreadsheetml/2009/9/main" objectType="Radio" checked="Checked" firstButton="1" fmlaLink="$H$2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checked="Checked" firstButton="1" fmlaLink="$H$22"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checked="Checked" firstButton="1" fmlaLink="$H$23"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Z$16"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checked="Checked" firstButton="1" fmlaLink="$H$24"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checked="Checked" firstButton="1" fmlaLink="$H$25"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Z$18" lockText="1" noThreeD="1"/>
</file>

<file path=xl/ctrlProps/ctrlProp90.xml><?xml version="1.0" encoding="utf-8"?>
<formControlPr xmlns="http://schemas.microsoft.com/office/spreadsheetml/2009/9/main" objectType="Radio" checked="Checked" firstButton="1" fmlaLink="$H$26"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checked="Checked" firstButton="1" fmlaLink="$H$27"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checked="Checked" firstButton="1" fmlaLink="$H$28"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hyperlink" Target="#ONTW.PERSPECTIEF!A1"/><Relationship Id="rId2" Type="http://schemas.openxmlformats.org/officeDocument/2006/relationships/hyperlink" Target="#BEGINBLAD!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BEGINBLAD!A1"/></Relationships>
</file>

<file path=xl/drawings/_rels/drawing13.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5.png"/></Relationships>
</file>

<file path=xl/drawings/_rels/drawing14.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BEGINBLAD!A1"/></Relationships>
</file>

<file path=xl/drawings/_rels/drawing16.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image" Target="../media/image30.png"/><Relationship Id="rId7" Type="http://schemas.openxmlformats.org/officeDocument/2006/relationships/image" Target="../media/image33.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hyperlink" Target="http://www.meesterharrie.nl" TargetMode="External"/><Relationship Id="rId5" Type="http://schemas.openxmlformats.org/officeDocument/2006/relationships/image" Target="../media/image32.png"/><Relationship Id="rId10" Type="http://schemas.openxmlformats.org/officeDocument/2006/relationships/image" Target="../media/image35.png"/><Relationship Id="rId4" Type="http://schemas.openxmlformats.org/officeDocument/2006/relationships/image" Target="../media/image31.png"/><Relationship Id="rId9" Type="http://schemas.openxmlformats.org/officeDocument/2006/relationships/image" Target="../media/image34.png"/></Relationships>
</file>

<file path=xl/drawings/_rels/drawing17.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18.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19.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info-15'!A1"/><Relationship Id="rId2" Type="http://schemas.openxmlformats.org/officeDocument/2006/relationships/chart" Target="../charts/chart1.xml"/><Relationship Id="rId1" Type="http://schemas.openxmlformats.org/officeDocument/2006/relationships/hyperlink" Target="#BEGINBLAD!A1"/><Relationship Id="rId5" Type="http://schemas.openxmlformats.org/officeDocument/2006/relationships/chart" Target="../charts/chart3.xml"/><Relationship Id="rId4"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image" Target="../media/image36.png"/><Relationship Id="rId1" Type="http://schemas.openxmlformats.org/officeDocument/2006/relationships/chart" Target="../charts/chart4.xml"/><Relationship Id="rId5" Type="http://schemas.openxmlformats.org/officeDocument/2006/relationships/chart" Target="../charts/chart5.xml"/><Relationship Id="rId4" Type="http://schemas.openxmlformats.org/officeDocument/2006/relationships/hyperlink" Target="#BEGINBLAD!A1"/></Relationships>
</file>

<file path=xl/drawings/_rels/drawing22.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image" Target="../media/image36.png"/><Relationship Id="rId4" Type="http://schemas.openxmlformats.org/officeDocument/2006/relationships/hyperlink" Target="#BEGINBLAD!A1"/></Relationships>
</file>

<file path=xl/drawings/_rels/drawing23.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36.png"/><Relationship Id="rId4" Type="http://schemas.openxmlformats.org/officeDocument/2006/relationships/hyperlink" Target="#BEGINBLAD!A1"/></Relationships>
</file>

<file path=xl/drawings/_rels/drawing24.xml.rels><?xml version="1.0" encoding="UTF-8" standalone="yes"?>
<Relationships xmlns="http://schemas.openxmlformats.org/package/2006/relationships"><Relationship Id="rId3" Type="http://schemas.openxmlformats.org/officeDocument/2006/relationships/hyperlink" Target="#'info-7'!A1"/><Relationship Id="rId7" Type="http://schemas.openxmlformats.org/officeDocument/2006/relationships/hyperlink" Target="#GROEPSBESPREKING!A1"/><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image" Target="../media/image37.png"/><Relationship Id="rId5" Type="http://schemas.openxmlformats.org/officeDocument/2006/relationships/chart" Target="../charts/chart12.xml"/><Relationship Id="rId4" Type="http://schemas.openxmlformats.org/officeDocument/2006/relationships/hyperlink" Target="#BEGINBLAD!A1"/></Relationships>
</file>

<file path=xl/drawings/_rels/drawing25.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info-8'!A1"/><Relationship Id="rId1" Type="http://schemas.openxmlformats.org/officeDocument/2006/relationships/chart" Target="../charts/chart13.xml"/><Relationship Id="rId4" Type="http://schemas.openxmlformats.org/officeDocument/2006/relationships/chart" Target="../charts/chart14.xml"/></Relationships>
</file>

<file path=xl/drawings/_rels/drawing26.xml.rels><?xml version="1.0" encoding="UTF-8" standalone="yes"?>
<Relationships xmlns="http://schemas.openxmlformats.org/package/2006/relationships"><Relationship Id="rId3" Type="http://schemas.openxmlformats.org/officeDocument/2006/relationships/hyperlink" Target="#'info-5'!A1"/><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Referentieniveau!A1"/><Relationship Id="rId4" Type="http://schemas.openxmlformats.org/officeDocument/2006/relationships/hyperlink" Target="#BEGINBLAD!A1"/></Relationships>
</file>

<file path=xl/drawings/_rels/drawing27.xml.rels><?xml version="1.0" encoding="UTF-8" standalone="yes"?>
<Relationships xmlns="http://schemas.openxmlformats.org/package/2006/relationships"><Relationship Id="rId8" Type="http://schemas.openxmlformats.org/officeDocument/2006/relationships/chart" Target="../charts/chart22.xml"/><Relationship Id="rId13" Type="http://schemas.openxmlformats.org/officeDocument/2006/relationships/chart" Target="../charts/chart27.xml"/><Relationship Id="rId3" Type="http://schemas.openxmlformats.org/officeDocument/2006/relationships/chart" Target="../charts/chart19.xml"/><Relationship Id="rId7" Type="http://schemas.openxmlformats.org/officeDocument/2006/relationships/chart" Target="../charts/chart21.xml"/><Relationship Id="rId12" Type="http://schemas.openxmlformats.org/officeDocument/2006/relationships/chart" Target="../charts/chart26.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BEGINBLAD!A1"/><Relationship Id="rId11" Type="http://schemas.openxmlformats.org/officeDocument/2006/relationships/chart" Target="../charts/chart25.xml"/><Relationship Id="rId5" Type="http://schemas.openxmlformats.org/officeDocument/2006/relationships/hyperlink" Target="#'info-11'!A1"/><Relationship Id="rId10" Type="http://schemas.openxmlformats.org/officeDocument/2006/relationships/chart" Target="../charts/chart24.xml"/><Relationship Id="rId4" Type="http://schemas.openxmlformats.org/officeDocument/2006/relationships/chart" Target="../charts/chart20.xml"/><Relationship Id="rId9" Type="http://schemas.openxmlformats.org/officeDocument/2006/relationships/chart" Target="../charts/chart23.xml"/><Relationship Id="rId14"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hyperlink" Target="#BEGINBLAD!A1"/></Relationships>
</file>

<file path=xl/drawings/_rels/drawing29.xml.rels><?xml version="1.0" encoding="UTF-8" standalone="yes"?>
<Relationships xmlns="http://schemas.openxmlformats.org/package/2006/relationships"><Relationship Id="rId1" Type="http://schemas.openxmlformats.org/officeDocument/2006/relationships/hyperlink" Target="#BEGINBLAD!A1"/></Relationships>
</file>

<file path=xl/drawings/_rels/drawing3.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hyperlink" Target="#'BASISAANPAK - 1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29.xml"/><Relationship Id="rId5" Type="http://schemas.openxmlformats.org/officeDocument/2006/relationships/hyperlink" Target="#INTENSIEF!A1"/><Relationship Id="rId4" Type="http://schemas.openxmlformats.org/officeDocument/2006/relationships/hyperlink" Target="#'VERRIJKT - 1e periode'!A1"/></Relationships>
</file>

<file path=xl/drawings/_rels/drawing31.xml.rels><?xml version="1.0" encoding="UTF-8" standalone="yes"?>
<Relationships xmlns="http://schemas.openxmlformats.org/package/2006/relationships"><Relationship Id="rId3" Type="http://schemas.openxmlformats.org/officeDocument/2006/relationships/hyperlink" Target="#'BASISAANPAK - 2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0.xml"/><Relationship Id="rId5" Type="http://schemas.openxmlformats.org/officeDocument/2006/relationships/hyperlink" Target="#INTENSIEF!A1"/><Relationship Id="rId4" Type="http://schemas.openxmlformats.org/officeDocument/2006/relationships/hyperlink" Target="#'VERRIJKT - 2e periode'!A1"/></Relationships>
</file>

<file path=xl/drawings/_rels/drawing32.xml.rels><?xml version="1.0" encoding="UTF-8" standalone="yes"?>
<Relationships xmlns="http://schemas.openxmlformats.org/package/2006/relationships"><Relationship Id="rId3" Type="http://schemas.openxmlformats.org/officeDocument/2006/relationships/hyperlink" Target="#BASISAANPAK!A1"/><Relationship Id="rId2" Type="http://schemas.openxmlformats.org/officeDocument/2006/relationships/hyperlink" Target="#BEGINBLAD!A1"/><Relationship Id="rId1" Type="http://schemas.openxmlformats.org/officeDocument/2006/relationships/hyperlink" Target="#'info-8'!A1"/><Relationship Id="rId6" Type="http://schemas.openxmlformats.org/officeDocument/2006/relationships/chart" Target="../charts/chart31.xml"/><Relationship Id="rId5" Type="http://schemas.openxmlformats.org/officeDocument/2006/relationships/hyperlink" Target="#'INTENSIEF - 1e periode'!A1"/><Relationship Id="rId4" Type="http://schemas.openxmlformats.org/officeDocument/2006/relationships/hyperlink" Target="#'VERRIJKT - 1e periode'!A1"/></Relationships>
</file>

<file path=xl/drawings/_rels/drawing33.xml.rels><?xml version="1.0" encoding="UTF-8" standalone="yes"?>
<Relationships xmlns="http://schemas.openxmlformats.org/package/2006/relationships"><Relationship Id="rId3" Type="http://schemas.openxmlformats.org/officeDocument/2006/relationships/hyperlink" Target="#BASISAANPAK!A1"/><Relationship Id="rId2" Type="http://schemas.openxmlformats.org/officeDocument/2006/relationships/hyperlink" Target="#BEGINBLAD!A1"/><Relationship Id="rId1" Type="http://schemas.openxmlformats.org/officeDocument/2006/relationships/hyperlink" Target="#'info-8'!A1"/><Relationship Id="rId6" Type="http://schemas.openxmlformats.org/officeDocument/2006/relationships/chart" Target="../charts/chart32.xml"/><Relationship Id="rId5" Type="http://schemas.openxmlformats.org/officeDocument/2006/relationships/hyperlink" Target="#'INTENSIEF - 2e periode'!A1"/><Relationship Id="rId4" Type="http://schemas.openxmlformats.org/officeDocument/2006/relationships/hyperlink" Target="#'VERRIJKT - 2e periode'!A1"/></Relationships>
</file>

<file path=xl/drawings/_rels/drawing34.xml.rels><?xml version="1.0" encoding="UTF-8" standalone="yes"?>
<Relationships xmlns="http://schemas.openxmlformats.org/package/2006/relationships"><Relationship Id="rId3" Type="http://schemas.openxmlformats.org/officeDocument/2006/relationships/hyperlink" Target="#'BASISAANPAK - 1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3.xml"/><Relationship Id="rId5" Type="http://schemas.openxmlformats.org/officeDocument/2006/relationships/hyperlink" Target="#'INTENSIEF - 1e periode'!A1"/><Relationship Id="rId4" Type="http://schemas.openxmlformats.org/officeDocument/2006/relationships/hyperlink" Target="#VERRIJKT!A1"/></Relationships>
</file>

<file path=xl/drawings/_rels/drawing35.xml.rels><?xml version="1.0" encoding="UTF-8" standalone="yes"?>
<Relationships xmlns="http://schemas.openxmlformats.org/package/2006/relationships"><Relationship Id="rId3" Type="http://schemas.openxmlformats.org/officeDocument/2006/relationships/hyperlink" Target="#'BASISAANPAK - 2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4.xml"/><Relationship Id="rId5" Type="http://schemas.openxmlformats.org/officeDocument/2006/relationships/hyperlink" Target="#'INTENSIEF - 2e periode'!A1"/><Relationship Id="rId4" Type="http://schemas.openxmlformats.org/officeDocument/2006/relationships/hyperlink" Target="#VERRIJKT!A1"/></Relationships>
</file>

<file path=xl/drawings/_rels/drawing36.xml.rels><?xml version="1.0" encoding="UTF-8" standalone="yes"?>
<Relationships xmlns="http://schemas.openxmlformats.org/package/2006/relationships"><Relationship Id="rId13" Type="http://schemas.openxmlformats.org/officeDocument/2006/relationships/hyperlink" Target="#'BEGRIJPEND LEZEN - 1e periode'!A1"/><Relationship Id="rId18" Type="http://schemas.openxmlformats.org/officeDocument/2006/relationships/hyperlink" Target="#'SPELLEN - 1e periode'!A1"/><Relationship Id="rId26" Type="http://schemas.openxmlformats.org/officeDocument/2006/relationships/hyperlink" Target="#NOTITIES!A1"/><Relationship Id="rId39" Type="http://schemas.openxmlformats.org/officeDocument/2006/relationships/hyperlink" Target="#'info-16'!A1"/><Relationship Id="rId21" Type="http://schemas.openxmlformats.org/officeDocument/2006/relationships/hyperlink" Target="#'REKENEN - 1e periode'!A1"/><Relationship Id="rId34" Type="http://schemas.openxmlformats.org/officeDocument/2006/relationships/hyperlink" Target="#'VERWIJZING - VO'!A1"/><Relationship Id="rId7" Type="http://schemas.openxmlformats.org/officeDocument/2006/relationships/hyperlink" Target="#'OPP 1e periode'!A1"/><Relationship Id="rId12" Type="http://schemas.openxmlformats.org/officeDocument/2006/relationships/hyperlink" Target="#'VERRIJKT - 1e periode'!A1"/><Relationship Id="rId17" Type="http://schemas.openxmlformats.org/officeDocument/2006/relationships/hyperlink" Target="#'TECHNISCH LEZEN - 1e periode'!A1"/><Relationship Id="rId25" Type="http://schemas.openxmlformats.org/officeDocument/2006/relationships/hyperlink" Target="#OUDERBRIEF!A1"/><Relationship Id="rId33" Type="http://schemas.openxmlformats.org/officeDocument/2006/relationships/hyperlink" Target="#Referentieniveau!A1"/><Relationship Id="rId38" Type="http://schemas.openxmlformats.org/officeDocument/2006/relationships/image" Target="../media/image33.png"/><Relationship Id="rId2" Type="http://schemas.openxmlformats.org/officeDocument/2006/relationships/hyperlink" Target="#'BASISAANPAK - 2e periode'!A1"/><Relationship Id="rId16" Type="http://schemas.openxmlformats.org/officeDocument/2006/relationships/hyperlink" Target="#'HOOFDREKENEN - 2e periode'!A1"/><Relationship Id="rId20" Type="http://schemas.openxmlformats.org/officeDocument/2006/relationships/hyperlink" Target="#'SPELLEN - 2e periode'!A1"/><Relationship Id="rId29" Type="http://schemas.openxmlformats.org/officeDocument/2006/relationships/hyperlink" Target="#ONTW.PERSPECTIEF!A1"/><Relationship Id="rId1" Type="http://schemas.openxmlformats.org/officeDocument/2006/relationships/hyperlink" Target="#'INTENSIEF - 2e periode'!A1"/><Relationship Id="rId6" Type="http://schemas.openxmlformats.org/officeDocument/2006/relationships/hyperlink" Target="#'NIVEAU WAARDE - 1e toetsperiode'!A1"/><Relationship Id="rId11" Type="http://schemas.openxmlformats.org/officeDocument/2006/relationships/hyperlink" Target="#'OPP 2e periode'!A1"/><Relationship Id="rId24" Type="http://schemas.openxmlformats.org/officeDocument/2006/relationships/hyperlink" Target="#'LEERLING PROFIEL HB'!A1"/><Relationship Id="rId32" Type="http://schemas.openxmlformats.org/officeDocument/2006/relationships/hyperlink" Target="#GROEPSBESPREKING!A1"/><Relationship Id="rId37" Type="http://schemas.openxmlformats.org/officeDocument/2006/relationships/hyperlink" Target="http://www.meesterharrie.nl" TargetMode="External"/><Relationship Id="rId5" Type="http://schemas.openxmlformats.org/officeDocument/2006/relationships/hyperlink" Target="#OPO!A1"/><Relationship Id="rId15" Type="http://schemas.openxmlformats.org/officeDocument/2006/relationships/hyperlink" Target="#'BEGRIJPEND LEZEN - 2e periode'!A1"/><Relationship Id="rId23" Type="http://schemas.openxmlformats.org/officeDocument/2006/relationships/hyperlink" Target="#'SIGNALERING HB'!A1"/><Relationship Id="rId28" Type="http://schemas.openxmlformats.org/officeDocument/2006/relationships/hyperlink" Target="#'OPP vorige jaar'!A1"/><Relationship Id="rId36" Type="http://schemas.openxmlformats.org/officeDocument/2006/relationships/hyperlink" Target="#'DL - DLE'!A1"/><Relationship Id="rId10" Type="http://schemas.openxmlformats.org/officeDocument/2006/relationships/hyperlink" Target="#'NIVEAU WAARDE - 2e toetsperiode'!A1"/><Relationship Id="rId19" Type="http://schemas.openxmlformats.org/officeDocument/2006/relationships/hyperlink" Target="#'TECHNISCH LEZEN - 2e periode'!A1"/><Relationship Id="rId31" Type="http://schemas.openxmlformats.org/officeDocument/2006/relationships/hyperlink" Target="#LIJV!A1"/><Relationship Id="rId4" Type="http://schemas.openxmlformats.org/officeDocument/2006/relationships/hyperlink" Target="#AANLEG!A1"/><Relationship Id="rId9" Type="http://schemas.openxmlformats.org/officeDocument/2006/relationships/hyperlink" Target="#'BASISAANPAK - 1e periode'!A1"/><Relationship Id="rId14" Type="http://schemas.openxmlformats.org/officeDocument/2006/relationships/hyperlink" Target="#'HOOFDREKENEN - 1e periode'!A1"/><Relationship Id="rId22" Type="http://schemas.openxmlformats.org/officeDocument/2006/relationships/hyperlink" Target="#'REKENEN - 2e periode'!A1"/><Relationship Id="rId27" Type="http://schemas.openxmlformats.org/officeDocument/2006/relationships/hyperlink" Target="#'NIVEAU WAARDE - vorig jaar'!A1"/><Relationship Id="rId30" Type="http://schemas.openxmlformats.org/officeDocument/2006/relationships/hyperlink" Target="#DIVERSITEIT!A1"/><Relationship Id="rId35" Type="http://schemas.openxmlformats.org/officeDocument/2006/relationships/hyperlink" Target="#'SOCIAAL EMOTIONEEL'!A1"/><Relationship Id="rId8" Type="http://schemas.openxmlformats.org/officeDocument/2006/relationships/hyperlink" Target="#'INTENSIEF - 1e periode'!A1"/><Relationship Id="rId3" Type="http://schemas.openxmlformats.org/officeDocument/2006/relationships/hyperlink" Target="#'VERRIJKT - 2e periode'!A1"/></Relationships>
</file>

<file path=xl/drawings/_rels/drawing37.xml.rels><?xml version="1.0" encoding="UTF-8" standalone="yes"?>
<Relationships xmlns="http://schemas.openxmlformats.org/package/2006/relationships"><Relationship Id="rId3" Type="http://schemas.openxmlformats.org/officeDocument/2006/relationships/hyperlink" Target="#'SIGNALERING HB'!A1"/><Relationship Id="rId2" Type="http://schemas.openxmlformats.org/officeDocument/2006/relationships/hyperlink" Target="#BEGINBLAD!A1"/><Relationship Id="rId1" Type="http://schemas.openxmlformats.org/officeDocument/2006/relationships/hyperlink" Target="#'info-1'!A1"/></Relationships>
</file>

<file path=xl/drawings/_rels/drawing38.xml.rels><?xml version="1.0" encoding="UTF-8" standalone="yes"?>
<Relationships xmlns="http://schemas.openxmlformats.org/package/2006/relationships"><Relationship Id="rId2" Type="http://schemas.openxmlformats.org/officeDocument/2006/relationships/hyperlink" Target="#ONTW.PERSPECTIEF!A1"/><Relationship Id="rId1" Type="http://schemas.openxmlformats.org/officeDocument/2006/relationships/hyperlink" Target="#BEGINBLAD!A1"/></Relationships>
</file>

<file path=xl/drawings/_rels/drawing39.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hyperlink" Target="#'info-13'!A1"/></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hyperlink" Target="#BEGINBLAD!A1"/><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4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hyperlink" Target="#'info-13'!A1"/><Relationship Id="rId1" Type="http://schemas.openxmlformats.org/officeDocument/2006/relationships/hyperlink" Target="#BEGINBLAD!A1"/></Relationships>
</file>

<file path=xl/drawings/_rels/drawing42.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37.xml"/><Relationship Id="rId5" Type="http://schemas.openxmlformats.org/officeDocument/2006/relationships/chart" Target="../charts/chart36.xml"/><Relationship Id="rId4" Type="http://schemas.openxmlformats.org/officeDocument/2006/relationships/hyperlink" Target="#'VERRIJKT - 1e periode'!A1"/><Relationship Id="rId9" Type="http://schemas.openxmlformats.org/officeDocument/2006/relationships/chart" Target="../charts/chart38.xml"/></Relationships>
</file>

<file path=xl/drawings/_rels/drawing43.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40.xml"/><Relationship Id="rId5" Type="http://schemas.openxmlformats.org/officeDocument/2006/relationships/chart" Target="../charts/chart39.xml"/><Relationship Id="rId10" Type="http://schemas.openxmlformats.org/officeDocument/2006/relationships/chart" Target="../charts/chart41.xml"/><Relationship Id="rId4" Type="http://schemas.openxmlformats.org/officeDocument/2006/relationships/hyperlink" Target="#'VERRIJKT - 2e periode'!A1"/><Relationship Id="rId9" Type="http://schemas.openxmlformats.org/officeDocument/2006/relationships/hyperlink" Target="#'TECHNISCH LEZEN - 1e periode'!A1"/></Relationships>
</file>

<file path=xl/drawings/_rels/drawing44.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43.xml"/><Relationship Id="rId5" Type="http://schemas.openxmlformats.org/officeDocument/2006/relationships/chart" Target="../charts/chart42.xml"/><Relationship Id="rId4" Type="http://schemas.openxmlformats.org/officeDocument/2006/relationships/hyperlink" Target="#'VERRIJKT - 1e periode'!A1"/><Relationship Id="rId9"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hyperlink" Target="#'VERRIJKT - 2e periode'!A1"/><Relationship Id="rId9" Type="http://schemas.openxmlformats.org/officeDocument/2006/relationships/chart" Target="../charts/chart47.xml"/></Relationships>
</file>

<file path=xl/drawings/_rels/drawing46.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49.xml"/><Relationship Id="rId5" Type="http://schemas.openxmlformats.org/officeDocument/2006/relationships/chart" Target="../charts/chart48.xml"/><Relationship Id="rId4" Type="http://schemas.openxmlformats.org/officeDocument/2006/relationships/hyperlink" Target="#'VERRIJKT - 1e periode'!A1"/><Relationship Id="rId9" Type="http://schemas.openxmlformats.org/officeDocument/2006/relationships/chart" Target="../charts/chart50.xml"/></Relationships>
</file>

<file path=xl/drawings/_rels/drawing47.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52.xml"/><Relationship Id="rId5" Type="http://schemas.openxmlformats.org/officeDocument/2006/relationships/chart" Target="../charts/chart51.xml"/><Relationship Id="rId4" Type="http://schemas.openxmlformats.org/officeDocument/2006/relationships/hyperlink" Target="#'VERRIJKT - 2e periode'!A1"/><Relationship Id="rId9" Type="http://schemas.openxmlformats.org/officeDocument/2006/relationships/chart" Target="../charts/chart53.xml"/></Relationships>
</file>

<file path=xl/drawings/_rels/drawing48.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hyperlink" Target="#'VERRIJKT - 1e periode'!A1"/><Relationship Id="rId9" Type="http://schemas.openxmlformats.org/officeDocument/2006/relationships/chart" Target="../charts/chart56.xml"/></Relationships>
</file>

<file path=xl/drawings/_rels/drawing49.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hyperlink" Target="#'VERRIJKT - 2e periode'!A1"/><Relationship Id="rId9" Type="http://schemas.openxmlformats.org/officeDocument/2006/relationships/chart" Target="../charts/chart59.xml"/></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hyperlink" Target="#BEGINBLAD!A1"/></Relationships>
</file>

<file path=xl/drawings/_rels/drawing50.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61.xml"/><Relationship Id="rId5" Type="http://schemas.openxmlformats.org/officeDocument/2006/relationships/chart" Target="../charts/chart60.xml"/><Relationship Id="rId4" Type="http://schemas.openxmlformats.org/officeDocument/2006/relationships/hyperlink" Target="#'VERRIJKT - 1e periode'!A1"/><Relationship Id="rId9" Type="http://schemas.openxmlformats.org/officeDocument/2006/relationships/chart" Target="../charts/chart62.xml"/></Relationships>
</file>

<file path=xl/drawings/_rels/drawing51.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64.xml"/><Relationship Id="rId5" Type="http://schemas.openxmlformats.org/officeDocument/2006/relationships/chart" Target="../charts/chart63.xml"/><Relationship Id="rId4" Type="http://schemas.openxmlformats.org/officeDocument/2006/relationships/hyperlink" Target="#'VERRIJKT - 2e periode'!A1"/><Relationship Id="rId9" Type="http://schemas.openxmlformats.org/officeDocument/2006/relationships/chart" Target="../charts/chart65.xml"/></Relationships>
</file>

<file path=xl/drawings/_rels/drawing5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info-2'!A1"/><Relationship Id="rId1" Type="http://schemas.openxmlformats.org/officeDocument/2006/relationships/chart" Target="../charts/chart66.xml"/></Relationships>
</file>

<file path=xl/drawings/_rels/drawing53.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 Id="rId5" Type="http://schemas.openxmlformats.org/officeDocument/2006/relationships/hyperlink" Target="#AANLEG!A1"/><Relationship Id="rId4" Type="http://schemas.openxmlformats.org/officeDocument/2006/relationships/hyperlink" Target="#BEGINBLAD!A1"/></Relationships>
</file>

<file path=xl/drawings/_rels/drawing54.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0.png"/><Relationship Id="rId1" Type="http://schemas.openxmlformats.org/officeDocument/2006/relationships/image" Target="../media/image39.png"/><Relationship Id="rId4" Type="http://schemas.openxmlformats.org/officeDocument/2006/relationships/hyperlink" Target="#BEGINBLAD!A1"/></Relationships>
</file>

<file path=xl/drawings/_rels/drawing55.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hyperlink" Target="#'info-3'!A1"/></Relationships>
</file>

<file path=xl/drawings/_rels/drawing6.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BEGINBLAD!A1"/><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BEGINBLAD!A1"/></Relationships>
</file>

<file path=xl/drawings/_rels/drawing9.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82549</xdr:colOff>
      <xdr:row>6</xdr:row>
      <xdr:rowOff>57150</xdr:rowOff>
    </xdr:from>
    <xdr:to>
      <xdr:col>13</xdr:col>
      <xdr:colOff>542520</xdr:colOff>
      <xdr:row>30</xdr:row>
      <xdr:rowOff>120650</xdr:rowOff>
    </xdr:to>
    <xdr:pic>
      <xdr:nvPicPr>
        <xdr:cNvPr id="8" name="Afbeelding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49" y="1104900"/>
          <a:ext cx="7775171" cy="387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381000</xdr:colOff>
      <xdr:row>17</xdr:row>
      <xdr:rowOff>57150</xdr:rowOff>
    </xdr:from>
    <xdr:to>
      <xdr:col>16</xdr:col>
      <xdr:colOff>228600</xdr:colOff>
      <xdr:row>24</xdr:row>
      <xdr:rowOff>142875</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bwMode="auto">
        <a:xfrm flipH="1">
          <a:off x="8305800" y="29051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7</xdr:col>
      <xdr:colOff>520700</xdr:colOff>
      <xdr:row>17</xdr:row>
      <xdr:rowOff>130175</xdr:rowOff>
    </xdr:from>
    <xdr:to>
      <xdr:col>11</xdr:col>
      <xdr:colOff>434975</xdr:colOff>
      <xdr:row>24</xdr:row>
      <xdr:rowOff>152400</xdr:rowOff>
    </xdr:to>
    <xdr:sp macro="" textlink="">
      <xdr:nvSpPr>
        <xdr:cNvPr id="6" name="Toelichting met afgeronde rechthoek 5">
          <a:extLst>
            <a:ext uri="{FF2B5EF4-FFF2-40B4-BE49-F238E27FC236}">
              <a16:creationId xmlns:a16="http://schemas.microsoft.com/office/drawing/2014/main" id="{00000000-0008-0000-0000-000006000000}"/>
            </a:ext>
          </a:extLst>
        </xdr:cNvPr>
        <xdr:cNvSpPr/>
      </xdr:nvSpPr>
      <xdr:spPr bwMode="auto">
        <a:xfrm>
          <a:off x="4787900" y="2924175"/>
          <a:ext cx="2352675" cy="1133475"/>
        </a:xfrm>
        <a:prstGeom prst="wedgeRoundRectCallout">
          <a:avLst>
            <a:gd name="adj1" fmla="val -93301"/>
            <a:gd name="adj2" fmla="val -126810"/>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en selecteer de uiteindelijke beslissing aanlegniveau.</a:t>
          </a:r>
        </a:p>
        <a:p>
          <a:pPr algn="l"/>
          <a:r>
            <a:rPr lang="nl-NL" sz="1100" baseline="0">
              <a:solidFill>
                <a:schemeClr val="tx1"/>
              </a:solidFill>
            </a:rPr>
            <a:t>Dat kan op basis van inschatting leerkracht, maar ook op basis van een test.</a:t>
          </a:r>
          <a:endParaRPr lang="nl-NL" sz="1100">
            <a:solidFill>
              <a:schemeClr val="tx1"/>
            </a:solidFill>
          </a:endParaRPr>
        </a:p>
      </xdr:txBody>
    </xdr:sp>
    <xdr:clientData/>
  </xdr:twoCellAnchor>
  <xdr:twoCellAnchor>
    <xdr:from>
      <xdr:col>12</xdr:col>
      <xdr:colOff>234951</xdr:colOff>
      <xdr:row>9</xdr:row>
      <xdr:rowOff>6350</xdr:rowOff>
    </xdr:from>
    <xdr:to>
      <xdr:col>14</xdr:col>
      <xdr:colOff>520701</xdr:colOff>
      <xdr:row>13</xdr:row>
      <xdr:rowOff>101600</xdr:rowOff>
    </xdr:to>
    <xdr:sp macro="" textlink="">
      <xdr:nvSpPr>
        <xdr:cNvPr id="7" name="Toelichting met afgeronde rechthoek 6">
          <a:extLst>
            <a:ext uri="{FF2B5EF4-FFF2-40B4-BE49-F238E27FC236}">
              <a16:creationId xmlns:a16="http://schemas.microsoft.com/office/drawing/2014/main" id="{00000000-0008-0000-0000-000007000000}"/>
            </a:ext>
          </a:extLst>
        </xdr:cNvPr>
        <xdr:cNvSpPr/>
      </xdr:nvSpPr>
      <xdr:spPr bwMode="auto">
        <a:xfrm>
          <a:off x="7550151" y="1530350"/>
          <a:ext cx="1504950" cy="730250"/>
        </a:xfrm>
        <a:prstGeom prst="wedgeRoundRectCallout">
          <a:avLst>
            <a:gd name="adj1" fmla="val -86419"/>
            <a:gd name="adj2" fmla="val -21996"/>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en selecteer de test.</a:t>
          </a:r>
        </a:p>
        <a:p>
          <a:pPr algn="l"/>
          <a:r>
            <a:rPr lang="nl-NL" sz="1100" baseline="0">
              <a:solidFill>
                <a:schemeClr val="tx1"/>
              </a:solidFill>
            </a:rPr>
            <a:t>Slecteer vervolgens het aanlegniveau.</a:t>
          </a:r>
          <a:endParaRPr lang="nl-NL" sz="1100">
            <a:solidFill>
              <a:schemeClr val="tx1"/>
            </a:solidFill>
          </a:endParaRPr>
        </a:p>
      </xdr:txBody>
    </xdr:sp>
    <xdr:clientData/>
  </xdr:twoCellAnchor>
  <xdr:twoCellAnchor>
    <xdr:from>
      <xdr:col>5</xdr:col>
      <xdr:colOff>120650</xdr:colOff>
      <xdr:row>1</xdr:row>
      <xdr:rowOff>139700</xdr:rowOff>
    </xdr:from>
    <xdr:to>
      <xdr:col>7</xdr:col>
      <xdr:colOff>132105</xdr:colOff>
      <xdr:row>5</xdr:row>
      <xdr:rowOff>34925</xdr:rowOff>
    </xdr:to>
    <xdr:sp macro="" textlink="">
      <xdr:nvSpPr>
        <xdr:cNvPr id="10" name="AutoShape 48">
          <a:hlinkClick xmlns:r="http://schemas.openxmlformats.org/officeDocument/2006/relationships" r:id="rId3"/>
          <a:extLst>
            <a:ext uri="{FF2B5EF4-FFF2-40B4-BE49-F238E27FC236}">
              <a16:creationId xmlns:a16="http://schemas.microsoft.com/office/drawing/2014/main" id="{00000000-0008-0000-0000-00000A000000}"/>
            </a:ext>
          </a:extLst>
        </xdr:cNvPr>
        <xdr:cNvSpPr>
          <a:spLocks noChangeArrowheads="1"/>
        </xdr:cNvSpPr>
      </xdr:nvSpPr>
      <xdr:spPr bwMode="auto">
        <a:xfrm>
          <a:off x="3168650" y="298450"/>
          <a:ext cx="1230655" cy="62547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overzicht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xdr:from>
      <xdr:col>8</xdr:col>
      <xdr:colOff>336550</xdr:colOff>
      <xdr:row>1</xdr:row>
      <xdr:rowOff>44450</xdr:rowOff>
    </xdr:from>
    <xdr:to>
      <xdr:col>12</xdr:col>
      <xdr:colOff>574040</xdr:colOff>
      <xdr:row>5</xdr:row>
      <xdr:rowOff>147320</xdr:rowOff>
    </xdr:to>
    <xdr:sp macro="" textlink="">
      <xdr:nvSpPr>
        <xdr:cNvPr id="9" name="Toelichting met afgeronde rechthoek 6">
          <a:extLst>
            <a:ext uri="{FF2B5EF4-FFF2-40B4-BE49-F238E27FC236}">
              <a16:creationId xmlns:a16="http://schemas.microsoft.com/office/drawing/2014/main" id="{00000000-0008-0000-0000-000009000000}"/>
            </a:ext>
          </a:extLst>
        </xdr:cNvPr>
        <xdr:cNvSpPr/>
      </xdr:nvSpPr>
      <xdr:spPr bwMode="auto">
        <a:xfrm>
          <a:off x="5213350" y="201930"/>
          <a:ext cx="2675890" cy="829310"/>
        </a:xfrm>
        <a:prstGeom prst="wedgeRoundRectCallout">
          <a:avLst>
            <a:gd name="adj1" fmla="val -86419"/>
            <a:gd name="adj2" fmla="val -21996"/>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baseline="0">
              <a:solidFill>
                <a:schemeClr val="tx1"/>
              </a:solidFill>
            </a:rPr>
            <a:t>De gegevens van de 1e kolom ('Uiteindelijke beslissing over aanlegniveau') worden automatisch meegenomen naar het blad 'overzicht per leerling'.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304800</xdr:colOff>
      <xdr:row>3</xdr:row>
      <xdr:rowOff>38100</xdr:rowOff>
    </xdr:from>
    <xdr:to>
      <xdr:col>23</xdr:col>
      <xdr:colOff>590550</xdr:colOff>
      <xdr:row>33</xdr:row>
      <xdr:rowOff>66675</xdr:rowOff>
    </xdr:to>
    <xdr:pic>
      <xdr:nvPicPr>
        <xdr:cNvPr id="2" name="Afbeelding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19125"/>
          <a:ext cx="14306550"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266700</xdr:colOff>
      <xdr:row>2</xdr:row>
      <xdr:rowOff>38098</xdr:rowOff>
    </xdr:from>
    <xdr:to>
      <xdr:col>23</xdr:col>
      <xdr:colOff>533400</xdr:colOff>
      <xdr:row>32</xdr:row>
      <xdr:rowOff>9525</xdr:rowOff>
    </xdr:to>
    <xdr:sp macro="" textlink="">
      <xdr:nvSpPr>
        <xdr:cNvPr id="4" name="Afgeronde rechthoek 3">
          <a:extLst>
            <a:ext uri="{FF2B5EF4-FFF2-40B4-BE49-F238E27FC236}">
              <a16:creationId xmlns:a16="http://schemas.microsoft.com/office/drawing/2014/main" id="{00000000-0008-0000-0900-000004000000}"/>
            </a:ext>
          </a:extLst>
        </xdr:cNvPr>
        <xdr:cNvSpPr/>
      </xdr:nvSpPr>
      <xdr:spPr bwMode="auto">
        <a:xfrm>
          <a:off x="12458700" y="457198"/>
          <a:ext cx="2095500" cy="4829177"/>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baseline="0"/>
            <a:t>De Basisaanpak is bedoeld voor de MIDDENMOOT. </a:t>
          </a:r>
        </a:p>
        <a:p>
          <a:pPr algn="l"/>
          <a:r>
            <a:rPr lang="nl-NL" sz="1100" baseline="0"/>
            <a:t>Hiertoe behoort het grootste gedeelte van de groep (sowieso 50% van de groep).</a:t>
          </a:r>
        </a:p>
        <a:p>
          <a:pPr algn="l"/>
          <a:endParaRPr lang="nl-NL" sz="1100" baseline="0"/>
        </a:p>
        <a:p>
          <a:pPr algn="l"/>
          <a:r>
            <a:rPr lang="nl-NL" sz="1100" baseline="0"/>
            <a:t>Zoveel mogelijk kinderen worden meegenoemen in de basisaanpak. </a:t>
          </a:r>
        </a:p>
        <a:p>
          <a:pPr algn="l"/>
          <a:endParaRPr lang="nl-NL" sz="1100" baseline="0"/>
        </a:p>
        <a:p>
          <a:pPr algn="l"/>
          <a:r>
            <a:rPr lang="nl-NL" sz="1100" baseline="0">
              <a:solidFill>
                <a:srgbClr val="FF0000"/>
              </a:solidFill>
            </a:rPr>
            <a:t>Voor de 10% </a:t>
          </a:r>
          <a:r>
            <a:rPr lang="nl-NL" sz="1100" b="1" u="sng" baseline="0">
              <a:solidFill>
                <a:srgbClr val="FF0000"/>
              </a:solidFill>
            </a:rPr>
            <a:t>laagst</a:t>
          </a:r>
          <a:r>
            <a:rPr lang="nl-NL" sz="1100" baseline="0">
              <a:solidFill>
                <a:srgbClr val="FF0000"/>
              </a:solidFill>
            </a:rPr>
            <a:t> en </a:t>
          </a:r>
          <a:r>
            <a:rPr lang="nl-NL" sz="1100" b="1" u="sng" baseline="0">
              <a:solidFill>
                <a:srgbClr val="FF0000"/>
              </a:solidFill>
            </a:rPr>
            <a:t>hoogst</a:t>
          </a:r>
          <a:r>
            <a:rPr lang="nl-NL" sz="1100" baseline="0">
              <a:solidFill>
                <a:srgbClr val="FF0000"/>
              </a:solidFill>
            </a:rPr>
            <a:t> scorende leerlingen kan de aanpak in de vakken worden beschreven.</a:t>
          </a:r>
        </a:p>
        <a:p>
          <a:pPr algn="l"/>
          <a:endParaRPr lang="nl-NL" sz="1100" baseline="0"/>
        </a:p>
        <a:p>
          <a:pPr algn="l"/>
          <a:r>
            <a:rPr lang="nl-NL" sz="1100" baseline="0"/>
            <a:t>De beschreven aanpakken worden automatisch gekopieerd naar de betreffende vakken.</a:t>
          </a:r>
        </a:p>
        <a:p>
          <a:pPr algn="l"/>
          <a:endParaRPr lang="nl-NL" sz="1100" baseline="0"/>
        </a:p>
        <a:p>
          <a:pPr algn="l"/>
          <a:r>
            <a:rPr lang="nl-NL" sz="1100" baseline="0"/>
            <a:t>Onderzoek heeft uitgewezen dat de leerkracht zich tijdens de instructie met name richt op die middenmoot.</a:t>
          </a:r>
        </a:p>
        <a:p>
          <a:pPr algn="l"/>
          <a:endParaRPr lang="nl-NL" sz="1100" baseline="0"/>
        </a:p>
        <a:p>
          <a:pPr algn="l"/>
          <a:r>
            <a:rPr lang="nl-NL" sz="1100" baseline="0"/>
            <a:t>zie ook: www.masterclassopo.nl</a:t>
          </a:r>
        </a:p>
        <a:p>
          <a:pPr algn="l"/>
          <a:endParaRPr lang="nl-NL" sz="1100"/>
        </a:p>
      </xdr:txBody>
    </xdr:sp>
    <xdr:clientData/>
  </xdr:twoCellAnchor>
  <xdr:twoCellAnchor>
    <xdr:from>
      <xdr:col>17</xdr:col>
      <xdr:colOff>304800</xdr:colOff>
      <xdr:row>25</xdr:row>
      <xdr:rowOff>142875</xdr:rowOff>
    </xdr:from>
    <xdr:to>
      <xdr:col>20</xdr:col>
      <xdr:colOff>152400</xdr:colOff>
      <xdr:row>33</xdr:row>
      <xdr:rowOff>66675</xdr:rowOff>
    </xdr:to>
    <xdr:sp macro="" textlink="">
      <xdr:nvSpPr>
        <xdr:cNvPr id="6" name="Pijl: links 7">
          <a:hlinkClick xmlns:r="http://schemas.openxmlformats.org/officeDocument/2006/relationships" r:id="rId2"/>
          <a:extLst>
            <a:ext uri="{FF2B5EF4-FFF2-40B4-BE49-F238E27FC236}">
              <a16:creationId xmlns:a16="http://schemas.microsoft.com/office/drawing/2014/main" id="{00000000-0008-0000-0900-000006000000}"/>
            </a:ext>
          </a:extLst>
        </xdr:cNvPr>
        <xdr:cNvSpPr/>
      </xdr:nvSpPr>
      <xdr:spPr bwMode="auto">
        <a:xfrm flipH="1">
          <a:off x="10668000" y="4286250"/>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514350</xdr:colOff>
      <xdr:row>2</xdr:row>
      <xdr:rowOff>142875</xdr:rowOff>
    </xdr:from>
    <xdr:to>
      <xdr:col>16</xdr:col>
      <xdr:colOff>495300</xdr:colOff>
      <xdr:row>40</xdr:row>
      <xdr:rowOff>0</xdr:rowOff>
    </xdr:to>
    <xdr:pic>
      <xdr:nvPicPr>
        <xdr:cNvPr id="2" name="Afbeelding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555625"/>
          <a:ext cx="10242550" cy="588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142875</xdr:colOff>
      <xdr:row>16</xdr:row>
      <xdr:rowOff>82550</xdr:rowOff>
    </xdr:from>
    <xdr:to>
      <xdr:col>12</xdr:col>
      <xdr:colOff>377825</xdr:colOff>
      <xdr:row>28</xdr:row>
      <xdr:rowOff>136525</xdr:rowOff>
    </xdr:to>
    <xdr:sp macro="" textlink="">
      <xdr:nvSpPr>
        <xdr:cNvPr id="3" name="Afgeronde rechthoek 3">
          <a:extLst>
            <a:ext uri="{FF2B5EF4-FFF2-40B4-BE49-F238E27FC236}">
              <a16:creationId xmlns:a16="http://schemas.microsoft.com/office/drawing/2014/main" id="{00000000-0008-0000-0A00-000003000000}"/>
            </a:ext>
          </a:extLst>
        </xdr:cNvPr>
        <xdr:cNvSpPr/>
      </xdr:nvSpPr>
      <xdr:spPr bwMode="auto">
        <a:xfrm>
          <a:off x="5915025" y="2717800"/>
          <a:ext cx="2159000" cy="19589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Van</a:t>
          </a:r>
          <a:r>
            <a:rPr lang="nl-NL" sz="1100" baseline="0"/>
            <a:t> het formulier LIJV kun je de kleuren in dit formulier overnemen.</a:t>
          </a:r>
        </a:p>
        <a:p>
          <a:pPr algn="l"/>
          <a:endParaRPr lang="nl-NL" sz="1100" baseline="0"/>
        </a:p>
        <a:p>
          <a:pPr algn="l"/>
          <a:r>
            <a:rPr lang="nl-NL" sz="1100" baseline="0"/>
            <a:t>zie ook:</a:t>
          </a:r>
        </a:p>
        <a:p>
          <a:pPr algn="l"/>
          <a:r>
            <a:rPr lang="nl-NL" sz="1100" baseline="0"/>
            <a:t>www.meesterharrie.nl</a:t>
          </a:r>
        </a:p>
        <a:p>
          <a:pPr algn="l"/>
          <a:r>
            <a:rPr lang="nl-NL" sz="1100" baseline="0"/>
            <a:t>www.masterclassopo.nl</a:t>
          </a:r>
          <a:endParaRPr lang="nl-NL" sz="1100"/>
        </a:p>
      </xdr:txBody>
    </xdr:sp>
    <xdr:clientData/>
  </xdr:twoCellAnchor>
  <xdr:twoCellAnchor>
    <xdr:from>
      <xdr:col>9</xdr:col>
      <xdr:colOff>358775</xdr:colOff>
      <xdr:row>4</xdr:row>
      <xdr:rowOff>79375</xdr:rowOff>
    </xdr:from>
    <xdr:to>
      <xdr:col>12</xdr:col>
      <xdr:colOff>238125</xdr:colOff>
      <xdr:row>12</xdr:row>
      <xdr:rowOff>6350</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bwMode="auto">
        <a:xfrm flipH="1">
          <a:off x="6130925" y="809625"/>
          <a:ext cx="1803400" cy="1196975"/>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10</xdr:col>
      <xdr:colOff>9524</xdr:colOff>
      <xdr:row>4</xdr:row>
      <xdr:rowOff>47625</xdr:rowOff>
    </xdr:from>
    <xdr:to>
      <xdr:col>14</xdr:col>
      <xdr:colOff>152399</xdr:colOff>
      <xdr:row>30</xdr:row>
      <xdr:rowOff>28574</xdr:rowOff>
    </xdr:to>
    <xdr:sp macro="" textlink="">
      <xdr:nvSpPr>
        <xdr:cNvPr id="2" name="Afgeronde rechthoek 1">
          <a:extLst>
            <a:ext uri="{FF2B5EF4-FFF2-40B4-BE49-F238E27FC236}">
              <a16:creationId xmlns:a16="http://schemas.microsoft.com/office/drawing/2014/main" id="{00000000-0008-0000-0B00-000002000000}"/>
            </a:ext>
          </a:extLst>
        </xdr:cNvPr>
        <xdr:cNvSpPr/>
      </xdr:nvSpPr>
      <xdr:spPr bwMode="auto">
        <a:xfrm>
          <a:off x="6105524" y="790575"/>
          <a:ext cx="2581275" cy="4190999"/>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Misschien wel het HART van dit Groepsplan.</a:t>
          </a:r>
        </a:p>
        <a:p>
          <a:pPr algn="l"/>
          <a:r>
            <a:rPr lang="nl-NL" sz="1100" baseline="0"/>
            <a:t>Uiteindelijk draait het om het kind zelf.</a:t>
          </a:r>
        </a:p>
        <a:p>
          <a:pPr algn="l"/>
          <a:endParaRPr lang="nl-NL" sz="1100" baseline="0"/>
        </a:p>
        <a:p>
          <a:pPr algn="l"/>
          <a:r>
            <a:rPr lang="nl-NL" sz="1100" baseline="0"/>
            <a:t>Dit formulier kan gebruikt worden bij het KINDGESPREK.</a:t>
          </a:r>
        </a:p>
        <a:p>
          <a:pPr algn="l"/>
          <a:r>
            <a:rPr lang="nl-NL" sz="1100" baseline="0"/>
            <a:t>Na elke toetsperiode kan er een kindgesprek worden georganiseerd (maximaal 3x).</a:t>
          </a:r>
        </a:p>
        <a:p>
          <a:pPr algn="l"/>
          <a:endParaRPr lang="nl-NL" sz="1100" baseline="0"/>
        </a:p>
        <a:p>
          <a:pPr algn="l"/>
          <a:r>
            <a:rPr lang="nl-NL" sz="1100" baseline="0"/>
            <a:t>In de gekleurde balken staan de toetsscores van de methode-onafhankelijke toetsen.</a:t>
          </a:r>
        </a:p>
        <a:p>
          <a:pPr algn="l"/>
          <a:r>
            <a:rPr lang="nl-NL" sz="1100" baseline="0"/>
            <a:t>Op de grijze balk kan het kind het doel voor de volgende toets inkleuren.</a:t>
          </a:r>
        </a:p>
        <a:p>
          <a:pPr algn="l"/>
          <a:endParaRPr lang="nl-NL" sz="1100" baseline="0"/>
        </a:p>
        <a:p>
          <a:pPr algn="l"/>
          <a:r>
            <a:rPr lang="nl-NL" sz="1100" baseline="0"/>
            <a:t>De rest van het formulier spreekt voor zich.</a:t>
          </a:r>
        </a:p>
        <a:p>
          <a:pPr algn="l"/>
          <a:endParaRPr lang="nl-NL" sz="1100" baseline="0"/>
        </a:p>
        <a:p>
          <a:pPr algn="l"/>
          <a:r>
            <a:rPr lang="nl-NL" sz="1100" baseline="0"/>
            <a:t>Dit formulier wordt geprint. Vervolgens besproken en ingevuld. Daarna bewaard in het portfolio van het kind.</a:t>
          </a:r>
        </a:p>
        <a:p>
          <a:pPr algn="l"/>
          <a:endParaRPr lang="nl-NL" sz="1100" baseline="0"/>
        </a:p>
        <a:p>
          <a:pPr algn="l"/>
          <a:endParaRPr lang="nl-NL" sz="1100" baseline="0"/>
        </a:p>
        <a:p>
          <a:pPr algn="l"/>
          <a:endParaRPr lang="nl-NL" sz="1100"/>
        </a:p>
      </xdr:txBody>
    </xdr:sp>
    <xdr:clientData/>
  </xdr:twoCellAnchor>
  <xdr:twoCellAnchor>
    <xdr:from>
      <xdr:col>15</xdr:col>
      <xdr:colOff>228600</xdr:colOff>
      <xdr:row>5</xdr:row>
      <xdr:rowOff>152400</xdr:rowOff>
    </xdr:from>
    <xdr:to>
      <xdr:col>18</xdr:col>
      <xdr:colOff>76200</xdr:colOff>
      <xdr:row>13</xdr:row>
      <xdr:rowOff>76200</xdr:rowOff>
    </xdr:to>
    <xdr:sp macro="" textlink="">
      <xdr:nvSpPr>
        <xdr:cNvPr id="4" name="Pijl: links 7">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bwMode="auto">
        <a:xfrm flipH="1">
          <a:off x="9372600" y="10572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1</xdr:col>
      <xdr:colOff>47625</xdr:colOff>
      <xdr:row>3</xdr:row>
      <xdr:rowOff>142875</xdr:rowOff>
    </xdr:from>
    <xdr:to>
      <xdr:col>8</xdr:col>
      <xdr:colOff>561975</xdr:colOff>
      <xdr:row>46</xdr:row>
      <xdr:rowOff>95250</xdr:rowOff>
    </xdr:to>
    <xdr:pic>
      <xdr:nvPicPr>
        <xdr:cNvPr id="5" name="Afbeelding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723900"/>
          <a:ext cx="4781550" cy="691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25400</xdr:colOff>
      <xdr:row>3</xdr:row>
      <xdr:rowOff>127000</xdr:rowOff>
    </xdr:from>
    <xdr:to>
      <xdr:col>18</xdr:col>
      <xdr:colOff>3175</xdr:colOff>
      <xdr:row>33</xdr:row>
      <xdr:rowOff>38100</xdr:rowOff>
    </xdr:to>
    <xdr:pic>
      <xdr:nvPicPr>
        <xdr:cNvPr id="6" name="Afbeelding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698500"/>
          <a:ext cx="10858500" cy="467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228600</xdr:colOff>
      <xdr:row>5</xdr:row>
      <xdr:rowOff>152400</xdr:rowOff>
    </xdr:from>
    <xdr:to>
      <xdr:col>18</xdr:col>
      <xdr:colOff>76200</xdr:colOff>
      <xdr:row>13</xdr:row>
      <xdr:rowOff>76200</xdr:rowOff>
    </xdr:to>
    <xdr:sp macro="" textlink="">
      <xdr:nvSpPr>
        <xdr:cNvPr id="3" name="Pijl: links 7">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bwMode="auto">
        <a:xfrm flipH="1">
          <a:off x="9848850" y="1041400"/>
          <a:ext cx="1771650" cy="11938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8</xdr:col>
      <xdr:colOff>337065</xdr:colOff>
      <xdr:row>26</xdr:row>
      <xdr:rowOff>72705</xdr:rowOff>
    </xdr:from>
    <xdr:to>
      <xdr:col>9</xdr:col>
      <xdr:colOff>464065</xdr:colOff>
      <xdr:row>27</xdr:row>
      <xdr:rowOff>88172</xdr:rowOff>
    </xdr:to>
    <xdr:sp macro="" textlink="">
      <xdr:nvSpPr>
        <xdr:cNvPr id="7" name="Pijl: links 6">
          <a:extLst>
            <a:ext uri="{FF2B5EF4-FFF2-40B4-BE49-F238E27FC236}">
              <a16:creationId xmlns:a16="http://schemas.microsoft.com/office/drawing/2014/main" id="{00000000-0008-0000-0C00-000007000000}"/>
            </a:ext>
          </a:extLst>
        </xdr:cNvPr>
        <xdr:cNvSpPr/>
      </xdr:nvSpPr>
      <xdr:spPr bwMode="auto">
        <a:xfrm rot="981836">
          <a:off x="5467865" y="4295455"/>
          <a:ext cx="768350" cy="174217"/>
        </a:xfrm>
        <a:prstGeom prst="leftArrow">
          <a:avLst>
            <a:gd name="adj1" fmla="val 50000"/>
            <a:gd name="adj2" fmla="val 108204"/>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6</xdr:col>
      <xdr:colOff>268408</xdr:colOff>
      <xdr:row>26</xdr:row>
      <xdr:rowOff>82518</xdr:rowOff>
    </xdr:from>
    <xdr:to>
      <xdr:col>9</xdr:col>
      <xdr:colOff>484038</xdr:colOff>
      <xdr:row>27</xdr:row>
      <xdr:rowOff>108302</xdr:rowOff>
    </xdr:to>
    <xdr:sp macro="" textlink="">
      <xdr:nvSpPr>
        <xdr:cNvPr id="8" name="Pijl: links 7">
          <a:extLst>
            <a:ext uri="{FF2B5EF4-FFF2-40B4-BE49-F238E27FC236}">
              <a16:creationId xmlns:a16="http://schemas.microsoft.com/office/drawing/2014/main" id="{00000000-0008-0000-0C00-000008000000}"/>
            </a:ext>
          </a:extLst>
        </xdr:cNvPr>
        <xdr:cNvSpPr/>
      </xdr:nvSpPr>
      <xdr:spPr bwMode="auto">
        <a:xfrm rot="981836">
          <a:off x="4116508" y="4305268"/>
          <a:ext cx="2139680" cy="184534"/>
        </a:xfrm>
        <a:prstGeom prst="leftArrow">
          <a:avLst>
            <a:gd name="adj1" fmla="val 50000"/>
            <a:gd name="adj2" fmla="val 122820"/>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7</xdr:col>
      <xdr:colOff>560508</xdr:colOff>
      <xdr:row>31</xdr:row>
      <xdr:rowOff>82518</xdr:rowOff>
    </xdr:from>
    <xdr:to>
      <xdr:col>11</xdr:col>
      <xdr:colOff>134788</xdr:colOff>
      <xdr:row>32</xdr:row>
      <xdr:rowOff>108302</xdr:rowOff>
    </xdr:to>
    <xdr:sp macro="" textlink="">
      <xdr:nvSpPr>
        <xdr:cNvPr id="9" name="Pijl: links 8">
          <a:extLst>
            <a:ext uri="{FF2B5EF4-FFF2-40B4-BE49-F238E27FC236}">
              <a16:creationId xmlns:a16="http://schemas.microsoft.com/office/drawing/2014/main" id="{00000000-0008-0000-0C00-000009000000}"/>
            </a:ext>
          </a:extLst>
        </xdr:cNvPr>
        <xdr:cNvSpPr/>
      </xdr:nvSpPr>
      <xdr:spPr bwMode="auto">
        <a:xfrm rot="19093234">
          <a:off x="5049958" y="5099018"/>
          <a:ext cx="2139680" cy="184534"/>
        </a:xfrm>
        <a:prstGeom prst="leftArrow">
          <a:avLst>
            <a:gd name="adj1" fmla="val 50000"/>
            <a:gd name="adj2" fmla="val 122820"/>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427354</xdr:colOff>
      <xdr:row>21</xdr:row>
      <xdr:rowOff>24765</xdr:rowOff>
    </xdr:from>
    <xdr:to>
      <xdr:col>13</xdr:col>
      <xdr:colOff>570229</xdr:colOff>
      <xdr:row>35</xdr:row>
      <xdr:rowOff>22860</xdr:rowOff>
    </xdr:to>
    <xdr:sp macro="" textlink="">
      <xdr:nvSpPr>
        <xdr:cNvPr id="2" name="Afgeronde rechthoek 1">
          <a:extLst>
            <a:ext uri="{FF2B5EF4-FFF2-40B4-BE49-F238E27FC236}">
              <a16:creationId xmlns:a16="http://schemas.microsoft.com/office/drawing/2014/main" id="{00000000-0008-0000-0C00-000002000000}"/>
            </a:ext>
          </a:extLst>
        </xdr:cNvPr>
        <xdr:cNvSpPr/>
      </xdr:nvSpPr>
      <xdr:spPr bwMode="auto">
        <a:xfrm>
          <a:off x="5913754" y="3484245"/>
          <a:ext cx="2581275" cy="22383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baseline="0"/>
        </a:p>
        <a:p>
          <a:pPr algn="l"/>
          <a:r>
            <a:rPr lang="nl-NL" sz="1100" baseline="0"/>
            <a:t>Gewoon een handig blad voor verwijzing naar het VO.</a:t>
          </a:r>
        </a:p>
        <a:p>
          <a:pPr algn="l"/>
          <a:r>
            <a:rPr lang="nl-NL" sz="1100" baseline="0"/>
            <a:t>Alle zaken staan overzichtelijk naast elkaar.</a:t>
          </a:r>
        </a:p>
        <a:p>
          <a:pPr algn="l"/>
          <a:r>
            <a:rPr lang="nl-NL" sz="1100" baseline="0"/>
            <a:t>Je zult merken dat er voor Cito en IEP ook een </a:t>
          </a:r>
          <a:r>
            <a:rPr lang="nl-NL" sz="1100" b="1" u="sng" baseline="0"/>
            <a:t>voorspellende</a:t>
          </a:r>
          <a:r>
            <a:rPr lang="nl-NL" sz="1100" baseline="0"/>
            <a:t> waarde is ingebouwd.</a:t>
          </a:r>
        </a:p>
        <a:p>
          <a:pPr algn="l"/>
          <a:endParaRPr lang="nl-NL" sz="1100" baseline="0"/>
        </a:p>
        <a:p>
          <a:pPr algn="l"/>
          <a:r>
            <a:rPr lang="nl-NL" sz="1100" baseline="0"/>
            <a:t>Kijk ook onderaan de kolom voor de gemiddelde voorspellende waarde.</a:t>
          </a:r>
        </a:p>
        <a:p>
          <a:pPr algn="l"/>
          <a:endParaRPr lang="nl-NL" sz="1100" baseline="0"/>
        </a:p>
        <a:p>
          <a:pPr algn="l"/>
          <a:endParaRPr lang="nl-NL" sz="1100" baseline="0"/>
        </a:p>
        <a:p>
          <a:pPr algn="l"/>
          <a:endParaRPr lang="nl-NL"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444500</xdr:colOff>
      <xdr:row>4</xdr:row>
      <xdr:rowOff>133350</xdr:rowOff>
    </xdr:from>
    <xdr:to>
      <xdr:col>16</xdr:col>
      <xdr:colOff>606425</xdr:colOff>
      <xdr:row>28</xdr:row>
      <xdr:rowOff>101600</xdr:rowOff>
    </xdr:to>
    <xdr:pic>
      <xdr:nvPicPr>
        <xdr:cNvPr id="8" name="Afbeelding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863600"/>
          <a:ext cx="10433050" cy="377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454024</xdr:colOff>
      <xdr:row>5</xdr:row>
      <xdr:rowOff>149225</xdr:rowOff>
    </xdr:from>
    <xdr:to>
      <xdr:col>11</xdr:col>
      <xdr:colOff>57150</xdr:colOff>
      <xdr:row>12</xdr:row>
      <xdr:rowOff>133350</xdr:rowOff>
    </xdr:to>
    <xdr:sp macro="" textlink="">
      <xdr:nvSpPr>
        <xdr:cNvPr id="7" name="Afgeronde rechthoek 1">
          <a:extLst>
            <a:ext uri="{FF2B5EF4-FFF2-40B4-BE49-F238E27FC236}">
              <a16:creationId xmlns:a16="http://schemas.microsoft.com/office/drawing/2014/main" id="{00000000-0008-0000-0D00-000007000000}"/>
            </a:ext>
          </a:extLst>
        </xdr:cNvPr>
        <xdr:cNvSpPr/>
      </xdr:nvSpPr>
      <xdr:spPr bwMode="auto">
        <a:xfrm>
          <a:off x="4302124" y="1038225"/>
          <a:ext cx="2809876" cy="10953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baseline="0"/>
        </a:p>
        <a:p>
          <a:pPr algn="l"/>
          <a:r>
            <a:rPr lang="nl-NL" sz="1100" baseline="0"/>
            <a:t>Gewoon een handig blad.</a:t>
          </a:r>
        </a:p>
        <a:p>
          <a:pPr algn="l"/>
          <a:endParaRPr lang="nl-NL" sz="1100" baseline="0"/>
        </a:p>
        <a:p>
          <a:pPr algn="l"/>
          <a:r>
            <a:rPr lang="nl-NL" sz="1100" baseline="0"/>
            <a:t>Alle zaken staan overzichtelijk naast elkaar.</a:t>
          </a:r>
        </a:p>
        <a:p>
          <a:pPr algn="l"/>
          <a:endParaRPr lang="nl-NL" sz="1100" baseline="0"/>
        </a:p>
        <a:p>
          <a:pPr algn="l"/>
          <a:endParaRPr lang="nl-NL" sz="1100"/>
        </a:p>
      </xdr:txBody>
    </xdr:sp>
    <xdr:clientData/>
  </xdr:twoCellAnchor>
  <xdr:twoCellAnchor>
    <xdr:from>
      <xdr:col>12</xdr:col>
      <xdr:colOff>482600</xdr:colOff>
      <xdr:row>2</xdr:row>
      <xdr:rowOff>234950</xdr:rowOff>
    </xdr:from>
    <xdr:to>
      <xdr:col>15</xdr:col>
      <xdr:colOff>330200</xdr:colOff>
      <xdr:row>10</xdr:row>
      <xdr:rowOff>63500</xdr:rowOff>
    </xdr:to>
    <xdr:sp macro="" textlink="">
      <xdr:nvSpPr>
        <xdr:cNvPr id="3" name="Pijl: links 7">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bwMode="auto">
        <a:xfrm flipH="1">
          <a:off x="8187267" y="559506"/>
          <a:ext cx="1773766" cy="1218494"/>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13</xdr:col>
      <xdr:colOff>117474</xdr:colOff>
      <xdr:row>9</xdr:row>
      <xdr:rowOff>66675</xdr:rowOff>
    </xdr:from>
    <xdr:to>
      <xdr:col>17</xdr:col>
      <xdr:colOff>260349</xdr:colOff>
      <xdr:row>35</xdr:row>
      <xdr:rowOff>47624</xdr:rowOff>
    </xdr:to>
    <xdr:sp macro="" textlink="">
      <xdr:nvSpPr>
        <xdr:cNvPr id="2" name="Afgeronde rechthoek 1">
          <a:extLst>
            <a:ext uri="{FF2B5EF4-FFF2-40B4-BE49-F238E27FC236}">
              <a16:creationId xmlns:a16="http://schemas.microsoft.com/office/drawing/2014/main" id="{00000000-0008-0000-0E00-000002000000}"/>
            </a:ext>
          </a:extLst>
        </xdr:cNvPr>
        <xdr:cNvSpPr/>
      </xdr:nvSpPr>
      <xdr:spPr bwMode="auto">
        <a:xfrm>
          <a:off x="8455024" y="1590675"/>
          <a:ext cx="2708275" cy="4108449"/>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baseline="0"/>
            <a:t>Via het tabblad NIVEAU WAARDE kunnen de Referentiewaardes ingetoets worden.</a:t>
          </a:r>
        </a:p>
        <a:p>
          <a:pPr algn="l"/>
          <a:endParaRPr lang="nl-NL" sz="1100" baseline="0"/>
        </a:p>
        <a:p>
          <a:pPr algn="l"/>
          <a:r>
            <a:rPr lang="nl-NL" sz="1100" baseline="0"/>
            <a:t>De referentieniveaus verschijnen vanaf groep 6 bij de scores van de </a:t>
          </a:r>
        </a:p>
        <a:p>
          <a:pPr algn="l"/>
          <a:r>
            <a:rPr lang="nl-NL" sz="1100" baseline="0"/>
            <a:t>Niet-methodetoetsen.</a:t>
          </a:r>
        </a:p>
        <a:p>
          <a:pPr algn="l"/>
          <a:endParaRPr lang="nl-NL" sz="1100" baseline="0"/>
        </a:p>
        <a:p>
          <a:pPr algn="l"/>
          <a:r>
            <a:rPr lang="nl-NL" sz="1100" baseline="0"/>
            <a:t>Samen met de hoogte van m.n. de 2F/1S scores kan bepaald worden of de school op koers ligt.</a:t>
          </a:r>
        </a:p>
        <a:p>
          <a:pPr algn="l"/>
          <a:endParaRPr lang="nl-NL" sz="1100" baseline="0"/>
        </a:p>
        <a:p>
          <a:pPr algn="l"/>
          <a:r>
            <a:rPr lang="nl-NL" sz="1100" baseline="0"/>
            <a:t>De Referentiescores van Lezen - Taal - Rekenen komen in beeld.</a:t>
          </a:r>
        </a:p>
        <a:p>
          <a:pPr algn="l"/>
          <a:endParaRPr lang="nl-NL" sz="1100" baseline="0"/>
        </a:p>
        <a:p>
          <a:pPr algn="l"/>
          <a:r>
            <a:rPr lang="nl-NL" sz="1100" baseline="0"/>
            <a:t>Met de Eindtoets van groep 8 is het beeld van de referentiescores compleet. En kan geëvalueerd worden waar we goed op koers liggen en waar zo nodig bijgestuurd moet worden. </a:t>
          </a:r>
        </a:p>
        <a:p>
          <a:pPr algn="l"/>
          <a:endParaRPr lang="nl-NL" sz="1100" baseline="0"/>
        </a:p>
        <a:p>
          <a:pPr algn="l"/>
          <a:endParaRPr lang="nl-NL" sz="1100" baseline="0"/>
        </a:p>
        <a:p>
          <a:pPr algn="l"/>
          <a:endParaRPr lang="nl-NL" sz="1100" baseline="0"/>
        </a:p>
        <a:p>
          <a:pPr algn="l"/>
          <a:endParaRPr lang="nl-NL" sz="1100"/>
        </a:p>
      </xdr:txBody>
    </xdr:sp>
    <xdr:clientData/>
  </xdr:twoCellAnchor>
  <xdr:twoCellAnchor>
    <xdr:from>
      <xdr:col>13</xdr:col>
      <xdr:colOff>514350</xdr:colOff>
      <xdr:row>2</xdr:row>
      <xdr:rowOff>57150</xdr:rowOff>
    </xdr:from>
    <xdr:to>
      <xdr:col>16</xdr:col>
      <xdr:colOff>361950</xdr:colOff>
      <xdr:row>9</xdr:row>
      <xdr:rowOff>44450</xdr:rowOff>
    </xdr:to>
    <xdr:sp macro="" textlink="">
      <xdr:nvSpPr>
        <xdr:cNvPr id="3" name="Pijl: links 7">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bwMode="auto">
        <a:xfrm flipH="1">
          <a:off x="8851900" y="374650"/>
          <a:ext cx="1771650" cy="11938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450850</xdr:colOff>
      <xdr:row>3</xdr:row>
      <xdr:rowOff>63500</xdr:rowOff>
    </xdr:from>
    <xdr:to>
      <xdr:col>13</xdr:col>
      <xdr:colOff>0</xdr:colOff>
      <xdr:row>36</xdr:row>
      <xdr:rowOff>101600</xdr:rowOff>
    </xdr:to>
    <xdr:pic>
      <xdr:nvPicPr>
        <xdr:cNvPr id="5" name="Afbeelding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850" y="635000"/>
          <a:ext cx="7854950" cy="527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523874</xdr:colOff>
      <xdr:row>1</xdr:row>
      <xdr:rowOff>25399</xdr:rowOff>
    </xdr:from>
    <xdr:to>
      <xdr:col>18</xdr:col>
      <xdr:colOff>9525</xdr:colOff>
      <xdr:row>15</xdr:row>
      <xdr:rowOff>6350</xdr:rowOff>
    </xdr:to>
    <xdr:sp macro="" textlink="">
      <xdr:nvSpPr>
        <xdr:cNvPr id="2" name="Rechthoek 1">
          <a:extLst>
            <a:ext uri="{FF2B5EF4-FFF2-40B4-BE49-F238E27FC236}">
              <a16:creationId xmlns:a16="http://schemas.microsoft.com/office/drawing/2014/main" id="{00000000-0008-0000-0F00-000002000000}"/>
            </a:ext>
          </a:extLst>
        </xdr:cNvPr>
        <xdr:cNvSpPr/>
      </xdr:nvSpPr>
      <xdr:spPr bwMode="auto">
        <a:xfrm>
          <a:off x="523874" y="187324"/>
          <a:ext cx="10296526" cy="2247901"/>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oneCellAnchor>
    <xdr:from>
      <xdr:col>4</xdr:col>
      <xdr:colOff>117623</xdr:colOff>
      <xdr:row>3</xdr:row>
      <xdr:rowOff>150532</xdr:rowOff>
    </xdr:from>
    <xdr:ext cx="3953848" cy="478118"/>
    <xdr:pic>
      <xdr:nvPicPr>
        <xdr:cNvPr id="3" name="Afbeelding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6023" y="633132"/>
          <a:ext cx="3953848" cy="4781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451970</xdr:colOff>
      <xdr:row>4</xdr:row>
      <xdr:rowOff>188</xdr:rowOff>
    </xdr:from>
    <xdr:ext cx="1059330" cy="1613647"/>
    <xdr:pic>
      <xdr:nvPicPr>
        <xdr:cNvPr id="4" name="Afbeelding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67395" y="647888"/>
          <a:ext cx="1059330" cy="16136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536575</xdr:colOff>
      <xdr:row>4</xdr:row>
      <xdr:rowOff>19050</xdr:rowOff>
    </xdr:from>
    <xdr:to>
      <xdr:col>15</xdr:col>
      <xdr:colOff>346075</xdr:colOff>
      <xdr:row>7</xdr:row>
      <xdr:rowOff>88900</xdr:rowOff>
    </xdr:to>
    <xdr:pic>
      <xdr:nvPicPr>
        <xdr:cNvPr id="6" name="Afbeelding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32800" y="666750"/>
          <a:ext cx="1028700" cy="55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469900</xdr:colOff>
      <xdr:row>36</xdr:row>
      <xdr:rowOff>149225</xdr:rowOff>
    </xdr:from>
    <xdr:to>
      <xdr:col>17</xdr:col>
      <xdr:colOff>431800</xdr:colOff>
      <xdr:row>47</xdr:row>
      <xdr:rowOff>12700</xdr:rowOff>
    </xdr:to>
    <xdr:pic>
      <xdr:nvPicPr>
        <xdr:cNvPr id="9" name="Afbeelding 8">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85325" y="5978525"/>
          <a:ext cx="104775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536574</xdr:colOff>
      <xdr:row>36</xdr:row>
      <xdr:rowOff>6349</xdr:rowOff>
    </xdr:from>
    <xdr:to>
      <xdr:col>17</xdr:col>
      <xdr:colOff>600075</xdr:colOff>
      <xdr:row>48</xdr:row>
      <xdr:rowOff>139700</xdr:rowOff>
    </xdr:to>
    <xdr:sp macro="" textlink="">
      <xdr:nvSpPr>
        <xdr:cNvPr id="10" name="Rechthoek 9">
          <a:extLst>
            <a:ext uri="{FF2B5EF4-FFF2-40B4-BE49-F238E27FC236}">
              <a16:creationId xmlns:a16="http://schemas.microsoft.com/office/drawing/2014/main" id="{00000000-0008-0000-0F00-00000A000000}"/>
            </a:ext>
          </a:extLst>
        </xdr:cNvPr>
        <xdr:cNvSpPr/>
      </xdr:nvSpPr>
      <xdr:spPr bwMode="auto">
        <a:xfrm>
          <a:off x="536574" y="5835649"/>
          <a:ext cx="10264776" cy="2076451"/>
        </a:xfrm>
        <a:prstGeom prst="rect">
          <a:avLst/>
        </a:prstGeom>
        <a:noFill/>
        <a:ln w="57150" cap="flat" cmpd="sng" algn="ctr">
          <a:solidFill>
            <a:srgbClr val="00B0F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12</xdr:col>
      <xdr:colOff>212725</xdr:colOff>
      <xdr:row>50</xdr:row>
      <xdr:rowOff>149225</xdr:rowOff>
    </xdr:from>
    <xdr:to>
      <xdr:col>15</xdr:col>
      <xdr:colOff>454025</xdr:colOff>
      <xdr:row>61</xdr:row>
      <xdr:rowOff>12700</xdr:rowOff>
    </xdr:to>
    <xdr:pic>
      <xdr:nvPicPr>
        <xdr:cNvPr id="11" name="Afbeelding 10">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99350" y="8245475"/>
          <a:ext cx="207010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196850</xdr:colOff>
      <xdr:row>61</xdr:row>
      <xdr:rowOff>19050</xdr:rowOff>
    </xdr:from>
    <xdr:to>
      <xdr:col>2</xdr:col>
      <xdr:colOff>506620</xdr:colOff>
      <xdr:row>66</xdr:row>
      <xdr:rowOff>113739</xdr:rowOff>
    </xdr:to>
    <xdr:pic>
      <xdr:nvPicPr>
        <xdr:cNvPr id="13" name="Afbeelding 12">
          <a:hlinkClick xmlns:r="http://schemas.openxmlformats.org/officeDocument/2006/relationships" r:id="rId6"/>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7"/>
        <a:stretch>
          <a:fillRect/>
        </a:stretch>
      </xdr:blipFill>
      <xdr:spPr>
        <a:xfrm>
          <a:off x="806450" y="5480050"/>
          <a:ext cx="919370" cy="888439"/>
        </a:xfrm>
        <a:prstGeom prst="roundRect">
          <a:avLst>
            <a:gd name="adj" fmla="val 4167"/>
          </a:avLst>
        </a:prstGeom>
        <a:solidFill>
          <a:srgbClr val="FFFFFF"/>
        </a:solidFill>
        <a:ln w="31750" cap="sq">
          <a:solidFill>
            <a:srgbClr val="66CCFF"/>
          </a:solidFill>
          <a:miter lim="800000"/>
        </a:ln>
        <a:effectLst/>
      </xdr:spPr>
    </xdr:pic>
    <xdr:clientData/>
  </xdr:twoCellAnchor>
  <xdr:twoCellAnchor>
    <xdr:from>
      <xdr:col>18</xdr:col>
      <xdr:colOff>590550</xdr:colOff>
      <xdr:row>8</xdr:row>
      <xdr:rowOff>142875</xdr:rowOff>
    </xdr:from>
    <xdr:to>
      <xdr:col>21</xdr:col>
      <xdr:colOff>254000</xdr:colOff>
      <xdr:row>15</xdr:row>
      <xdr:rowOff>95250</xdr:rowOff>
    </xdr:to>
    <xdr:sp macro="" textlink="">
      <xdr:nvSpPr>
        <xdr:cNvPr id="14" name="Pijl: links 7">
          <a:hlinkClick xmlns:r="http://schemas.openxmlformats.org/officeDocument/2006/relationships" r:id="rId8"/>
          <a:extLst>
            <a:ext uri="{FF2B5EF4-FFF2-40B4-BE49-F238E27FC236}">
              <a16:creationId xmlns:a16="http://schemas.microsoft.com/office/drawing/2014/main" id="{00000000-0008-0000-0F00-00000E000000}"/>
            </a:ext>
          </a:extLst>
        </xdr:cNvPr>
        <xdr:cNvSpPr/>
      </xdr:nvSpPr>
      <xdr:spPr bwMode="auto">
        <a:xfrm flipH="1">
          <a:off x="11401425" y="1438275"/>
          <a:ext cx="1492250" cy="108585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0</xdr:col>
      <xdr:colOff>517524</xdr:colOff>
      <xdr:row>16</xdr:row>
      <xdr:rowOff>6349</xdr:rowOff>
    </xdr:from>
    <xdr:to>
      <xdr:col>18</xdr:col>
      <xdr:colOff>0</xdr:colOff>
      <xdr:row>28</xdr:row>
      <xdr:rowOff>142875</xdr:rowOff>
    </xdr:to>
    <xdr:sp macro="" textlink="">
      <xdr:nvSpPr>
        <xdr:cNvPr id="15" name="Rechthoek 14">
          <a:extLst>
            <a:ext uri="{FF2B5EF4-FFF2-40B4-BE49-F238E27FC236}">
              <a16:creationId xmlns:a16="http://schemas.microsoft.com/office/drawing/2014/main" id="{00000000-0008-0000-0F00-00000F000000}"/>
            </a:ext>
          </a:extLst>
        </xdr:cNvPr>
        <xdr:cNvSpPr/>
      </xdr:nvSpPr>
      <xdr:spPr bwMode="auto">
        <a:xfrm>
          <a:off x="517524" y="2597149"/>
          <a:ext cx="10293351" cy="2079626"/>
        </a:xfrm>
        <a:prstGeom prst="rect">
          <a:avLst/>
        </a:prstGeom>
        <a:noFill/>
        <a:ln w="57150" cap="flat" cmpd="sng" algn="ctr">
          <a:solidFill>
            <a:srgbClr val="00B0F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0</xdr:col>
      <xdr:colOff>517524</xdr:colOff>
      <xdr:row>50</xdr:row>
      <xdr:rowOff>6349</xdr:rowOff>
    </xdr:from>
    <xdr:to>
      <xdr:col>17</xdr:col>
      <xdr:colOff>590550</xdr:colOff>
      <xdr:row>68</xdr:row>
      <xdr:rowOff>28575</xdr:rowOff>
    </xdr:to>
    <xdr:sp macro="" textlink="">
      <xdr:nvSpPr>
        <xdr:cNvPr id="16" name="Rechthoek 15">
          <a:extLst>
            <a:ext uri="{FF2B5EF4-FFF2-40B4-BE49-F238E27FC236}">
              <a16:creationId xmlns:a16="http://schemas.microsoft.com/office/drawing/2014/main" id="{00000000-0008-0000-0F00-000010000000}"/>
            </a:ext>
          </a:extLst>
        </xdr:cNvPr>
        <xdr:cNvSpPr/>
      </xdr:nvSpPr>
      <xdr:spPr bwMode="auto">
        <a:xfrm>
          <a:off x="517524" y="8102599"/>
          <a:ext cx="10274301" cy="2936876"/>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xdr:col>
      <xdr:colOff>19050</xdr:colOff>
      <xdr:row>43</xdr:row>
      <xdr:rowOff>69850</xdr:rowOff>
    </xdr:from>
    <xdr:to>
      <xdr:col>9</xdr:col>
      <xdr:colOff>253186</xdr:colOff>
      <xdr:row>47</xdr:row>
      <xdr:rowOff>139700</xdr:rowOff>
    </xdr:to>
    <xdr:pic>
      <xdr:nvPicPr>
        <xdr:cNvPr id="17" name="Afbeelding 16">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28650" y="7032625"/>
          <a:ext cx="5082361" cy="71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517524</xdr:colOff>
      <xdr:row>30</xdr:row>
      <xdr:rowOff>6349</xdr:rowOff>
    </xdr:from>
    <xdr:to>
      <xdr:col>17</xdr:col>
      <xdr:colOff>600075</xdr:colOff>
      <xdr:row>35</xdr:row>
      <xdr:rowOff>6350</xdr:rowOff>
    </xdr:to>
    <xdr:sp macro="" textlink="">
      <xdr:nvSpPr>
        <xdr:cNvPr id="18" name="Rechthoek 17">
          <a:extLst>
            <a:ext uri="{FF2B5EF4-FFF2-40B4-BE49-F238E27FC236}">
              <a16:creationId xmlns:a16="http://schemas.microsoft.com/office/drawing/2014/main" id="{00000000-0008-0000-0F00-000012000000}"/>
            </a:ext>
          </a:extLst>
        </xdr:cNvPr>
        <xdr:cNvSpPr/>
      </xdr:nvSpPr>
      <xdr:spPr bwMode="auto">
        <a:xfrm>
          <a:off x="517524" y="4864099"/>
          <a:ext cx="10283826" cy="809626"/>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12</xdr:col>
      <xdr:colOff>171450</xdr:colOff>
      <xdr:row>17</xdr:row>
      <xdr:rowOff>82550</xdr:rowOff>
    </xdr:from>
    <xdr:to>
      <xdr:col>15</xdr:col>
      <xdr:colOff>431800</xdr:colOff>
      <xdr:row>27</xdr:row>
      <xdr:rowOff>130175</xdr:rowOff>
    </xdr:to>
    <xdr:pic>
      <xdr:nvPicPr>
        <xdr:cNvPr id="19" name="Afbeelding 18">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458075" y="2835275"/>
          <a:ext cx="208915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457200</xdr:colOff>
      <xdr:row>17</xdr:row>
      <xdr:rowOff>76200</xdr:rowOff>
    </xdr:from>
    <xdr:ext cx="1059330" cy="1613647"/>
    <xdr:pic>
      <xdr:nvPicPr>
        <xdr:cNvPr id="20" name="Afbeelding 19">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828925"/>
          <a:ext cx="1059330" cy="16136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184150</xdr:colOff>
      <xdr:row>37</xdr:row>
      <xdr:rowOff>12700</xdr:rowOff>
    </xdr:from>
    <xdr:to>
      <xdr:col>15</xdr:col>
      <xdr:colOff>425450</xdr:colOff>
      <xdr:row>47</xdr:row>
      <xdr:rowOff>38100</xdr:rowOff>
    </xdr:to>
    <xdr:pic>
      <xdr:nvPicPr>
        <xdr:cNvPr id="21" name="Afbeelding 20">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70775" y="6003925"/>
          <a:ext cx="207010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56</xdr:row>
      <xdr:rowOff>0</xdr:rowOff>
    </xdr:from>
    <xdr:to>
      <xdr:col>9</xdr:col>
      <xdr:colOff>234136</xdr:colOff>
      <xdr:row>60</xdr:row>
      <xdr:rowOff>69850</xdr:rowOff>
    </xdr:to>
    <xdr:pic>
      <xdr:nvPicPr>
        <xdr:cNvPr id="23" name="Afbeelding 22">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9600" y="9067800"/>
          <a:ext cx="5082361" cy="71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293784</xdr:colOff>
      <xdr:row>1</xdr:row>
      <xdr:rowOff>0</xdr:rowOff>
    </xdr:from>
    <xdr:to>
      <xdr:col>13</xdr:col>
      <xdr:colOff>136899</xdr:colOff>
      <xdr:row>4</xdr:row>
      <xdr:rowOff>147357</xdr:rowOff>
    </xdr:to>
    <xdr:sp macro="" textlink="">
      <xdr:nvSpPr>
        <xdr:cNvPr id="10" name="AutoShape 48">
          <a:hlinkClick xmlns:r="http://schemas.openxmlformats.org/officeDocument/2006/relationships" r:id="rId1"/>
          <a:extLst>
            <a:ext uri="{FF2B5EF4-FFF2-40B4-BE49-F238E27FC236}">
              <a16:creationId xmlns:a16="http://schemas.microsoft.com/office/drawing/2014/main" id="{00000000-0008-0000-1000-00000A000000}"/>
            </a:ext>
          </a:extLst>
        </xdr:cNvPr>
        <xdr:cNvSpPr>
          <a:spLocks noChangeArrowheads="1"/>
        </xdr:cNvSpPr>
      </xdr:nvSpPr>
      <xdr:spPr bwMode="auto">
        <a:xfrm>
          <a:off x="4679019" y="201706"/>
          <a:ext cx="1053351" cy="55076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304988</xdr:colOff>
      <xdr:row>5</xdr:row>
      <xdr:rowOff>131108</xdr:rowOff>
    </xdr:from>
    <xdr:to>
      <xdr:col>13</xdr:col>
      <xdr:colOff>125694</xdr:colOff>
      <xdr:row>5</xdr:row>
      <xdr:rowOff>714935</xdr:rowOff>
    </xdr:to>
    <xdr:sp macro="" textlink="">
      <xdr:nvSpPr>
        <xdr:cNvPr id="11" name="AutoShape 48">
          <a:hlinkClick xmlns:r="http://schemas.openxmlformats.org/officeDocument/2006/relationships" r:id="rId2"/>
          <a:extLst>
            <a:ext uri="{FF2B5EF4-FFF2-40B4-BE49-F238E27FC236}">
              <a16:creationId xmlns:a16="http://schemas.microsoft.com/office/drawing/2014/main" id="{00000000-0008-0000-1000-00000B000000}"/>
            </a:ext>
          </a:extLst>
        </xdr:cNvPr>
        <xdr:cNvSpPr>
          <a:spLocks noChangeArrowheads="1"/>
        </xdr:cNvSpPr>
      </xdr:nvSpPr>
      <xdr:spPr bwMode="auto">
        <a:xfrm>
          <a:off x="4690223" y="893108"/>
          <a:ext cx="1030942"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301625</xdr:colOff>
      <xdr:row>1</xdr:row>
      <xdr:rowOff>0</xdr:rowOff>
    </xdr:from>
    <xdr:to>
      <xdr:col>13</xdr:col>
      <xdr:colOff>148102</xdr:colOff>
      <xdr:row>4</xdr:row>
      <xdr:rowOff>147357</xdr:rowOff>
    </xdr:to>
    <xdr:sp macro="" textlink="">
      <xdr:nvSpPr>
        <xdr:cNvPr id="10" name="AutoShape 48">
          <a:hlinkClick xmlns:r="http://schemas.openxmlformats.org/officeDocument/2006/relationships" r:id="rId1"/>
          <a:extLst>
            <a:ext uri="{FF2B5EF4-FFF2-40B4-BE49-F238E27FC236}">
              <a16:creationId xmlns:a16="http://schemas.microsoft.com/office/drawing/2014/main" id="{00000000-0008-0000-1100-00000A000000}"/>
            </a:ext>
          </a:extLst>
        </xdr:cNvPr>
        <xdr:cNvSpPr>
          <a:spLocks noChangeArrowheads="1"/>
        </xdr:cNvSpPr>
      </xdr:nvSpPr>
      <xdr:spPr bwMode="auto">
        <a:xfrm>
          <a:off x="4670425" y="203200"/>
          <a:ext cx="1046627" cy="5474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312829</xdr:colOff>
      <xdr:row>5</xdr:row>
      <xdr:rowOff>131108</xdr:rowOff>
    </xdr:from>
    <xdr:to>
      <xdr:col>13</xdr:col>
      <xdr:colOff>136897</xdr:colOff>
      <xdr:row>5</xdr:row>
      <xdr:rowOff>714935</xdr:rowOff>
    </xdr:to>
    <xdr:sp macro="" textlink="">
      <xdr:nvSpPr>
        <xdr:cNvPr id="11" name="AutoShape 48">
          <a:hlinkClick xmlns:r="http://schemas.openxmlformats.org/officeDocument/2006/relationships" r:id="rId2"/>
          <a:extLst>
            <a:ext uri="{FF2B5EF4-FFF2-40B4-BE49-F238E27FC236}">
              <a16:creationId xmlns:a16="http://schemas.microsoft.com/office/drawing/2014/main" id="{00000000-0008-0000-1100-00000B000000}"/>
            </a:ext>
          </a:extLst>
        </xdr:cNvPr>
        <xdr:cNvSpPr>
          <a:spLocks noChangeArrowheads="1"/>
        </xdr:cNvSpPr>
      </xdr:nvSpPr>
      <xdr:spPr bwMode="auto">
        <a:xfrm>
          <a:off x="4681629" y="893108"/>
          <a:ext cx="1024218"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301625</xdr:colOff>
      <xdr:row>1</xdr:row>
      <xdr:rowOff>0</xdr:rowOff>
    </xdr:from>
    <xdr:to>
      <xdr:col>13</xdr:col>
      <xdr:colOff>148102</xdr:colOff>
      <xdr:row>4</xdr:row>
      <xdr:rowOff>147357</xdr:rowOff>
    </xdr:to>
    <xdr:sp macro="" textlink="">
      <xdr:nvSpPr>
        <xdr:cNvPr id="6" name="AutoShape 48">
          <a:hlinkClick xmlns:r="http://schemas.openxmlformats.org/officeDocument/2006/relationships" r:id="rId1"/>
          <a:extLst>
            <a:ext uri="{FF2B5EF4-FFF2-40B4-BE49-F238E27FC236}">
              <a16:creationId xmlns:a16="http://schemas.microsoft.com/office/drawing/2014/main" id="{00000000-0008-0000-1200-000006000000}"/>
            </a:ext>
          </a:extLst>
        </xdr:cNvPr>
        <xdr:cNvSpPr>
          <a:spLocks noChangeArrowheads="1"/>
        </xdr:cNvSpPr>
      </xdr:nvSpPr>
      <xdr:spPr bwMode="auto">
        <a:xfrm>
          <a:off x="4670425" y="203200"/>
          <a:ext cx="1046627" cy="5474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312829</xdr:colOff>
      <xdr:row>5</xdr:row>
      <xdr:rowOff>131108</xdr:rowOff>
    </xdr:from>
    <xdr:to>
      <xdr:col>13</xdr:col>
      <xdr:colOff>136897</xdr:colOff>
      <xdr:row>5</xdr:row>
      <xdr:rowOff>714935</xdr:rowOff>
    </xdr:to>
    <xdr:sp macro="" textlink="">
      <xdr:nvSpPr>
        <xdr:cNvPr id="9" name="AutoShape 48">
          <a:hlinkClick xmlns:r="http://schemas.openxmlformats.org/officeDocument/2006/relationships" r:id="rId2"/>
          <a:extLst>
            <a:ext uri="{FF2B5EF4-FFF2-40B4-BE49-F238E27FC236}">
              <a16:creationId xmlns:a16="http://schemas.microsoft.com/office/drawing/2014/main" id="{00000000-0008-0000-1200-000009000000}"/>
            </a:ext>
          </a:extLst>
        </xdr:cNvPr>
        <xdr:cNvSpPr>
          <a:spLocks noChangeArrowheads="1"/>
        </xdr:cNvSpPr>
      </xdr:nvSpPr>
      <xdr:spPr bwMode="auto">
        <a:xfrm>
          <a:off x="4681629" y="893108"/>
          <a:ext cx="1024218"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5</xdr:col>
      <xdr:colOff>219075</xdr:colOff>
      <xdr:row>3</xdr:row>
      <xdr:rowOff>0</xdr:rowOff>
    </xdr:to>
    <xdr:pic>
      <xdr:nvPicPr>
        <xdr:cNvPr id="8" name="Afbeelding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0"/>
          <a:ext cx="29908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2</xdr:row>
      <xdr:rowOff>152400</xdr:rowOff>
    </xdr:from>
    <xdr:to>
      <xdr:col>21</xdr:col>
      <xdr:colOff>447675</xdr:colOff>
      <xdr:row>41</xdr:row>
      <xdr:rowOff>9525</xdr:rowOff>
    </xdr:to>
    <xdr:pic>
      <xdr:nvPicPr>
        <xdr:cNvPr id="7" name="Afbeelding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476250"/>
          <a:ext cx="12887325"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85725</xdr:colOff>
      <xdr:row>12</xdr:row>
      <xdr:rowOff>66674</xdr:rowOff>
    </xdr:from>
    <xdr:to>
      <xdr:col>23</xdr:col>
      <xdr:colOff>466725</xdr:colOff>
      <xdr:row>40</xdr:row>
      <xdr:rowOff>19049</xdr:rowOff>
    </xdr:to>
    <xdr:sp macro="" textlink="">
      <xdr:nvSpPr>
        <xdr:cNvPr id="2" name="Afgeronde rechthoek 1">
          <a:extLst>
            <a:ext uri="{FF2B5EF4-FFF2-40B4-BE49-F238E27FC236}">
              <a16:creationId xmlns:a16="http://schemas.microsoft.com/office/drawing/2014/main" id="{00000000-0008-0000-0100-000002000000}"/>
            </a:ext>
          </a:extLst>
        </xdr:cNvPr>
        <xdr:cNvSpPr/>
      </xdr:nvSpPr>
      <xdr:spPr bwMode="auto">
        <a:xfrm>
          <a:off x="12277725" y="2009774"/>
          <a:ext cx="2209800" cy="44862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Een DQ</a:t>
          </a:r>
          <a:r>
            <a:rPr lang="nl-NL" sz="1100" baseline="0">
              <a:solidFill>
                <a:schemeClr val="tx1"/>
              </a:solidFill>
            </a:rPr>
            <a:t> van 1 betekent 1 leerkracht</a:t>
          </a:r>
        </a:p>
        <a:p>
          <a:pPr algn="l"/>
          <a:endParaRPr lang="nl-NL" sz="1100" baseline="0">
            <a:solidFill>
              <a:schemeClr val="tx1"/>
            </a:solidFill>
          </a:endParaRPr>
        </a:p>
        <a:p>
          <a:pPr algn="l"/>
          <a:r>
            <a:rPr lang="nl-NL" sz="1100" baseline="0">
              <a:solidFill>
                <a:schemeClr val="tx1"/>
              </a:solidFill>
            </a:rPr>
            <a:t>Komt het DQ boven 1,20 dan kan gedacht worden aan extra ondersteuning van de leerkracht.</a:t>
          </a:r>
        </a:p>
        <a:p>
          <a:pPr algn="l"/>
          <a:endParaRPr lang="nl-NL" sz="1100" baseline="0">
            <a:solidFill>
              <a:schemeClr val="tx1"/>
            </a:solidFill>
          </a:endParaRPr>
        </a:p>
        <a:p>
          <a:pPr algn="l"/>
          <a:r>
            <a:rPr lang="nl-NL" sz="1100" baseline="0">
              <a:solidFill>
                <a:schemeClr val="tx1"/>
              </a:solidFill>
            </a:rPr>
            <a:t>Met dit instrument kan de 'zwaarte' van de groep bekeken worden.</a:t>
          </a:r>
        </a:p>
        <a:p>
          <a:pPr algn="l"/>
          <a:endParaRPr lang="nl-NL" sz="1100" baseline="0">
            <a:solidFill>
              <a:schemeClr val="tx1"/>
            </a:solidFill>
          </a:endParaRPr>
        </a:p>
        <a:p>
          <a:pPr algn="l"/>
          <a:r>
            <a:rPr lang="nl-NL" sz="1100" baseline="0">
              <a:solidFill>
                <a:schemeClr val="tx1"/>
              </a:solidFill>
            </a:rPr>
            <a:t>INVULLEN:</a:t>
          </a:r>
        </a:p>
        <a:p>
          <a:pPr algn="l"/>
          <a:r>
            <a:rPr lang="nl-NL" sz="1100" b="1" u="sng" baseline="0">
              <a:solidFill>
                <a:schemeClr val="tx1"/>
              </a:solidFill>
            </a:rPr>
            <a:t>STAP 1</a:t>
          </a:r>
          <a:r>
            <a:rPr lang="nl-NL" sz="1100" baseline="0">
              <a:solidFill>
                <a:schemeClr val="tx1"/>
              </a:solidFill>
            </a:rPr>
            <a:t>: </a:t>
          </a:r>
        </a:p>
        <a:p>
          <a:pPr algn="l"/>
          <a:r>
            <a:rPr lang="nl-NL" sz="1100" baseline="0">
              <a:solidFill>
                <a:schemeClr val="tx1"/>
              </a:solidFill>
            </a:rPr>
            <a:t>Namen noteren + categorie 1-2-3 of 4 aanklikken</a:t>
          </a:r>
        </a:p>
        <a:p>
          <a:pPr algn="l"/>
          <a:endParaRPr lang="nl-NL" sz="1100" b="1" u="sng" baseline="0">
            <a:solidFill>
              <a:schemeClr val="tx1"/>
            </a:solidFill>
          </a:endParaRPr>
        </a:p>
        <a:p>
          <a:pPr algn="l"/>
          <a:r>
            <a:rPr lang="nl-NL" sz="1100" b="1" u="sng" baseline="0">
              <a:solidFill>
                <a:schemeClr val="tx1"/>
              </a:solidFill>
            </a:rPr>
            <a:t>STAP 2: </a:t>
          </a:r>
        </a:p>
        <a:p>
          <a:pPr algn="l"/>
          <a:r>
            <a:rPr lang="nl-NL" sz="1100" baseline="0">
              <a:solidFill>
                <a:schemeClr val="tx1"/>
              </a:solidFill>
            </a:rPr>
            <a:t>Voornamen van de kinderen noteren bij categorie 2-3 of 4. Bij categorie 1 noteert u niets. dit gaat n.l. automatisch.</a:t>
          </a:r>
        </a:p>
        <a:p>
          <a:pPr algn="l"/>
          <a:endParaRPr lang="nl-NL" sz="1100" baseline="0">
            <a:solidFill>
              <a:schemeClr val="tx1"/>
            </a:solidFill>
          </a:endParaRPr>
        </a:p>
        <a:p>
          <a:pPr algn="l"/>
          <a:r>
            <a:rPr lang="nl-NL" sz="1100" b="1" u="sng" baseline="0">
              <a:solidFill>
                <a:schemeClr val="tx1"/>
              </a:solidFill>
            </a:rPr>
            <a:t>STAP 3:</a:t>
          </a:r>
        </a:p>
        <a:p>
          <a:pPr algn="l"/>
          <a:r>
            <a:rPr lang="nl-NL" sz="1100" baseline="0">
              <a:solidFill>
                <a:schemeClr val="tx1"/>
              </a:solidFill>
            </a:rPr>
            <a:t>Het DQ verschijnt.</a:t>
          </a:r>
          <a:endParaRPr lang="nl-NL" sz="1100">
            <a:solidFill>
              <a:schemeClr val="tx1"/>
            </a:solidFill>
          </a:endParaRPr>
        </a:p>
      </xdr:txBody>
    </xdr:sp>
    <xdr:clientData/>
  </xdr:twoCellAnchor>
  <xdr:twoCellAnchor>
    <xdr:from>
      <xdr:col>20</xdr:col>
      <xdr:colOff>180975</xdr:colOff>
      <xdr:row>5</xdr:row>
      <xdr:rowOff>114299</xdr:rowOff>
    </xdr:from>
    <xdr:to>
      <xdr:col>23</xdr:col>
      <xdr:colOff>28575</xdr:colOff>
      <xdr:row>13</xdr:row>
      <xdr:rowOff>38099</xdr:rowOff>
    </xdr:to>
    <xdr:sp macro="" textlink="">
      <xdr:nvSpPr>
        <xdr:cNvPr id="6" name="Pijl: links 7">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bwMode="auto">
        <a:xfrm flipH="1">
          <a:off x="12372975" y="923924"/>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2</xdr:col>
      <xdr:colOff>25400</xdr:colOff>
      <xdr:row>12</xdr:row>
      <xdr:rowOff>222250</xdr:rowOff>
    </xdr:from>
    <xdr:to>
      <xdr:col>3</xdr:col>
      <xdr:colOff>1219200</xdr:colOff>
      <xdr:row>15</xdr:row>
      <xdr:rowOff>63500</xdr:rowOff>
    </xdr:to>
    <xdr:sp macro="" textlink="">
      <xdr:nvSpPr>
        <xdr:cNvPr id="3" name="Pijl: links 2">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030817" y="3598333"/>
          <a:ext cx="2484966" cy="793750"/>
        </a:xfrm>
        <a:prstGeom prst="leftArrow">
          <a:avLst/>
        </a:prstGeom>
        <a:solidFill>
          <a:srgbClr val="00B0F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t>terug naar start</a:t>
          </a:r>
        </a:p>
      </xdr:txBody>
    </xdr:sp>
    <xdr:clientData fPrintsWithSheet="0"/>
  </xdr:twoCellAnchor>
  <xdr:twoCellAnchor>
    <xdr:from>
      <xdr:col>4</xdr:col>
      <xdr:colOff>677332</xdr:colOff>
      <xdr:row>2</xdr:row>
      <xdr:rowOff>8467</xdr:rowOff>
    </xdr:from>
    <xdr:to>
      <xdr:col>13</xdr:col>
      <xdr:colOff>152399</xdr:colOff>
      <xdr:row>20</xdr:row>
      <xdr:rowOff>12700</xdr:rowOff>
    </xdr:to>
    <xdr:graphicFrame macro="">
      <xdr:nvGraphicFramePr>
        <xdr:cNvPr id="6" name="Grafiek 5">
          <a:extLst>
            <a:ext uri="{FF2B5EF4-FFF2-40B4-BE49-F238E27FC236}">
              <a16:creationId xmlns:a16="http://schemas.microsoft.com/office/drawing/2014/main" id="{00000000-0008-0000-1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xdr:row>
      <xdr:rowOff>0</xdr:rowOff>
    </xdr:from>
    <xdr:to>
      <xdr:col>19</xdr:col>
      <xdr:colOff>29632</xdr:colOff>
      <xdr:row>7</xdr:row>
      <xdr:rowOff>158750</xdr:rowOff>
    </xdr:to>
    <xdr:sp macro="" textlink="">
      <xdr:nvSpPr>
        <xdr:cNvPr id="7" name="Pijl: links 6">
          <a:hlinkClick xmlns:r="http://schemas.openxmlformats.org/officeDocument/2006/relationships" r:id="rId3"/>
          <a:extLst>
            <a:ext uri="{FF2B5EF4-FFF2-40B4-BE49-F238E27FC236}">
              <a16:creationId xmlns:a16="http://schemas.microsoft.com/office/drawing/2014/main" id="{00000000-0008-0000-1300-000007000000}"/>
            </a:ext>
          </a:extLst>
        </xdr:cNvPr>
        <xdr:cNvSpPr/>
      </xdr:nvSpPr>
      <xdr:spPr>
        <a:xfrm>
          <a:off x="14012333" y="1280583"/>
          <a:ext cx="2484966" cy="793750"/>
        </a:xfrm>
        <a:prstGeom prst="leftArrow">
          <a:avLst/>
        </a:prstGeom>
        <a:solidFill>
          <a:srgbClr val="FFC00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solidFill>
                <a:schemeClr val="tx1"/>
              </a:solidFill>
            </a:rPr>
            <a:t>informatie</a:t>
          </a:r>
        </a:p>
      </xdr:txBody>
    </xdr:sp>
    <xdr:clientData fPrintsWithSheet="0"/>
  </xdr:twoCellAnchor>
  <xdr:twoCellAnchor>
    <xdr:from>
      <xdr:col>21</xdr:col>
      <xdr:colOff>7051</xdr:colOff>
      <xdr:row>1</xdr:row>
      <xdr:rowOff>22680</xdr:rowOff>
    </xdr:from>
    <xdr:to>
      <xdr:col>41</xdr:col>
      <xdr:colOff>602741</xdr:colOff>
      <xdr:row>19</xdr:row>
      <xdr:rowOff>244930</xdr:rowOff>
    </xdr:to>
    <xdr:graphicFrame macro="">
      <xdr:nvGraphicFramePr>
        <xdr:cNvPr id="5" name="Grafiek 4">
          <a:extLst>
            <a:ext uri="{FF2B5EF4-FFF2-40B4-BE49-F238E27FC236}">
              <a16:creationId xmlns:a16="http://schemas.microsoft.com/office/drawing/2014/main" id="{00000000-0008-0000-1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190489</xdr:colOff>
      <xdr:row>16</xdr:row>
      <xdr:rowOff>42347</xdr:rowOff>
    </xdr:from>
    <xdr:to>
      <xdr:col>42</xdr:col>
      <xdr:colOff>10573</xdr:colOff>
      <xdr:row>19</xdr:row>
      <xdr:rowOff>84680</xdr:rowOff>
    </xdr:to>
    <xdr:graphicFrame macro="">
      <xdr:nvGraphicFramePr>
        <xdr:cNvPr id="15" name="Grafiek 14">
          <a:extLst>
            <a:ext uri="{FF2B5EF4-FFF2-40B4-BE49-F238E27FC236}">
              <a16:creationId xmlns:a16="http://schemas.microsoft.com/office/drawing/2014/main" id="{00000000-0008-0000-1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10582</xdr:colOff>
      <xdr:row>3</xdr:row>
      <xdr:rowOff>15875</xdr:rowOff>
    </xdr:from>
    <xdr:to>
      <xdr:col>30</xdr:col>
      <xdr:colOff>10584</xdr:colOff>
      <xdr:row>29</xdr:row>
      <xdr:rowOff>31749</xdr:rowOff>
    </xdr:to>
    <xdr:graphicFrame macro="">
      <xdr:nvGraphicFramePr>
        <xdr:cNvPr id="3" name="Grafiek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69850</xdr:colOff>
      <xdr:row>65</xdr:row>
      <xdr:rowOff>26865</xdr:rowOff>
    </xdr:from>
    <xdr:to>
      <xdr:col>19</xdr:col>
      <xdr:colOff>7745</xdr:colOff>
      <xdr:row>105</xdr:row>
      <xdr:rowOff>31750</xdr:rowOff>
    </xdr:to>
    <xdr:pic>
      <xdr:nvPicPr>
        <xdr:cNvPr id="7" name="Afbeelding 6">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4606" y="16126438"/>
          <a:ext cx="9230578" cy="9313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89956</xdr:colOff>
      <xdr:row>6</xdr:row>
      <xdr:rowOff>222896</xdr:rowOff>
    </xdr:from>
    <xdr:to>
      <xdr:col>33</xdr:col>
      <xdr:colOff>129033</xdr:colOff>
      <xdr:row>10</xdr:row>
      <xdr:rowOff>2441</xdr:rowOff>
    </xdr:to>
    <xdr:sp macro="" textlink="">
      <xdr:nvSpPr>
        <xdr:cNvPr id="8" name="AutoShape 48">
          <a:hlinkClick xmlns:r="http://schemas.openxmlformats.org/officeDocument/2006/relationships" r:id="rId3"/>
          <a:extLst>
            <a:ext uri="{FF2B5EF4-FFF2-40B4-BE49-F238E27FC236}">
              <a16:creationId xmlns:a16="http://schemas.microsoft.com/office/drawing/2014/main" id="{00000000-0008-0000-1500-000008000000}"/>
            </a:ext>
          </a:extLst>
        </xdr:cNvPr>
        <xdr:cNvSpPr>
          <a:spLocks noChangeArrowheads="1"/>
        </xdr:cNvSpPr>
      </xdr:nvSpPr>
      <xdr:spPr bwMode="auto">
        <a:xfrm>
          <a:off x="20484039"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74081</xdr:colOff>
      <xdr:row>3</xdr:row>
      <xdr:rowOff>0</xdr:rowOff>
    </xdr:from>
    <xdr:to>
      <xdr:col>33</xdr:col>
      <xdr:colOff>113158</xdr:colOff>
      <xdr:row>6</xdr:row>
      <xdr:rowOff>54146</xdr:rowOff>
    </xdr:to>
    <xdr:sp macro="" textlink="">
      <xdr:nvSpPr>
        <xdr:cNvPr id="9" name="AutoShape 48">
          <a:hlinkClick xmlns:r="http://schemas.openxmlformats.org/officeDocument/2006/relationships" r:id="rId4"/>
          <a:extLst>
            <a:ext uri="{FF2B5EF4-FFF2-40B4-BE49-F238E27FC236}">
              <a16:creationId xmlns:a16="http://schemas.microsoft.com/office/drawing/2014/main" id="{00000000-0008-0000-1500-000009000000}"/>
            </a:ext>
          </a:extLst>
        </xdr:cNvPr>
        <xdr:cNvSpPr>
          <a:spLocks noChangeArrowheads="1"/>
        </xdr:cNvSpPr>
      </xdr:nvSpPr>
      <xdr:spPr bwMode="auto">
        <a:xfrm>
          <a:off x="20468164"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18</xdr:col>
      <xdr:colOff>394939</xdr:colOff>
      <xdr:row>66</xdr:row>
      <xdr:rowOff>162622</xdr:rowOff>
    </xdr:from>
    <xdr:to>
      <xdr:col>29</xdr:col>
      <xdr:colOff>634998</xdr:colOff>
      <xdr:row>103</xdr:row>
      <xdr:rowOff>172948</xdr:rowOff>
    </xdr:to>
    <xdr:graphicFrame macro="">
      <xdr:nvGraphicFramePr>
        <xdr:cNvPr id="2" name="Grafiek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589105</xdr:colOff>
      <xdr:row>74</xdr:row>
      <xdr:rowOff>189839</xdr:rowOff>
    </xdr:from>
    <xdr:to>
      <xdr:col>30</xdr:col>
      <xdr:colOff>632497</xdr:colOff>
      <xdr:row>77</xdr:row>
      <xdr:rowOff>444</xdr:rowOff>
    </xdr:to>
    <xdr:sp macro="" textlink="">
      <xdr:nvSpPr>
        <xdr:cNvPr id="11" name="AutoShape 13">
          <a:extLst>
            <a:ext uri="{FF2B5EF4-FFF2-40B4-BE49-F238E27FC236}">
              <a16:creationId xmlns:a16="http://schemas.microsoft.com/office/drawing/2014/main" id="{00000000-0008-0000-1500-00000B000000}"/>
            </a:ext>
          </a:extLst>
        </xdr:cNvPr>
        <xdr:cNvSpPr>
          <a:spLocks noChangeArrowheads="1"/>
        </xdr:cNvSpPr>
      </xdr:nvSpPr>
      <xdr:spPr bwMode="auto">
        <a:xfrm flipH="1">
          <a:off x="18485264" y="18395754"/>
          <a:ext cx="1971623" cy="50755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590498</xdr:colOff>
      <xdr:row>83</xdr:row>
      <xdr:rowOff>160730</xdr:rowOff>
    </xdr:from>
    <xdr:to>
      <xdr:col>30</xdr:col>
      <xdr:colOff>633890</xdr:colOff>
      <xdr:row>85</xdr:row>
      <xdr:rowOff>187019</xdr:rowOff>
    </xdr:to>
    <xdr:sp macro="" textlink="">
      <xdr:nvSpPr>
        <xdr:cNvPr id="12" name="AutoShape 13">
          <a:extLst>
            <a:ext uri="{FF2B5EF4-FFF2-40B4-BE49-F238E27FC236}">
              <a16:creationId xmlns:a16="http://schemas.microsoft.com/office/drawing/2014/main" id="{00000000-0008-0000-1500-00000C000000}"/>
            </a:ext>
          </a:extLst>
        </xdr:cNvPr>
        <xdr:cNvSpPr>
          <a:spLocks noChangeArrowheads="1"/>
        </xdr:cNvSpPr>
      </xdr:nvSpPr>
      <xdr:spPr bwMode="auto">
        <a:xfrm flipH="1">
          <a:off x="18486657" y="20457498"/>
          <a:ext cx="1971623" cy="490923"/>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589055</xdr:colOff>
      <xdr:row>65</xdr:row>
      <xdr:rowOff>167783</xdr:rowOff>
    </xdr:from>
    <xdr:to>
      <xdr:col>30</xdr:col>
      <xdr:colOff>632447</xdr:colOff>
      <xdr:row>68</xdr:row>
      <xdr:rowOff>13422</xdr:rowOff>
    </xdr:to>
    <xdr:sp macro="" textlink="">
      <xdr:nvSpPr>
        <xdr:cNvPr id="13" name="AutoShape 13">
          <a:extLst>
            <a:ext uri="{FF2B5EF4-FFF2-40B4-BE49-F238E27FC236}">
              <a16:creationId xmlns:a16="http://schemas.microsoft.com/office/drawing/2014/main" id="{00000000-0008-0000-1500-00000D000000}"/>
            </a:ext>
          </a:extLst>
        </xdr:cNvPr>
        <xdr:cNvSpPr>
          <a:spLocks noChangeArrowheads="1"/>
        </xdr:cNvSpPr>
      </xdr:nvSpPr>
      <xdr:spPr bwMode="auto">
        <a:xfrm flipH="1">
          <a:off x="18485214" y="16267356"/>
          <a:ext cx="1971623" cy="558078"/>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609549</xdr:colOff>
      <xdr:row>92</xdr:row>
      <xdr:rowOff>197711</xdr:rowOff>
    </xdr:from>
    <xdr:to>
      <xdr:col>31</xdr:col>
      <xdr:colOff>10197</xdr:colOff>
      <xdr:row>95</xdr:row>
      <xdr:rowOff>4081</xdr:rowOff>
    </xdr:to>
    <xdr:sp macro="" textlink="">
      <xdr:nvSpPr>
        <xdr:cNvPr id="14" name="AutoShape 13">
          <a:extLst>
            <a:ext uri="{FF2B5EF4-FFF2-40B4-BE49-F238E27FC236}">
              <a16:creationId xmlns:a16="http://schemas.microsoft.com/office/drawing/2014/main" id="{00000000-0008-0000-1500-00000E000000}"/>
            </a:ext>
          </a:extLst>
        </xdr:cNvPr>
        <xdr:cNvSpPr>
          <a:spLocks noChangeArrowheads="1"/>
        </xdr:cNvSpPr>
      </xdr:nvSpPr>
      <xdr:spPr bwMode="auto">
        <a:xfrm flipH="1">
          <a:off x="18505708" y="22585333"/>
          <a:ext cx="1971623" cy="503321"/>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158750</xdr:colOff>
      <xdr:row>67</xdr:row>
      <xdr:rowOff>25397</xdr:rowOff>
    </xdr:from>
    <xdr:to>
      <xdr:col>30</xdr:col>
      <xdr:colOff>10583</xdr:colOff>
      <xdr:row>103</xdr:row>
      <xdr:rowOff>190499</xdr:rowOff>
    </xdr:to>
    <xdr:graphicFrame macro="">
      <xdr:nvGraphicFramePr>
        <xdr:cNvPr id="2" name="Grafiek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10584</xdr:colOff>
      <xdr:row>3</xdr:row>
      <xdr:rowOff>5293</xdr:rowOff>
    </xdr:from>
    <xdr:to>
      <xdr:col>29</xdr:col>
      <xdr:colOff>587375</xdr:colOff>
      <xdr:row>29</xdr:row>
      <xdr:rowOff>31750</xdr:rowOff>
    </xdr:to>
    <xdr:graphicFrame macro="">
      <xdr:nvGraphicFramePr>
        <xdr:cNvPr id="3" name="Grafiek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79373</xdr:colOff>
      <xdr:row>6</xdr:row>
      <xdr:rowOff>222896</xdr:rowOff>
    </xdr:from>
    <xdr:to>
      <xdr:col>33</xdr:col>
      <xdr:colOff>118450</xdr:colOff>
      <xdr:row>10</xdr:row>
      <xdr:rowOff>2441</xdr:rowOff>
    </xdr:to>
    <xdr:sp macro="" textlink="">
      <xdr:nvSpPr>
        <xdr:cNvPr id="7" name="AutoShape 48">
          <a:hlinkClick xmlns:r="http://schemas.openxmlformats.org/officeDocument/2006/relationships" r:id="rId3"/>
          <a:extLst>
            <a:ext uri="{FF2B5EF4-FFF2-40B4-BE49-F238E27FC236}">
              <a16:creationId xmlns:a16="http://schemas.microsoft.com/office/drawing/2014/main" id="{00000000-0008-0000-1600-000007000000}"/>
            </a:ext>
          </a:extLst>
        </xdr:cNvPr>
        <xdr:cNvSpPr>
          <a:spLocks noChangeArrowheads="1"/>
        </xdr:cNvSpPr>
      </xdr:nvSpPr>
      <xdr:spPr bwMode="auto">
        <a:xfrm>
          <a:off x="20314706"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63498</xdr:colOff>
      <xdr:row>3</xdr:row>
      <xdr:rowOff>0</xdr:rowOff>
    </xdr:from>
    <xdr:to>
      <xdr:col>33</xdr:col>
      <xdr:colOff>102575</xdr:colOff>
      <xdr:row>6</xdr:row>
      <xdr:rowOff>54146</xdr:rowOff>
    </xdr:to>
    <xdr:sp macro="" textlink="">
      <xdr:nvSpPr>
        <xdr:cNvPr id="8" name="AutoShape 48">
          <a:hlinkClick xmlns:r="http://schemas.openxmlformats.org/officeDocument/2006/relationships" r:id="rId4"/>
          <a:extLst>
            <a:ext uri="{FF2B5EF4-FFF2-40B4-BE49-F238E27FC236}">
              <a16:creationId xmlns:a16="http://schemas.microsoft.com/office/drawing/2014/main" id="{00000000-0008-0000-1600-000008000000}"/>
            </a:ext>
          </a:extLst>
        </xdr:cNvPr>
        <xdr:cNvSpPr>
          <a:spLocks noChangeArrowheads="1"/>
        </xdr:cNvSpPr>
      </xdr:nvSpPr>
      <xdr:spPr bwMode="auto">
        <a:xfrm>
          <a:off x="20298831"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27</xdr:col>
      <xdr:colOff>573617</xdr:colOff>
      <xdr:row>75</xdr:row>
      <xdr:rowOff>122462</xdr:rowOff>
    </xdr:from>
    <xdr:to>
      <xdr:col>30</xdr:col>
      <xdr:colOff>617009</xdr:colOff>
      <xdr:row>77</xdr:row>
      <xdr:rowOff>165384</xdr:rowOff>
    </xdr:to>
    <xdr:sp macro="" textlink="">
      <xdr:nvSpPr>
        <xdr:cNvPr id="11" name="AutoShape 13">
          <a:extLst>
            <a:ext uri="{FF2B5EF4-FFF2-40B4-BE49-F238E27FC236}">
              <a16:creationId xmlns:a16="http://schemas.microsoft.com/office/drawing/2014/main" id="{00000000-0008-0000-1600-00000B000000}"/>
            </a:ext>
          </a:extLst>
        </xdr:cNvPr>
        <xdr:cNvSpPr>
          <a:spLocks noChangeArrowheads="1"/>
        </xdr:cNvSpPr>
      </xdr:nvSpPr>
      <xdr:spPr bwMode="auto">
        <a:xfrm flipH="1">
          <a:off x="18226617" y="18421045"/>
          <a:ext cx="1980142" cy="508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567266</xdr:colOff>
      <xdr:row>84</xdr:row>
      <xdr:rowOff>69095</xdr:rowOff>
    </xdr:from>
    <xdr:to>
      <xdr:col>30</xdr:col>
      <xdr:colOff>610658</xdr:colOff>
      <xdr:row>86</xdr:row>
      <xdr:rowOff>101734</xdr:rowOff>
    </xdr:to>
    <xdr:sp macro="" textlink="">
      <xdr:nvSpPr>
        <xdr:cNvPr id="12" name="AutoShape 13">
          <a:extLst>
            <a:ext uri="{FF2B5EF4-FFF2-40B4-BE49-F238E27FC236}">
              <a16:creationId xmlns:a16="http://schemas.microsoft.com/office/drawing/2014/main" id="{00000000-0008-0000-1600-00000C000000}"/>
            </a:ext>
          </a:extLst>
        </xdr:cNvPr>
        <xdr:cNvSpPr>
          <a:spLocks noChangeArrowheads="1"/>
        </xdr:cNvSpPr>
      </xdr:nvSpPr>
      <xdr:spPr bwMode="auto">
        <a:xfrm flipH="1">
          <a:off x="18220266" y="20463178"/>
          <a:ext cx="1980142" cy="49830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560918</xdr:colOff>
      <xdr:row>66</xdr:row>
      <xdr:rowOff>110070</xdr:rowOff>
    </xdr:from>
    <xdr:to>
      <xdr:col>30</xdr:col>
      <xdr:colOff>604310</xdr:colOff>
      <xdr:row>68</xdr:row>
      <xdr:rowOff>209863</xdr:rowOff>
    </xdr:to>
    <xdr:sp macro="" textlink="">
      <xdr:nvSpPr>
        <xdr:cNvPr id="13" name="AutoShape 13">
          <a:extLst>
            <a:ext uri="{FF2B5EF4-FFF2-40B4-BE49-F238E27FC236}">
              <a16:creationId xmlns:a16="http://schemas.microsoft.com/office/drawing/2014/main" id="{00000000-0008-0000-1600-00000D000000}"/>
            </a:ext>
          </a:extLst>
        </xdr:cNvPr>
        <xdr:cNvSpPr>
          <a:spLocks noChangeArrowheads="1"/>
        </xdr:cNvSpPr>
      </xdr:nvSpPr>
      <xdr:spPr bwMode="auto">
        <a:xfrm flipH="1">
          <a:off x="18213918" y="16313153"/>
          <a:ext cx="1980142" cy="565460"/>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586317</xdr:colOff>
      <xdr:row>93</xdr:row>
      <xdr:rowOff>45670</xdr:rowOff>
    </xdr:from>
    <xdr:to>
      <xdr:col>30</xdr:col>
      <xdr:colOff>629709</xdr:colOff>
      <xdr:row>95</xdr:row>
      <xdr:rowOff>78007</xdr:rowOff>
    </xdr:to>
    <xdr:sp macro="" textlink="">
      <xdr:nvSpPr>
        <xdr:cNvPr id="14" name="AutoShape 13">
          <a:extLst>
            <a:ext uri="{FF2B5EF4-FFF2-40B4-BE49-F238E27FC236}">
              <a16:creationId xmlns:a16="http://schemas.microsoft.com/office/drawing/2014/main" id="{00000000-0008-0000-1600-00000E000000}"/>
            </a:ext>
          </a:extLst>
        </xdr:cNvPr>
        <xdr:cNvSpPr>
          <a:spLocks noChangeArrowheads="1"/>
        </xdr:cNvSpPr>
      </xdr:nvSpPr>
      <xdr:spPr bwMode="auto">
        <a:xfrm flipH="1">
          <a:off x="18239317" y="22535253"/>
          <a:ext cx="1980142" cy="498004"/>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twoCellAnchor editAs="oneCell">
    <xdr:from>
      <xdr:col>4</xdr:col>
      <xdr:colOff>16927</xdr:colOff>
      <xdr:row>65</xdr:row>
      <xdr:rowOff>58615</xdr:rowOff>
    </xdr:from>
    <xdr:to>
      <xdr:col>19</xdr:col>
      <xdr:colOff>0</xdr:colOff>
      <xdr:row>105</xdr:row>
      <xdr:rowOff>44450</xdr:rowOff>
    </xdr:to>
    <xdr:pic>
      <xdr:nvPicPr>
        <xdr:cNvPr id="9" name="Afbeelding 8">
          <a:extLst>
            <a:ext uri="{FF2B5EF4-FFF2-40B4-BE49-F238E27FC236}">
              <a16:creationId xmlns:a16="http://schemas.microsoft.com/office/drawing/2014/main" id="{00000000-0008-0000-16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88260" y="16018282"/>
          <a:ext cx="9190573" cy="93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455083</xdr:colOff>
      <xdr:row>67</xdr:row>
      <xdr:rowOff>14816</xdr:rowOff>
    </xdr:from>
    <xdr:to>
      <xdr:col>29</xdr:col>
      <xdr:colOff>571500</xdr:colOff>
      <xdr:row>103</xdr:row>
      <xdr:rowOff>137583</xdr:rowOff>
    </xdr:to>
    <xdr:graphicFrame macro="">
      <xdr:nvGraphicFramePr>
        <xdr:cNvPr id="2" name="Grafiek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15876</xdr:colOff>
      <xdr:row>3</xdr:row>
      <xdr:rowOff>15876</xdr:rowOff>
    </xdr:from>
    <xdr:to>
      <xdr:col>29</xdr:col>
      <xdr:colOff>571501</xdr:colOff>
      <xdr:row>29</xdr:row>
      <xdr:rowOff>15875</xdr:rowOff>
    </xdr:to>
    <xdr:graphicFrame macro="">
      <xdr:nvGraphicFramePr>
        <xdr:cNvPr id="4" name="Grafiek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89956</xdr:colOff>
      <xdr:row>6</xdr:row>
      <xdr:rowOff>222896</xdr:rowOff>
    </xdr:from>
    <xdr:to>
      <xdr:col>33</xdr:col>
      <xdr:colOff>129033</xdr:colOff>
      <xdr:row>10</xdr:row>
      <xdr:rowOff>2441</xdr:rowOff>
    </xdr:to>
    <xdr:sp macro="" textlink="">
      <xdr:nvSpPr>
        <xdr:cNvPr id="8" name="AutoShape 48">
          <a:hlinkClick xmlns:r="http://schemas.openxmlformats.org/officeDocument/2006/relationships" r:id="rId3"/>
          <a:extLst>
            <a:ext uri="{FF2B5EF4-FFF2-40B4-BE49-F238E27FC236}">
              <a16:creationId xmlns:a16="http://schemas.microsoft.com/office/drawing/2014/main" id="{00000000-0008-0000-1700-000008000000}"/>
            </a:ext>
          </a:extLst>
        </xdr:cNvPr>
        <xdr:cNvSpPr>
          <a:spLocks noChangeArrowheads="1"/>
        </xdr:cNvSpPr>
      </xdr:nvSpPr>
      <xdr:spPr bwMode="auto">
        <a:xfrm>
          <a:off x="20166539"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74081</xdr:colOff>
      <xdr:row>3</xdr:row>
      <xdr:rowOff>0</xdr:rowOff>
    </xdr:from>
    <xdr:to>
      <xdr:col>33</xdr:col>
      <xdr:colOff>113158</xdr:colOff>
      <xdr:row>6</xdr:row>
      <xdr:rowOff>54146</xdr:rowOff>
    </xdr:to>
    <xdr:sp macro="" textlink="">
      <xdr:nvSpPr>
        <xdr:cNvPr id="9" name="AutoShape 48">
          <a:hlinkClick xmlns:r="http://schemas.openxmlformats.org/officeDocument/2006/relationships" r:id="rId4"/>
          <a:extLst>
            <a:ext uri="{FF2B5EF4-FFF2-40B4-BE49-F238E27FC236}">
              <a16:creationId xmlns:a16="http://schemas.microsoft.com/office/drawing/2014/main" id="{00000000-0008-0000-1700-000009000000}"/>
            </a:ext>
          </a:extLst>
        </xdr:cNvPr>
        <xdr:cNvSpPr>
          <a:spLocks noChangeArrowheads="1"/>
        </xdr:cNvSpPr>
      </xdr:nvSpPr>
      <xdr:spPr bwMode="auto">
        <a:xfrm>
          <a:off x="20150664"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editAs="oneCell">
    <xdr:from>
      <xdr:col>4</xdr:col>
      <xdr:colOff>101595</xdr:colOff>
      <xdr:row>65</xdr:row>
      <xdr:rowOff>58615</xdr:rowOff>
    </xdr:from>
    <xdr:to>
      <xdr:col>19</xdr:col>
      <xdr:colOff>10580</xdr:colOff>
      <xdr:row>105</xdr:row>
      <xdr:rowOff>21167</xdr:rowOff>
    </xdr:to>
    <xdr:pic>
      <xdr:nvPicPr>
        <xdr:cNvPr id="10" name="Afbeelding 9">
          <a:extLst>
            <a:ext uri="{FF2B5EF4-FFF2-40B4-BE49-F238E27FC236}">
              <a16:creationId xmlns:a16="http://schemas.microsoft.com/office/drawing/2014/main" id="{00000000-0008-0000-17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72928" y="16018282"/>
          <a:ext cx="9116485" cy="9286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573617</xdr:colOff>
      <xdr:row>76</xdr:row>
      <xdr:rowOff>133055</xdr:rowOff>
    </xdr:from>
    <xdr:to>
      <xdr:col>30</xdr:col>
      <xdr:colOff>617009</xdr:colOff>
      <xdr:row>78</xdr:row>
      <xdr:rowOff>175978</xdr:rowOff>
    </xdr:to>
    <xdr:sp macro="" textlink="">
      <xdr:nvSpPr>
        <xdr:cNvPr id="12" name="AutoShape 13">
          <a:extLst>
            <a:ext uri="{FF2B5EF4-FFF2-40B4-BE49-F238E27FC236}">
              <a16:creationId xmlns:a16="http://schemas.microsoft.com/office/drawing/2014/main" id="{00000000-0008-0000-1700-00000C000000}"/>
            </a:ext>
          </a:extLst>
        </xdr:cNvPr>
        <xdr:cNvSpPr>
          <a:spLocks noChangeArrowheads="1"/>
        </xdr:cNvSpPr>
      </xdr:nvSpPr>
      <xdr:spPr bwMode="auto">
        <a:xfrm flipH="1">
          <a:off x="18163117" y="18664472"/>
          <a:ext cx="1884892" cy="508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567266</xdr:colOff>
      <xdr:row>84</xdr:row>
      <xdr:rowOff>227848</xdr:rowOff>
    </xdr:from>
    <xdr:to>
      <xdr:col>30</xdr:col>
      <xdr:colOff>610658</xdr:colOff>
      <xdr:row>87</xdr:row>
      <xdr:rowOff>27654</xdr:rowOff>
    </xdr:to>
    <xdr:sp macro="" textlink="">
      <xdr:nvSpPr>
        <xdr:cNvPr id="13" name="AutoShape 13">
          <a:extLst>
            <a:ext uri="{FF2B5EF4-FFF2-40B4-BE49-F238E27FC236}">
              <a16:creationId xmlns:a16="http://schemas.microsoft.com/office/drawing/2014/main" id="{00000000-0008-0000-1700-00000D000000}"/>
            </a:ext>
          </a:extLst>
        </xdr:cNvPr>
        <xdr:cNvSpPr>
          <a:spLocks noChangeArrowheads="1"/>
        </xdr:cNvSpPr>
      </xdr:nvSpPr>
      <xdr:spPr bwMode="auto">
        <a:xfrm flipH="1">
          <a:off x="18156766" y="20621931"/>
          <a:ext cx="1884892" cy="49830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550335</xdr:colOff>
      <xdr:row>67</xdr:row>
      <xdr:rowOff>184155</xdr:rowOff>
    </xdr:from>
    <xdr:to>
      <xdr:col>30</xdr:col>
      <xdr:colOff>593727</xdr:colOff>
      <xdr:row>70</xdr:row>
      <xdr:rowOff>51115</xdr:rowOff>
    </xdr:to>
    <xdr:sp macro="" textlink="">
      <xdr:nvSpPr>
        <xdr:cNvPr id="14" name="AutoShape 13">
          <a:extLst>
            <a:ext uri="{FF2B5EF4-FFF2-40B4-BE49-F238E27FC236}">
              <a16:creationId xmlns:a16="http://schemas.microsoft.com/office/drawing/2014/main" id="{00000000-0008-0000-1700-00000E000000}"/>
            </a:ext>
          </a:extLst>
        </xdr:cNvPr>
        <xdr:cNvSpPr>
          <a:spLocks noChangeArrowheads="1"/>
        </xdr:cNvSpPr>
      </xdr:nvSpPr>
      <xdr:spPr bwMode="auto">
        <a:xfrm flipH="1">
          <a:off x="18139835" y="16620072"/>
          <a:ext cx="1884892" cy="565460"/>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586317</xdr:colOff>
      <xdr:row>93</xdr:row>
      <xdr:rowOff>140928</xdr:rowOff>
    </xdr:from>
    <xdr:to>
      <xdr:col>30</xdr:col>
      <xdr:colOff>629709</xdr:colOff>
      <xdr:row>95</xdr:row>
      <xdr:rowOff>173265</xdr:rowOff>
    </xdr:to>
    <xdr:sp macro="" textlink="">
      <xdr:nvSpPr>
        <xdr:cNvPr id="15" name="AutoShape 13">
          <a:extLst>
            <a:ext uri="{FF2B5EF4-FFF2-40B4-BE49-F238E27FC236}">
              <a16:creationId xmlns:a16="http://schemas.microsoft.com/office/drawing/2014/main" id="{00000000-0008-0000-1700-00000F000000}"/>
            </a:ext>
          </a:extLst>
        </xdr:cNvPr>
        <xdr:cNvSpPr>
          <a:spLocks noChangeArrowheads="1"/>
        </xdr:cNvSpPr>
      </xdr:nvSpPr>
      <xdr:spPr bwMode="auto">
        <a:xfrm flipH="1">
          <a:off x="18175817" y="22630511"/>
          <a:ext cx="1884892" cy="498004"/>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718038</xdr:colOff>
      <xdr:row>4</xdr:row>
      <xdr:rowOff>87923</xdr:rowOff>
    </xdr:from>
    <xdr:to>
      <xdr:col>5</xdr:col>
      <xdr:colOff>387020</xdr:colOff>
      <xdr:row>40</xdr:row>
      <xdr:rowOff>102578</xdr:rowOff>
    </xdr:to>
    <xdr:graphicFrame macro="">
      <xdr:nvGraphicFramePr>
        <xdr:cNvPr id="2" name="Grafiek 9">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236904</xdr:colOff>
      <xdr:row>9</xdr:row>
      <xdr:rowOff>187325</xdr:rowOff>
    </xdr:from>
    <xdr:to>
      <xdr:col>4</xdr:col>
      <xdr:colOff>910004</xdr:colOff>
      <xdr:row>14</xdr:row>
      <xdr:rowOff>57150</xdr:rowOff>
    </xdr:to>
    <xdr:sp macro="" textlink="">
      <xdr:nvSpPr>
        <xdr:cNvPr id="4" name="AutoShape 5">
          <a:extLst>
            <a:ext uri="{FF2B5EF4-FFF2-40B4-BE49-F238E27FC236}">
              <a16:creationId xmlns:a16="http://schemas.microsoft.com/office/drawing/2014/main" id="{00000000-0008-0000-1800-000004000000}"/>
            </a:ext>
          </a:extLst>
        </xdr:cNvPr>
        <xdr:cNvSpPr>
          <a:spLocks noChangeArrowheads="1"/>
        </xdr:cNvSpPr>
      </xdr:nvSpPr>
      <xdr:spPr bwMode="auto">
        <a:xfrm>
          <a:off x="2827704" y="2562225"/>
          <a:ext cx="1600200" cy="1012825"/>
        </a:xfrm>
        <a:prstGeom prst="rightArrow">
          <a:avLst>
            <a:gd name="adj1" fmla="val 50000"/>
            <a:gd name="adj2" fmla="val 40196"/>
          </a:avLst>
        </a:prstGeom>
        <a:solidFill>
          <a:srgbClr val="FFFFFF"/>
        </a:solidFill>
        <a:ln w="9525" algn="ctr">
          <a:solidFill>
            <a:srgbClr val="000000"/>
          </a:solidFill>
          <a:miter lim="800000"/>
          <a:headEnd/>
          <a:tailEnd/>
        </a:ln>
      </xdr:spPr>
    </xdr:sp>
    <xdr:clientData/>
  </xdr:twoCellAnchor>
  <xdr:twoCellAnchor>
    <xdr:from>
      <xdr:col>2</xdr:col>
      <xdr:colOff>250825</xdr:colOff>
      <xdr:row>11</xdr:row>
      <xdr:rowOff>47625</xdr:rowOff>
    </xdr:from>
    <xdr:to>
      <xdr:col>4</xdr:col>
      <xdr:colOff>742950</xdr:colOff>
      <xdr:row>12</xdr:row>
      <xdr:rowOff>200025</xdr:rowOff>
    </xdr:to>
    <xdr:sp macro="" textlink="">
      <xdr:nvSpPr>
        <xdr:cNvPr id="5" name="Text Box 4">
          <a:extLst>
            <a:ext uri="{FF2B5EF4-FFF2-40B4-BE49-F238E27FC236}">
              <a16:creationId xmlns:a16="http://schemas.microsoft.com/office/drawing/2014/main" id="{00000000-0008-0000-1800-000005000000}"/>
            </a:ext>
          </a:extLst>
        </xdr:cNvPr>
        <xdr:cNvSpPr txBox="1">
          <a:spLocks noChangeArrowheads="1"/>
        </xdr:cNvSpPr>
      </xdr:nvSpPr>
      <xdr:spPr bwMode="auto">
        <a:xfrm>
          <a:off x="2841625" y="2879725"/>
          <a:ext cx="1419225" cy="381000"/>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2</xdr:col>
      <xdr:colOff>251558</xdr:colOff>
      <xdr:row>14</xdr:row>
      <xdr:rowOff>66675</xdr:rowOff>
    </xdr:from>
    <xdr:to>
      <xdr:col>4</xdr:col>
      <xdr:colOff>924658</xdr:colOff>
      <xdr:row>19</xdr:row>
      <xdr:rowOff>28575</xdr:rowOff>
    </xdr:to>
    <xdr:sp macro="" textlink="">
      <xdr:nvSpPr>
        <xdr:cNvPr id="6" name="AutoShape 7">
          <a:extLst>
            <a:ext uri="{FF2B5EF4-FFF2-40B4-BE49-F238E27FC236}">
              <a16:creationId xmlns:a16="http://schemas.microsoft.com/office/drawing/2014/main" id="{00000000-0008-0000-1800-000006000000}"/>
            </a:ext>
          </a:extLst>
        </xdr:cNvPr>
        <xdr:cNvSpPr>
          <a:spLocks noChangeArrowheads="1"/>
        </xdr:cNvSpPr>
      </xdr:nvSpPr>
      <xdr:spPr bwMode="auto">
        <a:xfrm>
          <a:off x="2842358" y="3584575"/>
          <a:ext cx="1600200" cy="1104900"/>
        </a:xfrm>
        <a:prstGeom prst="rightArrow">
          <a:avLst>
            <a:gd name="adj1" fmla="val 50000"/>
            <a:gd name="adj2" fmla="val 38318"/>
          </a:avLst>
        </a:prstGeom>
        <a:solidFill>
          <a:srgbClr val="FFFFFF"/>
        </a:solidFill>
        <a:ln w="9525" algn="ctr">
          <a:solidFill>
            <a:srgbClr val="000000"/>
          </a:solidFill>
          <a:miter lim="800000"/>
          <a:headEnd/>
          <a:tailEnd/>
        </a:ln>
      </xdr:spPr>
    </xdr:sp>
    <xdr:clientData/>
  </xdr:twoCellAnchor>
  <xdr:twoCellAnchor>
    <xdr:from>
      <xdr:col>2</xdr:col>
      <xdr:colOff>266700</xdr:colOff>
      <xdr:row>15</xdr:row>
      <xdr:rowOff>209550</xdr:rowOff>
    </xdr:from>
    <xdr:to>
      <xdr:col>4</xdr:col>
      <xdr:colOff>692150</xdr:colOff>
      <xdr:row>17</xdr:row>
      <xdr:rowOff>139621</xdr:rowOff>
    </xdr:to>
    <xdr:sp macro="" textlink="">
      <xdr:nvSpPr>
        <xdr:cNvPr id="7" name="Text Box 8">
          <a:extLst>
            <a:ext uri="{FF2B5EF4-FFF2-40B4-BE49-F238E27FC236}">
              <a16:creationId xmlns:a16="http://schemas.microsoft.com/office/drawing/2014/main" id="{00000000-0008-0000-1800-000007000000}"/>
            </a:ext>
          </a:extLst>
        </xdr:cNvPr>
        <xdr:cNvSpPr txBox="1">
          <a:spLocks noChangeArrowheads="1"/>
        </xdr:cNvSpPr>
      </xdr:nvSpPr>
      <xdr:spPr bwMode="auto">
        <a:xfrm>
          <a:off x="2857500" y="3956050"/>
          <a:ext cx="1352550" cy="387271"/>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2</xdr:col>
      <xdr:colOff>249604</xdr:colOff>
      <xdr:row>19</xdr:row>
      <xdr:rowOff>38100</xdr:rowOff>
    </xdr:from>
    <xdr:to>
      <xdr:col>4</xdr:col>
      <xdr:colOff>922704</xdr:colOff>
      <xdr:row>24</xdr:row>
      <xdr:rowOff>28575</xdr:rowOff>
    </xdr:to>
    <xdr:sp macro="" textlink="">
      <xdr:nvSpPr>
        <xdr:cNvPr id="8" name="AutoShape 9">
          <a:extLst>
            <a:ext uri="{FF2B5EF4-FFF2-40B4-BE49-F238E27FC236}">
              <a16:creationId xmlns:a16="http://schemas.microsoft.com/office/drawing/2014/main" id="{00000000-0008-0000-1800-000008000000}"/>
            </a:ext>
          </a:extLst>
        </xdr:cNvPr>
        <xdr:cNvSpPr>
          <a:spLocks noChangeArrowheads="1"/>
        </xdr:cNvSpPr>
      </xdr:nvSpPr>
      <xdr:spPr bwMode="auto">
        <a:xfrm>
          <a:off x="2840404" y="4699000"/>
          <a:ext cx="1600200" cy="1095375"/>
        </a:xfrm>
        <a:prstGeom prst="rightArrow">
          <a:avLst>
            <a:gd name="adj1" fmla="val 50000"/>
            <a:gd name="adj2" fmla="val 37615"/>
          </a:avLst>
        </a:prstGeom>
        <a:solidFill>
          <a:srgbClr val="FFFFFF"/>
        </a:solidFill>
        <a:ln w="9525" algn="ctr">
          <a:solidFill>
            <a:srgbClr val="000000"/>
          </a:solidFill>
          <a:miter lim="800000"/>
          <a:headEnd/>
          <a:tailEnd/>
        </a:ln>
      </xdr:spPr>
    </xdr:sp>
    <xdr:clientData/>
  </xdr:twoCellAnchor>
  <xdr:twoCellAnchor>
    <xdr:from>
      <xdr:col>2</xdr:col>
      <xdr:colOff>266700</xdr:colOff>
      <xdr:row>20</xdr:row>
      <xdr:rowOff>174625</xdr:rowOff>
    </xdr:from>
    <xdr:to>
      <xdr:col>4</xdr:col>
      <xdr:colOff>777875</xdr:colOff>
      <xdr:row>22</xdr:row>
      <xdr:rowOff>127000</xdr:rowOff>
    </xdr:to>
    <xdr:sp macro="" textlink="">
      <xdr:nvSpPr>
        <xdr:cNvPr id="9" name="Text Box 10">
          <a:extLst>
            <a:ext uri="{FF2B5EF4-FFF2-40B4-BE49-F238E27FC236}">
              <a16:creationId xmlns:a16="http://schemas.microsoft.com/office/drawing/2014/main" id="{00000000-0008-0000-1800-000009000000}"/>
            </a:ext>
          </a:extLst>
        </xdr:cNvPr>
        <xdr:cNvSpPr txBox="1">
          <a:spLocks noChangeArrowheads="1"/>
        </xdr:cNvSpPr>
      </xdr:nvSpPr>
      <xdr:spPr bwMode="auto">
        <a:xfrm>
          <a:off x="2857500" y="5064125"/>
          <a:ext cx="1438275" cy="4095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2</xdr:col>
      <xdr:colOff>234950</xdr:colOff>
      <xdr:row>24</xdr:row>
      <xdr:rowOff>28575</xdr:rowOff>
    </xdr:from>
    <xdr:to>
      <xdr:col>4</xdr:col>
      <xdr:colOff>908050</xdr:colOff>
      <xdr:row>29</xdr:row>
      <xdr:rowOff>19050</xdr:rowOff>
    </xdr:to>
    <xdr:sp macro="" textlink="">
      <xdr:nvSpPr>
        <xdr:cNvPr id="10" name="AutoShape 11">
          <a:extLst>
            <a:ext uri="{FF2B5EF4-FFF2-40B4-BE49-F238E27FC236}">
              <a16:creationId xmlns:a16="http://schemas.microsoft.com/office/drawing/2014/main" id="{00000000-0008-0000-1800-00000A000000}"/>
            </a:ext>
          </a:extLst>
        </xdr:cNvPr>
        <xdr:cNvSpPr>
          <a:spLocks noChangeArrowheads="1"/>
        </xdr:cNvSpPr>
      </xdr:nvSpPr>
      <xdr:spPr bwMode="auto">
        <a:xfrm>
          <a:off x="2825750" y="5794375"/>
          <a:ext cx="1600200" cy="1108075"/>
        </a:xfrm>
        <a:prstGeom prst="rightArrow">
          <a:avLst>
            <a:gd name="adj1" fmla="val 50000"/>
            <a:gd name="adj2" fmla="val 35652"/>
          </a:avLst>
        </a:prstGeom>
        <a:solidFill>
          <a:srgbClr val="FFFFFF"/>
        </a:solidFill>
        <a:ln w="9525" algn="ctr">
          <a:solidFill>
            <a:srgbClr val="000000"/>
          </a:solidFill>
          <a:miter lim="800000"/>
          <a:headEnd/>
          <a:tailEnd/>
        </a:ln>
      </xdr:spPr>
    </xdr:sp>
    <xdr:clientData/>
  </xdr:twoCellAnchor>
  <xdr:twoCellAnchor>
    <xdr:from>
      <xdr:col>2</xdr:col>
      <xdr:colOff>266700</xdr:colOff>
      <xdr:row>25</xdr:row>
      <xdr:rowOff>190500</xdr:rowOff>
    </xdr:from>
    <xdr:to>
      <xdr:col>4</xdr:col>
      <xdr:colOff>1054100</xdr:colOff>
      <xdr:row>27</xdr:row>
      <xdr:rowOff>79375</xdr:rowOff>
    </xdr:to>
    <xdr:sp macro="" textlink="">
      <xdr:nvSpPr>
        <xdr:cNvPr id="11" name="Text Box 12">
          <a:extLst>
            <a:ext uri="{FF2B5EF4-FFF2-40B4-BE49-F238E27FC236}">
              <a16:creationId xmlns:a16="http://schemas.microsoft.com/office/drawing/2014/main" id="{00000000-0008-0000-1800-00000B000000}"/>
            </a:ext>
          </a:extLst>
        </xdr:cNvPr>
        <xdr:cNvSpPr txBox="1">
          <a:spLocks noChangeArrowheads="1"/>
        </xdr:cNvSpPr>
      </xdr:nvSpPr>
      <xdr:spPr bwMode="auto">
        <a:xfrm>
          <a:off x="2857500" y="6184900"/>
          <a:ext cx="1714500" cy="3460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2</xdr:col>
      <xdr:colOff>241300</xdr:colOff>
      <xdr:row>29</xdr:row>
      <xdr:rowOff>50800</xdr:rowOff>
    </xdr:from>
    <xdr:to>
      <xdr:col>4</xdr:col>
      <xdr:colOff>911959</xdr:colOff>
      <xdr:row>34</xdr:row>
      <xdr:rowOff>41275</xdr:rowOff>
    </xdr:to>
    <xdr:sp macro="" textlink="">
      <xdr:nvSpPr>
        <xdr:cNvPr id="12" name="AutoShape 13">
          <a:extLst>
            <a:ext uri="{FF2B5EF4-FFF2-40B4-BE49-F238E27FC236}">
              <a16:creationId xmlns:a16="http://schemas.microsoft.com/office/drawing/2014/main" id="{00000000-0008-0000-1800-00000C000000}"/>
            </a:ext>
          </a:extLst>
        </xdr:cNvPr>
        <xdr:cNvSpPr>
          <a:spLocks noChangeArrowheads="1"/>
        </xdr:cNvSpPr>
      </xdr:nvSpPr>
      <xdr:spPr bwMode="auto">
        <a:xfrm>
          <a:off x="2832100" y="6934200"/>
          <a:ext cx="1597759" cy="1133475"/>
        </a:xfrm>
        <a:prstGeom prst="rightArrow">
          <a:avLst>
            <a:gd name="adj1" fmla="val 50000"/>
            <a:gd name="adj2" fmla="val 34691"/>
          </a:avLst>
        </a:prstGeom>
        <a:solidFill>
          <a:srgbClr val="FFFFFF"/>
        </a:solidFill>
        <a:ln w="9525" algn="ctr">
          <a:solidFill>
            <a:srgbClr val="000000"/>
          </a:solidFill>
          <a:miter lim="800000"/>
          <a:headEnd/>
          <a:tailEnd/>
        </a:ln>
      </xdr:spPr>
    </xdr:sp>
    <xdr:clientData/>
  </xdr:twoCellAnchor>
  <xdr:twoCellAnchor>
    <xdr:from>
      <xdr:col>2</xdr:col>
      <xdr:colOff>266700</xdr:colOff>
      <xdr:row>30</xdr:row>
      <xdr:rowOff>123825</xdr:rowOff>
    </xdr:from>
    <xdr:to>
      <xdr:col>4</xdr:col>
      <xdr:colOff>803275</xdr:colOff>
      <xdr:row>32</xdr:row>
      <xdr:rowOff>209550</xdr:rowOff>
    </xdr:to>
    <xdr:sp macro="" textlink="">
      <xdr:nvSpPr>
        <xdr:cNvPr id="13" name="Text Box 14">
          <a:extLst>
            <a:ext uri="{FF2B5EF4-FFF2-40B4-BE49-F238E27FC236}">
              <a16:creationId xmlns:a16="http://schemas.microsoft.com/office/drawing/2014/main" id="{00000000-0008-0000-1800-00000D000000}"/>
            </a:ext>
          </a:extLst>
        </xdr:cNvPr>
        <xdr:cNvSpPr txBox="1">
          <a:spLocks noChangeArrowheads="1"/>
        </xdr:cNvSpPr>
      </xdr:nvSpPr>
      <xdr:spPr bwMode="auto">
        <a:xfrm>
          <a:off x="2857500" y="7235825"/>
          <a:ext cx="1463675" cy="54292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PRO / </a:t>
          </a:r>
          <a:r>
            <a:rPr lang="nl-NL" sz="1100" b="0" i="0" u="none" strike="noStrike" baseline="0">
              <a:solidFill>
                <a:schemeClr val="tx1"/>
              </a:solidFill>
              <a:latin typeface="Comic Sans MS"/>
            </a:rPr>
            <a:t>BASIS</a:t>
          </a:r>
          <a:r>
            <a:rPr lang="nl-NL" sz="1100" b="0" i="0" u="none" strike="noStrike" baseline="0">
              <a:solidFill>
                <a:srgbClr val="000000"/>
              </a:solidFill>
              <a:latin typeface="Comic Sans MS"/>
            </a:rPr>
            <a:t> = E6</a:t>
          </a:r>
          <a:endParaRPr lang="nl-NL"/>
        </a:p>
      </xdr:txBody>
    </xdr:sp>
    <xdr:clientData/>
  </xdr:twoCellAnchor>
  <xdr:twoCellAnchor>
    <xdr:from>
      <xdr:col>2</xdr:col>
      <xdr:colOff>236904</xdr:colOff>
      <xdr:row>5</xdr:row>
      <xdr:rowOff>47625</xdr:rowOff>
    </xdr:from>
    <xdr:to>
      <xdr:col>4</xdr:col>
      <xdr:colOff>910004</xdr:colOff>
      <xdr:row>9</xdr:row>
      <xdr:rowOff>190500</xdr:rowOff>
    </xdr:to>
    <xdr:sp macro="" textlink="">
      <xdr:nvSpPr>
        <xdr:cNvPr id="14" name="AutoShape 15">
          <a:extLst>
            <a:ext uri="{FF2B5EF4-FFF2-40B4-BE49-F238E27FC236}">
              <a16:creationId xmlns:a16="http://schemas.microsoft.com/office/drawing/2014/main" id="{00000000-0008-0000-1800-00000E000000}"/>
            </a:ext>
          </a:extLst>
        </xdr:cNvPr>
        <xdr:cNvSpPr>
          <a:spLocks noChangeArrowheads="1"/>
        </xdr:cNvSpPr>
      </xdr:nvSpPr>
      <xdr:spPr bwMode="auto">
        <a:xfrm>
          <a:off x="2827704" y="1508125"/>
          <a:ext cx="1600200" cy="1057275"/>
        </a:xfrm>
        <a:prstGeom prst="rightArrow">
          <a:avLst>
            <a:gd name="adj1" fmla="val 50000"/>
            <a:gd name="adj2" fmla="val 38679"/>
          </a:avLst>
        </a:prstGeom>
        <a:solidFill>
          <a:srgbClr val="FFFFFF"/>
        </a:solidFill>
        <a:ln w="9525" algn="ctr">
          <a:solidFill>
            <a:srgbClr val="000000"/>
          </a:solidFill>
          <a:miter lim="800000"/>
          <a:headEnd/>
          <a:tailEnd/>
        </a:ln>
      </xdr:spPr>
    </xdr:sp>
    <xdr:clientData/>
  </xdr:twoCellAnchor>
  <xdr:twoCellAnchor>
    <xdr:from>
      <xdr:col>2</xdr:col>
      <xdr:colOff>260350</xdr:colOff>
      <xdr:row>6</xdr:row>
      <xdr:rowOff>142875</xdr:rowOff>
    </xdr:from>
    <xdr:to>
      <xdr:col>4</xdr:col>
      <xdr:colOff>752475</xdr:colOff>
      <xdr:row>8</xdr:row>
      <xdr:rowOff>95250</xdr:rowOff>
    </xdr:to>
    <xdr:sp macro="" textlink="">
      <xdr:nvSpPr>
        <xdr:cNvPr id="15" name="Text Box 16">
          <a:extLst>
            <a:ext uri="{FF2B5EF4-FFF2-40B4-BE49-F238E27FC236}">
              <a16:creationId xmlns:a16="http://schemas.microsoft.com/office/drawing/2014/main" id="{00000000-0008-0000-1800-00000F000000}"/>
            </a:ext>
          </a:extLst>
        </xdr:cNvPr>
        <xdr:cNvSpPr txBox="1">
          <a:spLocks noChangeArrowheads="1"/>
        </xdr:cNvSpPr>
      </xdr:nvSpPr>
      <xdr:spPr bwMode="auto">
        <a:xfrm>
          <a:off x="2851150" y="1831975"/>
          <a:ext cx="1419225" cy="4095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5</xdr:col>
      <xdr:colOff>334108</xdr:colOff>
      <xdr:row>4</xdr:row>
      <xdr:rowOff>205155</xdr:rowOff>
    </xdr:from>
    <xdr:to>
      <xdr:col>6</xdr:col>
      <xdr:colOff>550008</xdr:colOff>
      <xdr:row>16</xdr:row>
      <xdr:rowOff>219808</xdr:rowOff>
    </xdr:to>
    <xdr:sp macro="" textlink="">
      <xdr:nvSpPr>
        <xdr:cNvPr id="21" name="PIJL-OMHOOG 20">
          <a:extLst>
            <a:ext uri="{FF2B5EF4-FFF2-40B4-BE49-F238E27FC236}">
              <a16:creationId xmlns:a16="http://schemas.microsoft.com/office/drawing/2014/main" id="{00000000-0008-0000-1800-000015000000}"/>
            </a:ext>
          </a:extLst>
        </xdr:cNvPr>
        <xdr:cNvSpPr/>
      </xdr:nvSpPr>
      <xdr:spPr bwMode="auto">
        <a:xfrm>
          <a:off x="4891454" y="1318847"/>
          <a:ext cx="772746" cy="3004038"/>
        </a:xfrm>
        <a:prstGeom prst="upArrow">
          <a:avLst/>
        </a:prstGeom>
        <a:gradFill>
          <a:gsLst>
            <a:gs pos="0">
              <a:srgbClr val="0066FF"/>
            </a:gs>
            <a:gs pos="100000">
              <a:srgbClr val="002060"/>
            </a:gs>
          </a:gsLst>
        </a:gradFill>
        <a:ln>
          <a:solidFill>
            <a:schemeClr val="tx1"/>
          </a:solidFill>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horzOverflow="clip" vert="vert270" wrap="square" lIns="18288" tIns="0" rIns="0" bIns="0" rtlCol="0" anchor="ctr" upright="1"/>
        <a:lstStyle/>
        <a:p>
          <a:pPr algn="ctr"/>
          <a:r>
            <a:rPr lang="nl-NL" sz="1200">
              <a:solidFill>
                <a:schemeClr val="bg1"/>
              </a:solidFill>
              <a:latin typeface="Comic Sans MS" panose="030F0702030302020204" pitchFamily="66" charset="0"/>
            </a:rPr>
            <a:t>2F /</a:t>
          </a:r>
          <a:r>
            <a:rPr lang="nl-NL" sz="1200" baseline="0">
              <a:solidFill>
                <a:schemeClr val="bg1"/>
              </a:solidFill>
              <a:latin typeface="Comic Sans MS" panose="030F0702030302020204" pitchFamily="66" charset="0"/>
            </a:rPr>
            <a:t> 1S</a:t>
          </a:r>
          <a:endParaRPr lang="nl-NL" sz="1200">
            <a:solidFill>
              <a:schemeClr val="bg1"/>
            </a:solidFill>
            <a:latin typeface="Comic Sans MS" panose="030F0702030302020204" pitchFamily="66" charset="0"/>
          </a:endParaRPr>
        </a:p>
      </xdr:txBody>
    </xdr:sp>
    <xdr:clientData/>
  </xdr:twoCellAnchor>
  <xdr:twoCellAnchor>
    <xdr:from>
      <xdr:col>5</xdr:col>
      <xdr:colOff>332154</xdr:colOff>
      <xdr:row>15</xdr:row>
      <xdr:rowOff>14653</xdr:rowOff>
    </xdr:from>
    <xdr:to>
      <xdr:col>6</xdr:col>
      <xdr:colOff>548054</xdr:colOff>
      <xdr:row>29</xdr:row>
      <xdr:rowOff>73269</xdr:rowOff>
    </xdr:to>
    <xdr:sp macro="" textlink="">
      <xdr:nvSpPr>
        <xdr:cNvPr id="20" name="PIJL-OMHOOG 19">
          <a:extLst>
            <a:ext uri="{FF2B5EF4-FFF2-40B4-BE49-F238E27FC236}">
              <a16:creationId xmlns:a16="http://schemas.microsoft.com/office/drawing/2014/main" id="{00000000-0008-0000-1800-000014000000}"/>
            </a:ext>
          </a:extLst>
        </xdr:cNvPr>
        <xdr:cNvSpPr/>
      </xdr:nvSpPr>
      <xdr:spPr bwMode="auto">
        <a:xfrm>
          <a:off x="4889500" y="3868615"/>
          <a:ext cx="772746" cy="3443654"/>
        </a:xfrm>
        <a:prstGeom prst="upArrow">
          <a:avLst/>
        </a:prstGeom>
        <a:gradFill>
          <a:gsLst>
            <a:gs pos="83000">
              <a:srgbClr val="CCFFFF"/>
            </a:gs>
            <a:gs pos="53000">
              <a:srgbClr val="CCFFFF"/>
            </a:gs>
            <a:gs pos="0">
              <a:srgbClr val="00FF00"/>
            </a:gs>
            <a:gs pos="100000">
              <a:srgbClr val="0070C0"/>
            </a:gs>
          </a:gsLst>
        </a:gradFill>
        <a:ln>
          <a:solidFill>
            <a:schemeClr val="tx1"/>
          </a:solidFill>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horzOverflow="clip" vert="vert270" wrap="square" lIns="18288" tIns="0" rIns="0" bIns="0" rtlCol="0" anchor="ctr" upright="1"/>
        <a:lstStyle/>
        <a:p>
          <a:pPr algn="ctr"/>
          <a:r>
            <a:rPr lang="nl-NL" sz="1200" b="0">
              <a:latin typeface="Comic Sans MS" panose="030F0702030302020204" pitchFamily="66" charset="0"/>
            </a:rPr>
            <a:t>1F</a:t>
          </a:r>
        </a:p>
      </xdr:txBody>
    </xdr:sp>
    <xdr:clientData/>
  </xdr:twoCellAnchor>
  <xdr:twoCellAnchor>
    <xdr:from>
      <xdr:col>5</xdr:col>
      <xdr:colOff>317500</xdr:colOff>
      <xdr:row>27</xdr:row>
      <xdr:rowOff>165100</xdr:rowOff>
    </xdr:from>
    <xdr:to>
      <xdr:col>6</xdr:col>
      <xdr:colOff>533400</xdr:colOff>
      <xdr:row>39</xdr:row>
      <xdr:rowOff>249114</xdr:rowOff>
    </xdr:to>
    <xdr:sp macro="" textlink="">
      <xdr:nvSpPr>
        <xdr:cNvPr id="22" name="PIJL-OMHOOG 21">
          <a:extLst>
            <a:ext uri="{FF2B5EF4-FFF2-40B4-BE49-F238E27FC236}">
              <a16:creationId xmlns:a16="http://schemas.microsoft.com/office/drawing/2014/main" id="{00000000-0008-0000-1800-000016000000}"/>
            </a:ext>
          </a:extLst>
        </xdr:cNvPr>
        <xdr:cNvSpPr/>
      </xdr:nvSpPr>
      <xdr:spPr bwMode="auto">
        <a:xfrm>
          <a:off x="4874846" y="6949831"/>
          <a:ext cx="772746" cy="3029437"/>
        </a:xfrm>
        <a:prstGeom prst="upArrow">
          <a:avLst/>
        </a:prstGeom>
        <a:gradFill>
          <a:gsLst>
            <a:gs pos="35000">
              <a:srgbClr val="FFFF99"/>
            </a:gs>
            <a:gs pos="0">
              <a:srgbClr val="FFFFCC"/>
            </a:gs>
            <a:gs pos="82000">
              <a:srgbClr val="FFFF99"/>
            </a:gs>
            <a:gs pos="100000">
              <a:srgbClr val="00FF00"/>
            </a:gs>
          </a:gsLst>
        </a:gradFill>
        <a:ln>
          <a:solidFill>
            <a:schemeClr val="tx1"/>
          </a:solidFill>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horzOverflow="clip" vert="vert270" wrap="square" lIns="18288" tIns="0" rIns="0" bIns="0" rtlCol="0" anchor="ctr" upright="1"/>
        <a:lstStyle/>
        <a:p>
          <a:pPr algn="ctr"/>
          <a:r>
            <a:rPr lang="nl-NL" sz="1200">
              <a:latin typeface="Comic Sans MS" panose="030F0702030302020204" pitchFamily="66" charset="0"/>
            </a:rPr>
            <a:t>naar 1F - 2F - 1S</a:t>
          </a:r>
        </a:p>
      </xdr:txBody>
    </xdr:sp>
    <xdr:clientData/>
  </xdr:twoCellAnchor>
  <xdr:twoCellAnchor>
    <xdr:from>
      <xdr:col>7</xdr:col>
      <xdr:colOff>8881</xdr:colOff>
      <xdr:row>5</xdr:row>
      <xdr:rowOff>13433</xdr:rowOff>
    </xdr:from>
    <xdr:to>
      <xdr:col>30</xdr:col>
      <xdr:colOff>6794</xdr:colOff>
      <xdr:row>40</xdr:row>
      <xdr:rowOff>42741</xdr:rowOff>
    </xdr:to>
    <xdr:graphicFrame macro="">
      <xdr:nvGraphicFramePr>
        <xdr:cNvPr id="16" name="Grafiek 15">
          <a:extLst>
            <a:ext uri="{FF2B5EF4-FFF2-40B4-BE49-F238E27FC236}">
              <a16:creationId xmlns:a16="http://schemas.microsoft.com/office/drawing/2014/main" id="{00000000-0008-0000-18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15875</xdr:colOff>
      <xdr:row>8</xdr:row>
      <xdr:rowOff>208242</xdr:rowOff>
    </xdr:from>
    <xdr:to>
      <xdr:col>33</xdr:col>
      <xdr:colOff>79375</xdr:colOff>
      <xdr:row>11</xdr:row>
      <xdr:rowOff>222249</xdr:rowOff>
    </xdr:to>
    <xdr:sp macro="" textlink="">
      <xdr:nvSpPr>
        <xdr:cNvPr id="23" name="AutoShape 48">
          <a:hlinkClick xmlns:r="http://schemas.openxmlformats.org/officeDocument/2006/relationships" r:id="rId3"/>
          <a:extLst>
            <a:ext uri="{FF2B5EF4-FFF2-40B4-BE49-F238E27FC236}">
              <a16:creationId xmlns:a16="http://schemas.microsoft.com/office/drawing/2014/main" id="{00000000-0008-0000-1800-000017000000}"/>
            </a:ext>
          </a:extLst>
        </xdr:cNvPr>
        <xdr:cNvSpPr>
          <a:spLocks noChangeArrowheads="1"/>
        </xdr:cNvSpPr>
      </xdr:nvSpPr>
      <xdr:spPr bwMode="auto">
        <a:xfrm>
          <a:off x="20621625" y="2351367"/>
          <a:ext cx="1270000" cy="77600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0</xdr:colOff>
      <xdr:row>5</xdr:row>
      <xdr:rowOff>0</xdr:rowOff>
    </xdr:from>
    <xdr:to>
      <xdr:col>33</xdr:col>
      <xdr:colOff>63500</xdr:colOff>
      <xdr:row>8</xdr:row>
      <xdr:rowOff>39492</xdr:rowOff>
    </xdr:to>
    <xdr:sp macro="" textlink="">
      <xdr:nvSpPr>
        <xdr:cNvPr id="24" name="AutoShape 48">
          <a:hlinkClick xmlns:r="http://schemas.openxmlformats.org/officeDocument/2006/relationships" r:id="rId4"/>
          <a:extLst>
            <a:ext uri="{FF2B5EF4-FFF2-40B4-BE49-F238E27FC236}">
              <a16:creationId xmlns:a16="http://schemas.microsoft.com/office/drawing/2014/main" id="{00000000-0008-0000-1800-000018000000}"/>
            </a:ext>
          </a:extLst>
        </xdr:cNvPr>
        <xdr:cNvSpPr>
          <a:spLocks noChangeArrowheads="1"/>
        </xdr:cNvSpPr>
      </xdr:nvSpPr>
      <xdr:spPr bwMode="auto">
        <a:xfrm>
          <a:off x="20605750" y="1381125"/>
          <a:ext cx="1270000" cy="801492"/>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7</xdr:col>
      <xdr:colOff>35323</xdr:colOff>
      <xdr:row>41</xdr:row>
      <xdr:rowOff>29757</xdr:rowOff>
    </xdr:from>
    <xdr:to>
      <xdr:col>30</xdr:col>
      <xdr:colOff>-1</xdr:colOff>
      <xdr:row>55</xdr:row>
      <xdr:rowOff>207670</xdr:rowOff>
    </xdr:to>
    <xdr:graphicFrame macro="">
      <xdr:nvGraphicFramePr>
        <xdr:cNvPr id="19" name="Grafiek 18">
          <a:extLst>
            <a:ext uri="{FF2B5EF4-FFF2-40B4-BE49-F238E27FC236}">
              <a16:creationId xmlns:a16="http://schemas.microsoft.com/office/drawing/2014/main" id="{00000000-0008-0000-18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201082</xdr:colOff>
      <xdr:row>44</xdr:row>
      <xdr:rowOff>45516</xdr:rowOff>
    </xdr:from>
    <xdr:to>
      <xdr:col>29</xdr:col>
      <xdr:colOff>282574</xdr:colOff>
      <xdr:row>46</xdr:row>
      <xdr:rowOff>87832</xdr:rowOff>
    </xdr:to>
    <xdr:sp macro="" textlink="">
      <xdr:nvSpPr>
        <xdr:cNvPr id="29" name="AutoShape 13">
          <a:extLst>
            <a:ext uri="{FF2B5EF4-FFF2-40B4-BE49-F238E27FC236}">
              <a16:creationId xmlns:a16="http://schemas.microsoft.com/office/drawing/2014/main" id="{00000000-0008-0000-1800-00001D000000}"/>
            </a:ext>
          </a:extLst>
        </xdr:cNvPr>
        <xdr:cNvSpPr>
          <a:spLocks noChangeArrowheads="1"/>
        </xdr:cNvSpPr>
      </xdr:nvSpPr>
      <xdr:spPr bwMode="auto">
        <a:xfrm flipH="1">
          <a:off x="17806457" y="11364391"/>
          <a:ext cx="1891242" cy="55031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26</xdr:col>
      <xdr:colOff>205315</xdr:colOff>
      <xdr:row>46</xdr:row>
      <xdr:rowOff>224373</xdr:rowOff>
    </xdr:from>
    <xdr:to>
      <xdr:col>29</xdr:col>
      <xdr:colOff>286807</xdr:colOff>
      <xdr:row>49</xdr:row>
      <xdr:rowOff>33856</xdr:rowOff>
    </xdr:to>
    <xdr:sp macro="" textlink="">
      <xdr:nvSpPr>
        <xdr:cNvPr id="26" name="AutoShape 13">
          <a:extLst>
            <a:ext uri="{FF2B5EF4-FFF2-40B4-BE49-F238E27FC236}">
              <a16:creationId xmlns:a16="http://schemas.microsoft.com/office/drawing/2014/main" id="{00000000-0008-0000-1800-00001A000000}"/>
            </a:ext>
          </a:extLst>
        </xdr:cNvPr>
        <xdr:cNvSpPr>
          <a:spLocks noChangeArrowheads="1"/>
        </xdr:cNvSpPr>
      </xdr:nvSpPr>
      <xdr:spPr bwMode="auto">
        <a:xfrm flipH="1">
          <a:off x="17810690" y="12051248"/>
          <a:ext cx="1891242" cy="571483"/>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26</xdr:col>
      <xdr:colOff>188382</xdr:colOff>
      <xdr:row>41</xdr:row>
      <xdr:rowOff>106897</xdr:rowOff>
    </xdr:from>
    <xdr:to>
      <xdr:col>29</xdr:col>
      <xdr:colOff>269874</xdr:colOff>
      <xdr:row>43</xdr:row>
      <xdr:rowOff>158611</xdr:rowOff>
    </xdr:to>
    <xdr:sp macro="" textlink="">
      <xdr:nvSpPr>
        <xdr:cNvPr id="27" name="AutoShape 13">
          <a:extLst>
            <a:ext uri="{FF2B5EF4-FFF2-40B4-BE49-F238E27FC236}">
              <a16:creationId xmlns:a16="http://schemas.microsoft.com/office/drawing/2014/main" id="{00000000-0008-0000-1800-00001B000000}"/>
            </a:ext>
          </a:extLst>
        </xdr:cNvPr>
        <xdr:cNvSpPr>
          <a:spLocks noChangeArrowheads="1"/>
        </xdr:cNvSpPr>
      </xdr:nvSpPr>
      <xdr:spPr bwMode="auto">
        <a:xfrm flipH="1">
          <a:off x="17793757" y="10647897"/>
          <a:ext cx="1891242" cy="575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26</xdr:col>
      <xdr:colOff>213782</xdr:colOff>
      <xdr:row>49</xdr:row>
      <xdr:rowOff>185228</xdr:rowOff>
    </xdr:from>
    <xdr:to>
      <xdr:col>29</xdr:col>
      <xdr:colOff>295274</xdr:colOff>
      <xdr:row>51</xdr:row>
      <xdr:rowOff>227544</xdr:rowOff>
    </xdr:to>
    <xdr:sp macro="" textlink="">
      <xdr:nvSpPr>
        <xdr:cNvPr id="31" name="AutoShape 13">
          <a:extLst>
            <a:ext uri="{FF2B5EF4-FFF2-40B4-BE49-F238E27FC236}">
              <a16:creationId xmlns:a16="http://schemas.microsoft.com/office/drawing/2014/main" id="{00000000-0008-0000-1800-00001F000000}"/>
            </a:ext>
          </a:extLst>
        </xdr:cNvPr>
        <xdr:cNvSpPr>
          <a:spLocks noChangeArrowheads="1"/>
        </xdr:cNvSpPr>
      </xdr:nvSpPr>
      <xdr:spPr bwMode="auto">
        <a:xfrm flipH="1">
          <a:off x="17819157" y="12774103"/>
          <a:ext cx="1891242" cy="55031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twoCellAnchor editAs="oneCell">
    <xdr:from>
      <xdr:col>2</xdr:col>
      <xdr:colOff>254001</xdr:colOff>
      <xdr:row>43</xdr:row>
      <xdr:rowOff>116415</xdr:rowOff>
    </xdr:from>
    <xdr:to>
      <xdr:col>6</xdr:col>
      <xdr:colOff>480130</xdr:colOff>
      <xdr:row>56</xdr:row>
      <xdr:rowOff>4232</xdr:rowOff>
    </xdr:to>
    <xdr:pic>
      <xdr:nvPicPr>
        <xdr:cNvPr id="32" name="Afbeelding 31">
          <a:extLst>
            <a:ext uri="{FF2B5EF4-FFF2-40B4-BE49-F238E27FC236}">
              <a16:creationId xmlns:a16="http://schemas.microsoft.com/office/drawing/2014/main" id="{00000000-0008-0000-1800-00002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36334" y="10392832"/>
          <a:ext cx="2998963" cy="291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29482</xdr:colOff>
      <xdr:row>12</xdr:row>
      <xdr:rowOff>106188</xdr:rowOff>
    </xdr:from>
    <xdr:to>
      <xdr:col>33</xdr:col>
      <xdr:colOff>92982</xdr:colOff>
      <xdr:row>15</xdr:row>
      <xdr:rowOff>120195</xdr:rowOff>
    </xdr:to>
    <xdr:sp macro="" textlink="">
      <xdr:nvSpPr>
        <xdr:cNvPr id="28" name="AutoShape 48">
          <a:hlinkClick xmlns:r="http://schemas.openxmlformats.org/officeDocument/2006/relationships" r:id="rId7"/>
          <a:extLst>
            <a:ext uri="{FF2B5EF4-FFF2-40B4-BE49-F238E27FC236}">
              <a16:creationId xmlns:a16="http://schemas.microsoft.com/office/drawing/2014/main" id="{00000000-0008-0000-1800-00001C000000}"/>
            </a:ext>
          </a:extLst>
        </xdr:cNvPr>
        <xdr:cNvSpPr>
          <a:spLocks noChangeArrowheads="1"/>
        </xdr:cNvSpPr>
      </xdr:nvSpPr>
      <xdr:spPr bwMode="auto">
        <a:xfrm>
          <a:off x="21528768" y="3371902"/>
          <a:ext cx="1288143" cy="76240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groeps bespreking</a:t>
          </a:r>
          <a:endParaRPr lang="nl-NL" sz="16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757605</xdr:colOff>
      <xdr:row>33</xdr:row>
      <xdr:rowOff>32240</xdr:rowOff>
    </xdr:from>
    <xdr:to>
      <xdr:col>5</xdr:col>
      <xdr:colOff>567106</xdr:colOff>
      <xdr:row>35</xdr:row>
      <xdr:rowOff>175847</xdr:rowOff>
    </xdr:to>
    <xdr:sp macro="" textlink="">
      <xdr:nvSpPr>
        <xdr:cNvPr id="11" name="AutoShape 13">
          <a:extLst>
            <a:ext uri="{FF2B5EF4-FFF2-40B4-BE49-F238E27FC236}">
              <a16:creationId xmlns:a16="http://schemas.microsoft.com/office/drawing/2014/main" id="{00000000-0008-0000-1900-00000B000000}"/>
            </a:ext>
          </a:extLst>
        </xdr:cNvPr>
        <xdr:cNvSpPr>
          <a:spLocks noChangeArrowheads="1"/>
        </xdr:cNvSpPr>
      </xdr:nvSpPr>
      <xdr:spPr bwMode="auto">
        <a:xfrm>
          <a:off x="4113336" y="8370278"/>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E3</a:t>
          </a:r>
        </a:p>
      </xdr:txBody>
    </xdr:sp>
    <xdr:clientData/>
  </xdr:twoCellAnchor>
  <xdr:twoCellAnchor>
    <xdr:from>
      <xdr:col>6</xdr:col>
      <xdr:colOff>19784</xdr:colOff>
      <xdr:row>5</xdr:row>
      <xdr:rowOff>0</xdr:rowOff>
    </xdr:from>
    <xdr:to>
      <xdr:col>28</xdr:col>
      <xdr:colOff>614241</xdr:colOff>
      <xdr:row>40</xdr:row>
      <xdr:rowOff>101600</xdr:rowOff>
    </xdr:to>
    <xdr:graphicFrame macro="">
      <xdr:nvGraphicFramePr>
        <xdr:cNvPr id="18" name="Grafiek 17">
          <a:extLst>
            <a:ext uri="{FF2B5EF4-FFF2-40B4-BE49-F238E27FC236}">
              <a16:creationId xmlns:a16="http://schemas.microsoft.com/office/drawing/2014/main" id="{00000000-0008-0000-1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170390</xdr:colOff>
      <xdr:row>8</xdr:row>
      <xdr:rowOff>208242</xdr:rowOff>
    </xdr:from>
    <xdr:to>
      <xdr:col>33</xdr:col>
      <xdr:colOff>233891</xdr:colOff>
      <xdr:row>11</xdr:row>
      <xdr:rowOff>222249</xdr:rowOff>
    </xdr:to>
    <xdr:sp macro="" textlink="">
      <xdr:nvSpPr>
        <xdr:cNvPr id="19" name="AutoShape 48">
          <a:hlinkClick xmlns:r="http://schemas.openxmlformats.org/officeDocument/2006/relationships" r:id="rId2"/>
          <a:extLst>
            <a:ext uri="{FF2B5EF4-FFF2-40B4-BE49-F238E27FC236}">
              <a16:creationId xmlns:a16="http://schemas.microsoft.com/office/drawing/2014/main" id="{00000000-0008-0000-1900-000013000000}"/>
            </a:ext>
          </a:extLst>
        </xdr:cNvPr>
        <xdr:cNvSpPr>
          <a:spLocks noChangeArrowheads="1"/>
        </xdr:cNvSpPr>
      </xdr:nvSpPr>
      <xdr:spPr bwMode="auto">
        <a:xfrm>
          <a:off x="21781557" y="2367242"/>
          <a:ext cx="1354667" cy="71250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154515</xdr:colOff>
      <xdr:row>5</xdr:row>
      <xdr:rowOff>0</xdr:rowOff>
    </xdr:from>
    <xdr:to>
      <xdr:col>33</xdr:col>
      <xdr:colOff>218016</xdr:colOff>
      <xdr:row>8</xdr:row>
      <xdr:rowOff>39492</xdr:rowOff>
    </xdr:to>
    <xdr:sp macro="" textlink="">
      <xdr:nvSpPr>
        <xdr:cNvPr id="20" name="AutoShape 48">
          <a:hlinkClick xmlns:r="http://schemas.openxmlformats.org/officeDocument/2006/relationships" r:id="rId3"/>
          <a:extLst>
            <a:ext uri="{FF2B5EF4-FFF2-40B4-BE49-F238E27FC236}">
              <a16:creationId xmlns:a16="http://schemas.microsoft.com/office/drawing/2014/main" id="{00000000-0008-0000-1900-000014000000}"/>
            </a:ext>
          </a:extLst>
        </xdr:cNvPr>
        <xdr:cNvSpPr>
          <a:spLocks noChangeArrowheads="1"/>
        </xdr:cNvSpPr>
      </xdr:nvSpPr>
      <xdr:spPr bwMode="auto">
        <a:xfrm>
          <a:off x="21765682" y="1460500"/>
          <a:ext cx="1354667" cy="737992"/>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3</xdr:col>
      <xdr:colOff>763467</xdr:colOff>
      <xdr:row>35</xdr:row>
      <xdr:rowOff>184639</xdr:rowOff>
    </xdr:from>
    <xdr:to>
      <xdr:col>5</xdr:col>
      <xdr:colOff>572968</xdr:colOff>
      <xdr:row>38</xdr:row>
      <xdr:rowOff>79131</xdr:rowOff>
    </xdr:to>
    <xdr:sp macro="" textlink="">
      <xdr:nvSpPr>
        <xdr:cNvPr id="21" name="AutoShape 13">
          <a:extLst>
            <a:ext uri="{FF2B5EF4-FFF2-40B4-BE49-F238E27FC236}">
              <a16:creationId xmlns:a16="http://schemas.microsoft.com/office/drawing/2014/main" id="{00000000-0008-0000-1900-000015000000}"/>
            </a:ext>
          </a:extLst>
        </xdr:cNvPr>
        <xdr:cNvSpPr>
          <a:spLocks noChangeArrowheads="1"/>
        </xdr:cNvSpPr>
      </xdr:nvSpPr>
      <xdr:spPr bwMode="auto">
        <a:xfrm>
          <a:off x="4119198" y="9020908"/>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M3</a:t>
          </a:r>
        </a:p>
      </xdr:txBody>
    </xdr:sp>
    <xdr:clientData/>
  </xdr:twoCellAnchor>
  <xdr:twoCellAnchor>
    <xdr:from>
      <xdr:col>3</xdr:col>
      <xdr:colOff>761999</xdr:colOff>
      <xdr:row>30</xdr:row>
      <xdr:rowOff>146539</xdr:rowOff>
    </xdr:from>
    <xdr:to>
      <xdr:col>5</xdr:col>
      <xdr:colOff>571500</xdr:colOff>
      <xdr:row>33</xdr:row>
      <xdr:rowOff>41031</xdr:rowOff>
    </xdr:to>
    <xdr:sp macro="" textlink="">
      <xdr:nvSpPr>
        <xdr:cNvPr id="22" name="AutoShape 13">
          <a:extLst>
            <a:ext uri="{FF2B5EF4-FFF2-40B4-BE49-F238E27FC236}">
              <a16:creationId xmlns:a16="http://schemas.microsoft.com/office/drawing/2014/main" id="{00000000-0008-0000-1900-000016000000}"/>
            </a:ext>
          </a:extLst>
        </xdr:cNvPr>
        <xdr:cNvSpPr>
          <a:spLocks noChangeArrowheads="1"/>
        </xdr:cNvSpPr>
      </xdr:nvSpPr>
      <xdr:spPr bwMode="auto">
        <a:xfrm>
          <a:off x="4117730" y="7737231"/>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M4</a:t>
          </a:r>
        </a:p>
      </xdr:txBody>
    </xdr:sp>
    <xdr:clientData/>
  </xdr:twoCellAnchor>
  <xdr:twoCellAnchor>
    <xdr:from>
      <xdr:col>3</xdr:col>
      <xdr:colOff>762000</xdr:colOff>
      <xdr:row>27</xdr:row>
      <xdr:rowOff>190500</xdr:rowOff>
    </xdr:from>
    <xdr:to>
      <xdr:col>5</xdr:col>
      <xdr:colOff>571501</xdr:colOff>
      <xdr:row>30</xdr:row>
      <xdr:rowOff>128954</xdr:rowOff>
    </xdr:to>
    <xdr:sp macro="" textlink="">
      <xdr:nvSpPr>
        <xdr:cNvPr id="23" name="AutoShape 13">
          <a:extLst>
            <a:ext uri="{FF2B5EF4-FFF2-40B4-BE49-F238E27FC236}">
              <a16:creationId xmlns:a16="http://schemas.microsoft.com/office/drawing/2014/main" id="{00000000-0008-0000-1900-000017000000}"/>
            </a:ext>
          </a:extLst>
        </xdr:cNvPr>
        <xdr:cNvSpPr>
          <a:spLocks noChangeArrowheads="1"/>
        </xdr:cNvSpPr>
      </xdr:nvSpPr>
      <xdr:spPr bwMode="auto">
        <a:xfrm>
          <a:off x="4117731" y="7077808"/>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E4</a:t>
          </a:r>
        </a:p>
      </xdr:txBody>
    </xdr:sp>
    <xdr:clientData/>
  </xdr:twoCellAnchor>
  <xdr:twoCellAnchor>
    <xdr:from>
      <xdr:col>3</xdr:col>
      <xdr:colOff>762000</xdr:colOff>
      <xdr:row>25</xdr:row>
      <xdr:rowOff>29309</xdr:rowOff>
    </xdr:from>
    <xdr:to>
      <xdr:col>5</xdr:col>
      <xdr:colOff>571501</xdr:colOff>
      <xdr:row>27</xdr:row>
      <xdr:rowOff>172916</xdr:rowOff>
    </xdr:to>
    <xdr:sp macro="" textlink="">
      <xdr:nvSpPr>
        <xdr:cNvPr id="24" name="AutoShape 13">
          <a:extLst>
            <a:ext uri="{FF2B5EF4-FFF2-40B4-BE49-F238E27FC236}">
              <a16:creationId xmlns:a16="http://schemas.microsoft.com/office/drawing/2014/main" id="{00000000-0008-0000-1900-000018000000}"/>
            </a:ext>
          </a:extLst>
        </xdr:cNvPr>
        <xdr:cNvSpPr>
          <a:spLocks noChangeArrowheads="1"/>
        </xdr:cNvSpPr>
      </xdr:nvSpPr>
      <xdr:spPr bwMode="auto">
        <a:xfrm>
          <a:off x="4117731" y="6418386"/>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M5</a:t>
          </a:r>
        </a:p>
      </xdr:txBody>
    </xdr:sp>
    <xdr:clientData/>
  </xdr:twoCellAnchor>
  <xdr:twoCellAnchor>
    <xdr:from>
      <xdr:col>3</xdr:col>
      <xdr:colOff>762000</xdr:colOff>
      <xdr:row>22</xdr:row>
      <xdr:rowOff>73270</xdr:rowOff>
    </xdr:from>
    <xdr:to>
      <xdr:col>5</xdr:col>
      <xdr:colOff>571501</xdr:colOff>
      <xdr:row>25</xdr:row>
      <xdr:rowOff>26377</xdr:rowOff>
    </xdr:to>
    <xdr:sp macro="" textlink="">
      <xdr:nvSpPr>
        <xdr:cNvPr id="25" name="AutoShape 13">
          <a:extLst>
            <a:ext uri="{FF2B5EF4-FFF2-40B4-BE49-F238E27FC236}">
              <a16:creationId xmlns:a16="http://schemas.microsoft.com/office/drawing/2014/main" id="{00000000-0008-0000-1900-000019000000}"/>
            </a:ext>
          </a:extLst>
        </xdr:cNvPr>
        <xdr:cNvSpPr>
          <a:spLocks noChangeArrowheads="1"/>
        </xdr:cNvSpPr>
      </xdr:nvSpPr>
      <xdr:spPr bwMode="auto">
        <a:xfrm>
          <a:off x="4117731" y="5773616"/>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E5</a:t>
          </a:r>
        </a:p>
      </xdr:txBody>
    </xdr:sp>
    <xdr:clientData/>
  </xdr:twoCellAnchor>
  <xdr:twoCellAnchor>
    <xdr:from>
      <xdr:col>3</xdr:col>
      <xdr:colOff>762000</xdr:colOff>
      <xdr:row>19</xdr:row>
      <xdr:rowOff>175846</xdr:rowOff>
    </xdr:from>
    <xdr:to>
      <xdr:col>5</xdr:col>
      <xdr:colOff>571501</xdr:colOff>
      <xdr:row>22</xdr:row>
      <xdr:rowOff>70338</xdr:rowOff>
    </xdr:to>
    <xdr:sp macro="" textlink="">
      <xdr:nvSpPr>
        <xdr:cNvPr id="26" name="AutoShape 13">
          <a:extLst>
            <a:ext uri="{FF2B5EF4-FFF2-40B4-BE49-F238E27FC236}">
              <a16:creationId xmlns:a16="http://schemas.microsoft.com/office/drawing/2014/main" id="{00000000-0008-0000-1900-00001A000000}"/>
            </a:ext>
          </a:extLst>
        </xdr:cNvPr>
        <xdr:cNvSpPr>
          <a:spLocks noChangeArrowheads="1"/>
        </xdr:cNvSpPr>
      </xdr:nvSpPr>
      <xdr:spPr bwMode="auto">
        <a:xfrm>
          <a:off x="4117731" y="5128846"/>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M6</a:t>
          </a:r>
        </a:p>
      </xdr:txBody>
    </xdr:sp>
    <xdr:clientData/>
  </xdr:twoCellAnchor>
  <xdr:twoCellAnchor>
    <xdr:from>
      <xdr:col>3</xdr:col>
      <xdr:colOff>776649</xdr:colOff>
      <xdr:row>17</xdr:row>
      <xdr:rowOff>73268</xdr:rowOff>
    </xdr:from>
    <xdr:to>
      <xdr:col>5</xdr:col>
      <xdr:colOff>576625</xdr:colOff>
      <xdr:row>19</xdr:row>
      <xdr:rowOff>216875</xdr:rowOff>
    </xdr:to>
    <xdr:sp macro="" textlink="">
      <xdr:nvSpPr>
        <xdr:cNvPr id="27" name="AutoShape 13">
          <a:extLst>
            <a:ext uri="{FF2B5EF4-FFF2-40B4-BE49-F238E27FC236}">
              <a16:creationId xmlns:a16="http://schemas.microsoft.com/office/drawing/2014/main" id="{00000000-0008-0000-1900-00001B000000}"/>
            </a:ext>
          </a:extLst>
        </xdr:cNvPr>
        <xdr:cNvSpPr>
          <a:spLocks noChangeArrowheads="1"/>
        </xdr:cNvSpPr>
      </xdr:nvSpPr>
      <xdr:spPr bwMode="auto">
        <a:xfrm>
          <a:off x="4132380" y="4528037"/>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E6</a:t>
          </a:r>
        </a:p>
      </xdr:txBody>
    </xdr:sp>
    <xdr:clientData/>
  </xdr:twoCellAnchor>
  <xdr:twoCellAnchor>
    <xdr:from>
      <xdr:col>3</xdr:col>
      <xdr:colOff>776650</xdr:colOff>
      <xdr:row>14</xdr:row>
      <xdr:rowOff>190497</xdr:rowOff>
    </xdr:from>
    <xdr:to>
      <xdr:col>5</xdr:col>
      <xdr:colOff>576626</xdr:colOff>
      <xdr:row>17</xdr:row>
      <xdr:rowOff>84989</xdr:rowOff>
    </xdr:to>
    <xdr:sp macro="" textlink="">
      <xdr:nvSpPr>
        <xdr:cNvPr id="28" name="AutoShape 13">
          <a:extLst>
            <a:ext uri="{FF2B5EF4-FFF2-40B4-BE49-F238E27FC236}">
              <a16:creationId xmlns:a16="http://schemas.microsoft.com/office/drawing/2014/main" id="{00000000-0008-0000-1900-00001C000000}"/>
            </a:ext>
          </a:extLst>
        </xdr:cNvPr>
        <xdr:cNvSpPr>
          <a:spLocks noChangeArrowheads="1"/>
        </xdr:cNvSpPr>
      </xdr:nvSpPr>
      <xdr:spPr bwMode="auto">
        <a:xfrm>
          <a:off x="4132381" y="3897920"/>
          <a:ext cx="1558437"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M7</a:t>
          </a:r>
        </a:p>
      </xdr:txBody>
    </xdr:sp>
    <xdr:clientData/>
  </xdr:twoCellAnchor>
  <xdr:twoCellAnchor>
    <xdr:from>
      <xdr:col>3</xdr:col>
      <xdr:colOff>776650</xdr:colOff>
      <xdr:row>12</xdr:row>
      <xdr:rowOff>29308</xdr:rowOff>
    </xdr:from>
    <xdr:to>
      <xdr:col>5</xdr:col>
      <xdr:colOff>576626</xdr:colOff>
      <xdr:row>14</xdr:row>
      <xdr:rowOff>172915</xdr:rowOff>
    </xdr:to>
    <xdr:sp macro="" textlink="">
      <xdr:nvSpPr>
        <xdr:cNvPr id="29" name="AutoShape 13">
          <a:extLst>
            <a:ext uri="{FF2B5EF4-FFF2-40B4-BE49-F238E27FC236}">
              <a16:creationId xmlns:a16="http://schemas.microsoft.com/office/drawing/2014/main" id="{00000000-0008-0000-1900-00001D000000}"/>
            </a:ext>
          </a:extLst>
        </xdr:cNvPr>
        <xdr:cNvSpPr>
          <a:spLocks noChangeArrowheads="1"/>
        </xdr:cNvSpPr>
      </xdr:nvSpPr>
      <xdr:spPr bwMode="auto">
        <a:xfrm>
          <a:off x="4132381" y="3238500"/>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E7</a:t>
          </a:r>
        </a:p>
      </xdr:txBody>
    </xdr:sp>
    <xdr:clientData/>
  </xdr:twoCellAnchor>
  <xdr:twoCellAnchor>
    <xdr:from>
      <xdr:col>3</xdr:col>
      <xdr:colOff>761998</xdr:colOff>
      <xdr:row>9</xdr:row>
      <xdr:rowOff>146538</xdr:rowOff>
    </xdr:from>
    <xdr:to>
      <xdr:col>5</xdr:col>
      <xdr:colOff>571499</xdr:colOff>
      <xdr:row>12</xdr:row>
      <xdr:rowOff>41030</xdr:rowOff>
    </xdr:to>
    <xdr:sp macro="" textlink="">
      <xdr:nvSpPr>
        <xdr:cNvPr id="30" name="AutoShape 13">
          <a:extLst>
            <a:ext uri="{FF2B5EF4-FFF2-40B4-BE49-F238E27FC236}">
              <a16:creationId xmlns:a16="http://schemas.microsoft.com/office/drawing/2014/main" id="{00000000-0008-0000-1900-00001E000000}"/>
            </a:ext>
          </a:extLst>
        </xdr:cNvPr>
        <xdr:cNvSpPr>
          <a:spLocks noChangeArrowheads="1"/>
        </xdr:cNvSpPr>
      </xdr:nvSpPr>
      <xdr:spPr bwMode="auto">
        <a:xfrm>
          <a:off x="4117729" y="2608384"/>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M8</a:t>
          </a:r>
        </a:p>
      </xdr:txBody>
    </xdr:sp>
    <xdr:clientData/>
  </xdr:twoCellAnchor>
  <xdr:twoCellAnchor>
    <xdr:from>
      <xdr:col>3</xdr:col>
      <xdr:colOff>776650</xdr:colOff>
      <xdr:row>7</xdr:row>
      <xdr:rowOff>0</xdr:rowOff>
    </xdr:from>
    <xdr:to>
      <xdr:col>5</xdr:col>
      <xdr:colOff>576626</xdr:colOff>
      <xdr:row>9</xdr:row>
      <xdr:rowOff>143607</xdr:rowOff>
    </xdr:to>
    <xdr:sp macro="" textlink="">
      <xdr:nvSpPr>
        <xdr:cNvPr id="31" name="AutoShape 13">
          <a:extLst>
            <a:ext uri="{FF2B5EF4-FFF2-40B4-BE49-F238E27FC236}">
              <a16:creationId xmlns:a16="http://schemas.microsoft.com/office/drawing/2014/main" id="{00000000-0008-0000-1900-00001F000000}"/>
            </a:ext>
          </a:extLst>
        </xdr:cNvPr>
        <xdr:cNvSpPr>
          <a:spLocks noChangeArrowheads="1"/>
        </xdr:cNvSpPr>
      </xdr:nvSpPr>
      <xdr:spPr bwMode="auto">
        <a:xfrm>
          <a:off x="4132381" y="1963615"/>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E8</a:t>
          </a:r>
        </a:p>
      </xdr:txBody>
    </xdr:sp>
    <xdr:clientData/>
  </xdr:twoCellAnchor>
  <xdr:twoCellAnchor>
    <xdr:from>
      <xdr:col>28</xdr:col>
      <xdr:colOff>635000</xdr:colOff>
      <xdr:row>3</xdr:row>
      <xdr:rowOff>25400</xdr:rowOff>
    </xdr:from>
    <xdr:to>
      <xdr:col>30</xdr:col>
      <xdr:colOff>317500</xdr:colOff>
      <xdr:row>42</xdr:row>
      <xdr:rowOff>76200</xdr:rowOff>
    </xdr:to>
    <xdr:graphicFrame macro="">
      <xdr:nvGraphicFramePr>
        <xdr:cNvPr id="17" name="Grafiek 9">
          <a:extLst>
            <a:ext uri="{FF2B5EF4-FFF2-40B4-BE49-F238E27FC236}">
              <a16:creationId xmlns:a16="http://schemas.microsoft.com/office/drawing/2014/main" id="{00000000-0008-0000-1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3175</xdr:colOff>
      <xdr:row>17</xdr:row>
      <xdr:rowOff>8477</xdr:rowOff>
    </xdr:from>
    <xdr:to>
      <xdr:col>18</xdr:col>
      <xdr:colOff>9524</xdr:colOff>
      <xdr:row>44</xdr:row>
      <xdr:rowOff>9621</xdr:rowOff>
    </xdr:to>
    <xdr:graphicFrame macro="">
      <xdr:nvGraphicFramePr>
        <xdr:cNvPr id="2" name="Chart 5">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77708</xdr:colOff>
      <xdr:row>15</xdr:row>
      <xdr:rowOff>154805</xdr:rowOff>
    </xdr:from>
    <xdr:to>
      <xdr:col>20</xdr:col>
      <xdr:colOff>4751</xdr:colOff>
      <xdr:row>44</xdr:row>
      <xdr:rowOff>6542</xdr:rowOff>
    </xdr:to>
    <xdr:graphicFrame macro="">
      <xdr:nvGraphicFramePr>
        <xdr:cNvPr id="3" name="Grafiek 9">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260165</xdr:colOff>
      <xdr:row>0</xdr:row>
      <xdr:rowOff>348221</xdr:rowOff>
    </xdr:from>
    <xdr:to>
      <xdr:col>11</xdr:col>
      <xdr:colOff>24653</xdr:colOff>
      <xdr:row>2</xdr:row>
      <xdr:rowOff>7937</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1A00-000004000000}"/>
            </a:ext>
          </a:extLst>
        </xdr:cNvPr>
        <xdr:cNvSpPr>
          <a:spLocks noChangeArrowheads="1"/>
        </xdr:cNvSpPr>
      </xdr:nvSpPr>
      <xdr:spPr bwMode="auto">
        <a:xfrm>
          <a:off x="4927415" y="348221"/>
          <a:ext cx="978926" cy="46140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6</xdr:col>
      <xdr:colOff>7472</xdr:colOff>
      <xdr:row>0</xdr:row>
      <xdr:rowOff>344953</xdr:rowOff>
    </xdr:from>
    <xdr:to>
      <xdr:col>8</xdr:col>
      <xdr:colOff>157442</xdr:colOff>
      <xdr:row>1</xdr:row>
      <xdr:rowOff>262206</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1A00-000005000000}"/>
            </a:ext>
          </a:extLst>
        </xdr:cNvPr>
        <xdr:cNvSpPr>
          <a:spLocks noChangeArrowheads="1"/>
        </xdr:cNvSpPr>
      </xdr:nvSpPr>
      <xdr:spPr bwMode="auto">
        <a:xfrm>
          <a:off x="3626972" y="344953"/>
          <a:ext cx="950070" cy="463353"/>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3</xdr:col>
      <xdr:colOff>33865</xdr:colOff>
      <xdr:row>2</xdr:row>
      <xdr:rowOff>33867</xdr:rowOff>
    </xdr:from>
    <xdr:to>
      <xdr:col>19</xdr:col>
      <xdr:colOff>93132</xdr:colOff>
      <xdr:row>5</xdr:row>
      <xdr:rowOff>50800</xdr:rowOff>
    </xdr:to>
    <xdr:sp macro="" textlink="">
      <xdr:nvSpPr>
        <xdr:cNvPr id="7" name="Pijl: links 6">
          <a:hlinkClick xmlns:r="http://schemas.openxmlformats.org/officeDocument/2006/relationships" r:id="rId5"/>
          <a:extLst>
            <a:ext uri="{FF2B5EF4-FFF2-40B4-BE49-F238E27FC236}">
              <a16:creationId xmlns:a16="http://schemas.microsoft.com/office/drawing/2014/main" id="{00000000-0008-0000-1A00-000007000000}"/>
            </a:ext>
          </a:extLst>
        </xdr:cNvPr>
        <xdr:cNvSpPr/>
      </xdr:nvSpPr>
      <xdr:spPr>
        <a:xfrm>
          <a:off x="2683932" y="838200"/>
          <a:ext cx="6561667" cy="660400"/>
        </a:xfrm>
        <a:prstGeom prst="leftArrow">
          <a:avLst/>
        </a:prstGeom>
        <a:solidFill>
          <a:srgbClr val="00B0F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t>schoolweging</a:t>
          </a:r>
          <a:r>
            <a:rPr lang="nl-NL" sz="1600" b="1" baseline="0"/>
            <a:t> invullen bij tabblad referentieniveau - klik op de pijl</a:t>
          </a:r>
          <a:endParaRPr lang="nl-NL" sz="1600" b="1"/>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7</xdr:col>
      <xdr:colOff>12701</xdr:colOff>
      <xdr:row>0</xdr:row>
      <xdr:rowOff>155575</xdr:rowOff>
    </xdr:from>
    <xdr:to>
      <xdr:col>12</xdr:col>
      <xdr:colOff>6351</xdr:colOff>
      <xdr:row>12</xdr:row>
      <xdr:rowOff>9525</xdr:rowOff>
    </xdr:to>
    <xdr:graphicFrame macro="">
      <xdr:nvGraphicFramePr>
        <xdr:cNvPr id="2" name="Grafiek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12</xdr:row>
      <xdr:rowOff>3175</xdr:rowOff>
    </xdr:from>
    <xdr:to>
      <xdr:col>12</xdr:col>
      <xdr:colOff>3175</xdr:colOff>
      <xdr:row>23</xdr:row>
      <xdr:rowOff>41275</xdr:rowOff>
    </xdr:to>
    <xdr:graphicFrame macro="">
      <xdr:nvGraphicFramePr>
        <xdr:cNvPr id="3" name="Grafiek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23</xdr:row>
      <xdr:rowOff>3175</xdr:rowOff>
    </xdr:from>
    <xdr:to>
      <xdr:col>12</xdr:col>
      <xdr:colOff>0</xdr:colOff>
      <xdr:row>34</xdr:row>
      <xdr:rowOff>22225</xdr:rowOff>
    </xdr:to>
    <xdr:graphicFrame macro="">
      <xdr:nvGraphicFramePr>
        <xdr:cNvPr id="4" name="Grafiek 3">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12700</xdr:colOff>
      <xdr:row>34</xdr:row>
      <xdr:rowOff>3175</xdr:rowOff>
    </xdr:from>
    <xdr:to>
      <xdr:col>11</xdr:col>
      <xdr:colOff>273050</xdr:colOff>
      <xdr:row>44</xdr:row>
      <xdr:rowOff>187325</xdr:rowOff>
    </xdr:to>
    <xdr:graphicFrame macro="">
      <xdr:nvGraphicFramePr>
        <xdr:cNvPr id="5" name="Grafiek 4">
          <a:extLst>
            <a:ext uri="{FF2B5EF4-FFF2-40B4-BE49-F238E27FC236}">
              <a16:creationId xmlns:a16="http://schemas.microsoft.com/office/drawing/2014/main" id="{00000000-0008-0000-1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49199</xdr:colOff>
      <xdr:row>4</xdr:row>
      <xdr:rowOff>37633</xdr:rowOff>
    </xdr:from>
    <xdr:to>
      <xdr:col>37</xdr:col>
      <xdr:colOff>519099</xdr:colOff>
      <xdr:row>6</xdr:row>
      <xdr:rowOff>179387</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1B00-000006000000}"/>
            </a:ext>
          </a:extLst>
        </xdr:cNvPr>
        <xdr:cNvSpPr>
          <a:spLocks noChangeArrowheads="1"/>
        </xdr:cNvSpPr>
      </xdr:nvSpPr>
      <xdr:spPr bwMode="auto">
        <a:xfrm>
          <a:off x="19932637" y="783758"/>
          <a:ext cx="1089025"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36</xdr:col>
      <xdr:colOff>49199</xdr:colOff>
      <xdr:row>1</xdr:row>
      <xdr:rowOff>4762</xdr:rowOff>
    </xdr:from>
    <xdr:to>
      <xdr:col>37</xdr:col>
      <xdr:colOff>519099</xdr:colOff>
      <xdr:row>3</xdr:row>
      <xdr:rowOff>145769</xdr:rowOff>
    </xdr:to>
    <xdr:sp macro="" textlink="">
      <xdr:nvSpPr>
        <xdr:cNvPr id="7" name="AutoShape 48">
          <a:hlinkClick xmlns:r="http://schemas.openxmlformats.org/officeDocument/2006/relationships" r:id="rId6"/>
          <a:extLst>
            <a:ext uri="{FF2B5EF4-FFF2-40B4-BE49-F238E27FC236}">
              <a16:creationId xmlns:a16="http://schemas.microsoft.com/office/drawing/2014/main" id="{00000000-0008-0000-1B00-000007000000}"/>
            </a:ext>
          </a:extLst>
        </xdr:cNvPr>
        <xdr:cNvSpPr>
          <a:spLocks noChangeArrowheads="1"/>
        </xdr:cNvSpPr>
      </xdr:nvSpPr>
      <xdr:spPr bwMode="auto">
        <a:xfrm>
          <a:off x="19932637" y="179387"/>
          <a:ext cx="1089025" cy="5220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19</xdr:col>
      <xdr:colOff>12701</xdr:colOff>
      <xdr:row>0</xdr:row>
      <xdr:rowOff>155575</xdr:rowOff>
    </xdr:from>
    <xdr:to>
      <xdr:col>24</xdr:col>
      <xdr:colOff>6351</xdr:colOff>
      <xdr:row>12</xdr:row>
      <xdr:rowOff>9525</xdr:rowOff>
    </xdr:to>
    <xdr:graphicFrame macro="">
      <xdr:nvGraphicFramePr>
        <xdr:cNvPr id="10" name="Grafiek 9">
          <a:extLst>
            <a:ext uri="{FF2B5EF4-FFF2-40B4-BE49-F238E27FC236}">
              <a16:creationId xmlns:a16="http://schemas.microsoft.com/office/drawing/2014/main" id="{00000000-0008-0000-1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19050</xdr:colOff>
      <xdr:row>12</xdr:row>
      <xdr:rowOff>3175</xdr:rowOff>
    </xdr:from>
    <xdr:to>
      <xdr:col>24</xdr:col>
      <xdr:colOff>3175</xdr:colOff>
      <xdr:row>23</xdr:row>
      <xdr:rowOff>41275</xdr:rowOff>
    </xdr:to>
    <xdr:graphicFrame macro="">
      <xdr:nvGraphicFramePr>
        <xdr:cNvPr id="11" name="Grafiek 10">
          <a:extLst>
            <a:ext uri="{FF2B5EF4-FFF2-40B4-BE49-F238E27FC236}">
              <a16:creationId xmlns:a16="http://schemas.microsoft.com/office/drawing/2014/main" id="{00000000-0008-0000-1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6350</xdr:colOff>
      <xdr:row>23</xdr:row>
      <xdr:rowOff>3175</xdr:rowOff>
    </xdr:from>
    <xdr:to>
      <xdr:col>24</xdr:col>
      <xdr:colOff>0</xdr:colOff>
      <xdr:row>34</xdr:row>
      <xdr:rowOff>22225</xdr:rowOff>
    </xdr:to>
    <xdr:graphicFrame macro="">
      <xdr:nvGraphicFramePr>
        <xdr:cNvPr id="12" name="Grafiek 11">
          <a:extLst>
            <a:ext uri="{FF2B5EF4-FFF2-40B4-BE49-F238E27FC236}">
              <a16:creationId xmlns:a16="http://schemas.microsoft.com/office/drawing/2014/main" id="{00000000-0008-0000-1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12700</xdr:colOff>
      <xdr:row>34</xdr:row>
      <xdr:rowOff>3175</xdr:rowOff>
    </xdr:from>
    <xdr:to>
      <xdr:col>23</xdr:col>
      <xdr:colOff>273050</xdr:colOff>
      <xdr:row>44</xdr:row>
      <xdr:rowOff>187325</xdr:rowOff>
    </xdr:to>
    <xdr:graphicFrame macro="">
      <xdr:nvGraphicFramePr>
        <xdr:cNvPr id="13" name="Grafiek 12">
          <a:extLst>
            <a:ext uri="{FF2B5EF4-FFF2-40B4-BE49-F238E27FC236}">
              <a16:creationId xmlns:a16="http://schemas.microsoft.com/office/drawing/2014/main" id="{00000000-0008-0000-1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31</xdr:col>
      <xdr:colOff>12701</xdr:colOff>
      <xdr:row>0</xdr:row>
      <xdr:rowOff>155575</xdr:rowOff>
    </xdr:from>
    <xdr:to>
      <xdr:col>36</xdr:col>
      <xdr:colOff>6351</xdr:colOff>
      <xdr:row>12</xdr:row>
      <xdr:rowOff>9525</xdr:rowOff>
    </xdr:to>
    <xdr:graphicFrame macro="">
      <xdr:nvGraphicFramePr>
        <xdr:cNvPr id="16" name="Grafiek 15">
          <a:extLst>
            <a:ext uri="{FF2B5EF4-FFF2-40B4-BE49-F238E27FC236}">
              <a16:creationId xmlns:a16="http://schemas.microsoft.com/office/drawing/2014/main" id="{00000000-0008-0000-1B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31</xdr:col>
      <xdr:colOff>19050</xdr:colOff>
      <xdr:row>12</xdr:row>
      <xdr:rowOff>3175</xdr:rowOff>
    </xdr:from>
    <xdr:to>
      <xdr:col>36</xdr:col>
      <xdr:colOff>3175</xdr:colOff>
      <xdr:row>23</xdr:row>
      <xdr:rowOff>41275</xdr:rowOff>
    </xdr:to>
    <xdr:graphicFrame macro="">
      <xdr:nvGraphicFramePr>
        <xdr:cNvPr id="17" name="Grafiek 16">
          <a:extLst>
            <a:ext uri="{FF2B5EF4-FFF2-40B4-BE49-F238E27FC236}">
              <a16:creationId xmlns:a16="http://schemas.microsoft.com/office/drawing/2014/main" id="{00000000-0008-0000-1B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31</xdr:col>
      <xdr:colOff>6350</xdr:colOff>
      <xdr:row>23</xdr:row>
      <xdr:rowOff>3175</xdr:rowOff>
    </xdr:from>
    <xdr:to>
      <xdr:col>36</xdr:col>
      <xdr:colOff>0</xdr:colOff>
      <xdr:row>34</xdr:row>
      <xdr:rowOff>22225</xdr:rowOff>
    </xdr:to>
    <xdr:graphicFrame macro="">
      <xdr:nvGraphicFramePr>
        <xdr:cNvPr id="18" name="Grafiek 17">
          <a:extLst>
            <a:ext uri="{FF2B5EF4-FFF2-40B4-BE49-F238E27FC236}">
              <a16:creationId xmlns:a16="http://schemas.microsoft.com/office/drawing/2014/main" id="{00000000-0008-0000-1B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31</xdr:col>
      <xdr:colOff>12700</xdr:colOff>
      <xdr:row>34</xdr:row>
      <xdr:rowOff>3175</xdr:rowOff>
    </xdr:from>
    <xdr:to>
      <xdr:col>35</xdr:col>
      <xdr:colOff>273050</xdr:colOff>
      <xdr:row>44</xdr:row>
      <xdr:rowOff>187325</xdr:rowOff>
    </xdr:to>
    <xdr:graphicFrame macro="">
      <xdr:nvGraphicFramePr>
        <xdr:cNvPr id="19" name="Grafiek 18">
          <a:extLst>
            <a:ext uri="{FF2B5EF4-FFF2-40B4-BE49-F238E27FC236}">
              <a16:creationId xmlns:a16="http://schemas.microsoft.com/office/drawing/2014/main" id="{00000000-0008-0000-1B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177800</xdr:colOff>
      <xdr:row>3</xdr:row>
      <xdr:rowOff>186266</xdr:rowOff>
    </xdr:from>
    <xdr:to>
      <xdr:col>7</xdr:col>
      <xdr:colOff>93133</xdr:colOff>
      <xdr:row>8</xdr:row>
      <xdr:rowOff>135466</xdr:rowOff>
    </xdr:to>
    <xdr:sp macro="" textlink="">
      <xdr:nvSpPr>
        <xdr:cNvPr id="2" name="Pijl: links 3">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bwMode="auto">
        <a:xfrm flipH="1">
          <a:off x="10306050" y="929216"/>
          <a:ext cx="1839383" cy="118745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l"/>
          <a:r>
            <a:rPr lang="nl-NL" sz="2000">
              <a:solidFill>
                <a:schemeClr val="bg1"/>
              </a:solidFill>
            </a:rPr>
            <a:t>beginblad</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177800</xdr:colOff>
      <xdr:row>3</xdr:row>
      <xdr:rowOff>186266</xdr:rowOff>
    </xdr:from>
    <xdr:to>
      <xdr:col>7</xdr:col>
      <xdr:colOff>93133</xdr:colOff>
      <xdr:row>8</xdr:row>
      <xdr:rowOff>135466</xdr:rowOff>
    </xdr:to>
    <xdr:sp macro="" textlink="">
      <xdr:nvSpPr>
        <xdr:cNvPr id="2" name="Pijl: links 3">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bwMode="auto">
        <a:xfrm flipH="1">
          <a:off x="9842500" y="948266"/>
          <a:ext cx="1744133"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l"/>
          <a:r>
            <a:rPr lang="nl-NL" sz="2000">
              <a:solidFill>
                <a:schemeClr val="bg1"/>
              </a:solidFill>
            </a:rPr>
            <a:t>beginblad</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95250</xdr:rowOff>
    </xdr:from>
    <xdr:to>
      <xdr:col>14</xdr:col>
      <xdr:colOff>381000</xdr:colOff>
      <xdr:row>37</xdr:row>
      <xdr:rowOff>47625</xdr:rowOff>
    </xdr:to>
    <xdr:pic>
      <xdr:nvPicPr>
        <xdr:cNvPr id="2" name="Afbeelding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95250"/>
          <a:ext cx="8877300"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504825</xdr:colOff>
      <xdr:row>16</xdr:row>
      <xdr:rowOff>104775</xdr:rowOff>
    </xdr:from>
    <xdr:to>
      <xdr:col>13</xdr:col>
      <xdr:colOff>352425</xdr:colOff>
      <xdr:row>24</xdr:row>
      <xdr:rowOff>28575</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bwMode="auto">
        <a:xfrm flipH="1">
          <a:off x="6600825" y="26955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10</xdr:col>
      <xdr:colOff>304800</xdr:colOff>
      <xdr:row>3</xdr:row>
      <xdr:rowOff>133350</xdr:rowOff>
    </xdr:from>
    <xdr:to>
      <xdr:col>13</xdr:col>
      <xdr:colOff>571500</xdr:colOff>
      <xdr:row>16</xdr:row>
      <xdr:rowOff>28575</xdr:rowOff>
    </xdr:to>
    <xdr:sp macro="" textlink="">
      <xdr:nvSpPr>
        <xdr:cNvPr id="5" name="Afgeronde rechthoek 4">
          <a:extLst>
            <a:ext uri="{FF2B5EF4-FFF2-40B4-BE49-F238E27FC236}">
              <a16:creationId xmlns:a16="http://schemas.microsoft.com/office/drawing/2014/main" id="{00000000-0008-0000-0200-000005000000}"/>
            </a:ext>
          </a:extLst>
        </xdr:cNvPr>
        <xdr:cNvSpPr/>
      </xdr:nvSpPr>
      <xdr:spPr bwMode="auto">
        <a:xfrm>
          <a:off x="6400800" y="619125"/>
          <a:ext cx="2095500" cy="2000250"/>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Om de ouders te informeren is</a:t>
          </a:r>
          <a:r>
            <a:rPr lang="nl-NL" sz="1100" baseline="0"/>
            <a:t> een voorbeeldbrief bijgevoegd. </a:t>
          </a:r>
        </a:p>
        <a:p>
          <a:pPr algn="l"/>
          <a:endParaRPr lang="nl-NL" sz="1100" baseline="0"/>
        </a:p>
        <a:p>
          <a:pPr algn="l"/>
          <a:r>
            <a:rPr lang="nl-NL" sz="1100" baseline="0"/>
            <a:t>Deze brief is naar eigen inzicht te bewerken. </a:t>
          </a:r>
        </a:p>
        <a:p>
          <a:pPr algn="l"/>
          <a:endParaRPr lang="nl-NL" sz="1100" baseline="0"/>
        </a:p>
        <a:p>
          <a:pPr algn="l"/>
          <a:r>
            <a:rPr lang="nl-NL" sz="1100" baseline="0"/>
            <a:t>In de blauwe vakken kun je gegevens invoeren.</a:t>
          </a:r>
          <a:endParaRPr lang="nl-NL"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123825</xdr:colOff>
      <xdr:row>5</xdr:row>
      <xdr:rowOff>106643</xdr:rowOff>
    </xdr:from>
    <xdr:to>
      <xdr:col>10</xdr:col>
      <xdr:colOff>638363</xdr:colOff>
      <xdr:row>7</xdr:row>
      <xdr:rowOff>105522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1E00-000003000000}"/>
            </a:ext>
          </a:extLst>
        </xdr:cNvPr>
        <xdr:cNvSpPr>
          <a:spLocks noChangeArrowheads="1"/>
        </xdr:cNvSpPr>
      </xdr:nvSpPr>
      <xdr:spPr bwMode="auto">
        <a:xfrm>
          <a:off x="15135225" y="1084543"/>
          <a:ext cx="1162238" cy="5068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123825</xdr:colOff>
      <xdr:row>2</xdr:row>
      <xdr:rowOff>66675</xdr:rowOff>
    </xdr:from>
    <xdr:to>
      <xdr:col>10</xdr:col>
      <xdr:colOff>638363</xdr:colOff>
      <xdr:row>5</xdr:row>
      <xdr:rowOff>30629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1E00-000004000000}"/>
            </a:ext>
          </a:extLst>
        </xdr:cNvPr>
        <xdr:cNvSpPr>
          <a:spLocks noChangeArrowheads="1"/>
        </xdr:cNvSpPr>
      </xdr:nvSpPr>
      <xdr:spPr bwMode="auto">
        <a:xfrm>
          <a:off x="15135225" y="511175"/>
          <a:ext cx="1162238" cy="4973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1524000</xdr:colOff>
      <xdr:row>24</xdr:row>
      <xdr:rowOff>9525</xdr:rowOff>
    </xdr:from>
    <xdr:to>
      <xdr:col>5</xdr:col>
      <xdr:colOff>2498913</xdr:colOff>
      <xdr:row>27</xdr:row>
      <xdr:rowOff>46504</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1E00-000005000000}"/>
            </a:ext>
          </a:extLst>
        </xdr:cNvPr>
        <xdr:cNvSpPr>
          <a:spLocks noChangeArrowheads="1"/>
        </xdr:cNvSpPr>
      </xdr:nvSpPr>
      <xdr:spPr bwMode="auto">
        <a:xfrm>
          <a:off x="6981825"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2581275</xdr:colOff>
      <xdr:row>24</xdr:row>
      <xdr:rowOff>9525</xdr:rowOff>
    </xdr:from>
    <xdr:to>
      <xdr:col>5</xdr:col>
      <xdr:colOff>3556188</xdr:colOff>
      <xdr:row>27</xdr:row>
      <xdr:rowOff>46504</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1E00-000006000000}"/>
            </a:ext>
          </a:extLst>
        </xdr:cNvPr>
        <xdr:cNvSpPr>
          <a:spLocks noChangeArrowheads="1"/>
        </xdr:cNvSpPr>
      </xdr:nvSpPr>
      <xdr:spPr bwMode="auto">
        <a:xfrm>
          <a:off x="8039100"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466725</xdr:colOff>
      <xdr:row>24</xdr:row>
      <xdr:rowOff>9525</xdr:rowOff>
    </xdr:from>
    <xdr:to>
      <xdr:col>5</xdr:col>
      <xdr:colOff>1441638</xdr:colOff>
      <xdr:row>27</xdr:row>
      <xdr:rowOff>46504</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1E00-000007000000}"/>
            </a:ext>
          </a:extLst>
        </xdr:cNvPr>
        <xdr:cNvSpPr>
          <a:spLocks noChangeArrowheads="1"/>
        </xdr:cNvSpPr>
      </xdr:nvSpPr>
      <xdr:spPr bwMode="auto">
        <a:xfrm>
          <a:off x="5924550"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1</xdr:rowOff>
    </xdr:from>
    <xdr:to>
      <xdr:col>8</xdr:col>
      <xdr:colOff>4229099</xdr:colOff>
      <xdr:row>22</xdr:row>
      <xdr:rowOff>228600</xdr:rowOff>
    </xdr:to>
    <xdr:graphicFrame macro="">
      <xdr:nvGraphicFramePr>
        <xdr:cNvPr id="9" name="Chart 5">
          <a:extLst>
            <a:ext uri="{FF2B5EF4-FFF2-40B4-BE49-F238E27FC236}">
              <a16:creationId xmlns:a16="http://schemas.microsoft.com/office/drawing/2014/main" id="{00000000-0008-0000-1E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9</xdr:col>
      <xdr:colOff>568325</xdr:colOff>
      <xdr:row>5</xdr:row>
      <xdr:rowOff>106643</xdr:rowOff>
    </xdr:from>
    <xdr:to>
      <xdr:col>11</xdr:col>
      <xdr:colOff>435163</xdr:colOff>
      <xdr:row>7</xdr:row>
      <xdr:rowOff>105522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1F00-000002000000}"/>
            </a:ext>
          </a:extLst>
        </xdr:cNvPr>
        <xdr:cNvSpPr>
          <a:spLocks noChangeArrowheads="1"/>
        </xdr:cNvSpPr>
      </xdr:nvSpPr>
      <xdr:spPr bwMode="auto">
        <a:xfrm>
          <a:off x="14827250" y="1135343"/>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568325</xdr:colOff>
      <xdr:row>2</xdr:row>
      <xdr:rowOff>66675</xdr:rowOff>
    </xdr:from>
    <xdr:to>
      <xdr:col>11</xdr:col>
      <xdr:colOff>435163</xdr:colOff>
      <xdr:row>5</xdr:row>
      <xdr:rowOff>30629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1F00-000003000000}"/>
            </a:ext>
          </a:extLst>
        </xdr:cNvPr>
        <xdr:cNvSpPr>
          <a:spLocks noChangeArrowheads="1"/>
        </xdr:cNvSpPr>
      </xdr:nvSpPr>
      <xdr:spPr bwMode="auto">
        <a:xfrm>
          <a:off x="14827250" y="495300"/>
          <a:ext cx="1086038" cy="56402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1524000</xdr:colOff>
      <xdr:row>24</xdr:row>
      <xdr:rowOff>9525</xdr:rowOff>
    </xdr:from>
    <xdr:to>
      <xdr:col>5</xdr:col>
      <xdr:colOff>2498913</xdr:colOff>
      <xdr:row>27</xdr:row>
      <xdr:rowOff>46504</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1F00-000004000000}"/>
            </a:ext>
          </a:extLst>
        </xdr:cNvPr>
        <xdr:cNvSpPr>
          <a:spLocks noChangeArrowheads="1"/>
        </xdr:cNvSpPr>
      </xdr:nvSpPr>
      <xdr:spPr bwMode="auto">
        <a:xfrm>
          <a:off x="6981825"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2581275</xdr:colOff>
      <xdr:row>24</xdr:row>
      <xdr:rowOff>9525</xdr:rowOff>
    </xdr:from>
    <xdr:to>
      <xdr:col>5</xdr:col>
      <xdr:colOff>3556188</xdr:colOff>
      <xdr:row>27</xdr:row>
      <xdr:rowOff>46504</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1F00-000005000000}"/>
            </a:ext>
          </a:extLst>
        </xdr:cNvPr>
        <xdr:cNvSpPr>
          <a:spLocks noChangeArrowheads="1"/>
        </xdr:cNvSpPr>
      </xdr:nvSpPr>
      <xdr:spPr bwMode="auto">
        <a:xfrm>
          <a:off x="8039100"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466725</xdr:colOff>
      <xdr:row>24</xdr:row>
      <xdr:rowOff>9525</xdr:rowOff>
    </xdr:from>
    <xdr:to>
      <xdr:col>5</xdr:col>
      <xdr:colOff>1441638</xdr:colOff>
      <xdr:row>27</xdr:row>
      <xdr:rowOff>46504</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1F00-000006000000}"/>
            </a:ext>
          </a:extLst>
        </xdr:cNvPr>
        <xdr:cNvSpPr>
          <a:spLocks noChangeArrowheads="1"/>
        </xdr:cNvSpPr>
      </xdr:nvSpPr>
      <xdr:spPr bwMode="auto">
        <a:xfrm>
          <a:off x="5924550"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1F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9</xdr:col>
      <xdr:colOff>92075</xdr:colOff>
      <xdr:row>5</xdr:row>
      <xdr:rowOff>74893</xdr:rowOff>
    </xdr:from>
    <xdr:to>
      <xdr:col>10</xdr:col>
      <xdr:colOff>625663</xdr:colOff>
      <xdr:row>7</xdr:row>
      <xdr:rowOff>29322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2000-000003000000}"/>
            </a:ext>
          </a:extLst>
        </xdr:cNvPr>
        <xdr:cNvSpPr>
          <a:spLocks noChangeArrowheads="1"/>
        </xdr:cNvSpPr>
      </xdr:nvSpPr>
      <xdr:spPr bwMode="auto">
        <a:xfrm>
          <a:off x="15103475" y="1052793"/>
          <a:ext cx="1181288" cy="46242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92075</xdr:colOff>
      <xdr:row>1</xdr:row>
      <xdr:rowOff>276225</xdr:rowOff>
    </xdr:from>
    <xdr:to>
      <xdr:col>10</xdr:col>
      <xdr:colOff>625663</xdr:colOff>
      <xdr:row>4</xdr:row>
      <xdr:rowOff>157629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000-000004000000}"/>
            </a:ext>
          </a:extLst>
        </xdr:cNvPr>
        <xdr:cNvSpPr>
          <a:spLocks noChangeArrowheads="1"/>
        </xdr:cNvSpPr>
      </xdr:nvSpPr>
      <xdr:spPr bwMode="auto">
        <a:xfrm>
          <a:off x="15103475" y="441325"/>
          <a:ext cx="1181288" cy="52910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1543050</xdr:colOff>
      <xdr:row>24</xdr:row>
      <xdr:rowOff>14568</xdr:rowOff>
    </xdr:from>
    <xdr:to>
      <xdr:col>5</xdr:col>
      <xdr:colOff>2517963</xdr:colOff>
      <xdr:row>27</xdr:row>
      <xdr:rowOff>51547</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2000-000005000000}"/>
            </a:ext>
          </a:extLst>
        </xdr:cNvPr>
        <xdr:cNvSpPr>
          <a:spLocks noChangeArrowheads="1"/>
        </xdr:cNvSpPr>
      </xdr:nvSpPr>
      <xdr:spPr bwMode="auto">
        <a:xfrm>
          <a:off x="7000875" y="5434293"/>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2600325</xdr:colOff>
      <xdr:row>24</xdr:row>
      <xdr:rowOff>14568</xdr:rowOff>
    </xdr:from>
    <xdr:to>
      <xdr:col>5</xdr:col>
      <xdr:colOff>3575238</xdr:colOff>
      <xdr:row>27</xdr:row>
      <xdr:rowOff>51547</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2000-000006000000}"/>
            </a:ext>
          </a:extLst>
        </xdr:cNvPr>
        <xdr:cNvSpPr>
          <a:spLocks noChangeArrowheads="1"/>
        </xdr:cNvSpPr>
      </xdr:nvSpPr>
      <xdr:spPr bwMode="auto">
        <a:xfrm>
          <a:off x="8058150" y="5434293"/>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485775</xdr:colOff>
      <xdr:row>24</xdr:row>
      <xdr:rowOff>14568</xdr:rowOff>
    </xdr:from>
    <xdr:to>
      <xdr:col>5</xdr:col>
      <xdr:colOff>1460688</xdr:colOff>
      <xdr:row>27</xdr:row>
      <xdr:rowOff>51547</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2000-000007000000}"/>
            </a:ext>
          </a:extLst>
        </xdr:cNvPr>
        <xdr:cNvSpPr>
          <a:spLocks noChangeArrowheads="1"/>
        </xdr:cNvSpPr>
      </xdr:nvSpPr>
      <xdr:spPr bwMode="auto">
        <a:xfrm>
          <a:off x="5943600" y="5434293"/>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9" name="Chart 5">
          <a:extLst>
            <a:ext uri="{FF2B5EF4-FFF2-40B4-BE49-F238E27FC236}">
              <a16:creationId xmlns:a16="http://schemas.microsoft.com/office/drawing/2014/main" id="{00000000-0008-0000-2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3667125</xdr:colOff>
      <xdr:row>3</xdr:row>
      <xdr:rowOff>176493</xdr:rowOff>
    </xdr:from>
    <xdr:to>
      <xdr:col>9</xdr:col>
      <xdr:colOff>593913</xdr:colOff>
      <xdr:row>6</xdr:row>
      <xdr:rowOff>22972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100-000002000000}"/>
            </a:ext>
          </a:extLst>
        </xdr:cNvPr>
        <xdr:cNvSpPr>
          <a:spLocks noChangeArrowheads="1"/>
        </xdr:cNvSpPr>
      </xdr:nvSpPr>
      <xdr:spPr bwMode="auto">
        <a:xfrm>
          <a:off x="13877925" y="776568"/>
          <a:ext cx="974913"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8</xdr:col>
      <xdr:colOff>3667125</xdr:colOff>
      <xdr:row>1</xdr:row>
      <xdr:rowOff>9525</xdr:rowOff>
    </xdr:from>
    <xdr:to>
      <xdr:col>9</xdr:col>
      <xdr:colOff>593913</xdr:colOff>
      <xdr:row>3</xdr:row>
      <xdr:rowOff>94129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100-000003000000}"/>
            </a:ext>
          </a:extLst>
        </xdr:cNvPr>
        <xdr:cNvSpPr>
          <a:spLocks noChangeArrowheads="1"/>
        </xdr:cNvSpPr>
      </xdr:nvSpPr>
      <xdr:spPr bwMode="auto">
        <a:xfrm>
          <a:off x="13877925" y="171450"/>
          <a:ext cx="974913" cy="5227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1543050</xdr:colOff>
      <xdr:row>24</xdr:row>
      <xdr:rowOff>14568</xdr:rowOff>
    </xdr:from>
    <xdr:to>
      <xdr:col>5</xdr:col>
      <xdr:colOff>2517963</xdr:colOff>
      <xdr:row>27</xdr:row>
      <xdr:rowOff>51547</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2100-000004000000}"/>
            </a:ext>
          </a:extLst>
        </xdr:cNvPr>
        <xdr:cNvSpPr>
          <a:spLocks noChangeArrowheads="1"/>
        </xdr:cNvSpPr>
      </xdr:nvSpPr>
      <xdr:spPr bwMode="auto">
        <a:xfrm>
          <a:off x="7000875" y="5434293"/>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2600325</xdr:colOff>
      <xdr:row>24</xdr:row>
      <xdr:rowOff>14568</xdr:rowOff>
    </xdr:from>
    <xdr:to>
      <xdr:col>5</xdr:col>
      <xdr:colOff>3575238</xdr:colOff>
      <xdr:row>27</xdr:row>
      <xdr:rowOff>51547</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2100-000005000000}"/>
            </a:ext>
          </a:extLst>
        </xdr:cNvPr>
        <xdr:cNvSpPr>
          <a:spLocks noChangeArrowheads="1"/>
        </xdr:cNvSpPr>
      </xdr:nvSpPr>
      <xdr:spPr bwMode="auto">
        <a:xfrm>
          <a:off x="8058150" y="5434293"/>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485775</xdr:colOff>
      <xdr:row>24</xdr:row>
      <xdr:rowOff>14568</xdr:rowOff>
    </xdr:from>
    <xdr:to>
      <xdr:col>5</xdr:col>
      <xdr:colOff>1460688</xdr:colOff>
      <xdr:row>27</xdr:row>
      <xdr:rowOff>51547</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2100-000006000000}"/>
            </a:ext>
          </a:extLst>
        </xdr:cNvPr>
        <xdr:cNvSpPr>
          <a:spLocks noChangeArrowheads="1"/>
        </xdr:cNvSpPr>
      </xdr:nvSpPr>
      <xdr:spPr bwMode="auto">
        <a:xfrm>
          <a:off x="5943600" y="5434293"/>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2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117475</xdr:colOff>
      <xdr:row>5</xdr:row>
      <xdr:rowOff>125693</xdr:rowOff>
    </xdr:from>
    <xdr:to>
      <xdr:col>11</xdr:col>
      <xdr:colOff>3363</xdr:colOff>
      <xdr:row>7</xdr:row>
      <xdr:rowOff>80122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2200-000003000000}"/>
            </a:ext>
          </a:extLst>
        </xdr:cNvPr>
        <xdr:cNvSpPr>
          <a:spLocks noChangeArrowheads="1"/>
        </xdr:cNvSpPr>
      </xdr:nvSpPr>
      <xdr:spPr bwMode="auto">
        <a:xfrm>
          <a:off x="15128875" y="1103593"/>
          <a:ext cx="1181288" cy="46242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117475</xdr:colOff>
      <xdr:row>2</xdr:row>
      <xdr:rowOff>41275</xdr:rowOff>
    </xdr:from>
    <xdr:to>
      <xdr:col>11</xdr:col>
      <xdr:colOff>3363</xdr:colOff>
      <xdr:row>5</xdr:row>
      <xdr:rowOff>43329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200-000004000000}"/>
            </a:ext>
          </a:extLst>
        </xdr:cNvPr>
        <xdr:cNvSpPr>
          <a:spLocks noChangeArrowheads="1"/>
        </xdr:cNvSpPr>
      </xdr:nvSpPr>
      <xdr:spPr bwMode="auto">
        <a:xfrm>
          <a:off x="15128875" y="485775"/>
          <a:ext cx="1181288" cy="5354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1514475</xdr:colOff>
      <xdr:row>24</xdr:row>
      <xdr:rowOff>9525</xdr:rowOff>
    </xdr:from>
    <xdr:to>
      <xdr:col>5</xdr:col>
      <xdr:colOff>2489388</xdr:colOff>
      <xdr:row>27</xdr:row>
      <xdr:rowOff>46504</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2200-000005000000}"/>
            </a:ext>
          </a:extLst>
        </xdr:cNvPr>
        <xdr:cNvSpPr>
          <a:spLocks noChangeArrowheads="1"/>
        </xdr:cNvSpPr>
      </xdr:nvSpPr>
      <xdr:spPr bwMode="auto">
        <a:xfrm>
          <a:off x="6972300"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2571750</xdr:colOff>
      <xdr:row>24</xdr:row>
      <xdr:rowOff>9525</xdr:rowOff>
    </xdr:from>
    <xdr:to>
      <xdr:col>5</xdr:col>
      <xdr:colOff>3546663</xdr:colOff>
      <xdr:row>27</xdr:row>
      <xdr:rowOff>46504</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2200-000006000000}"/>
            </a:ext>
          </a:extLst>
        </xdr:cNvPr>
        <xdr:cNvSpPr>
          <a:spLocks noChangeArrowheads="1"/>
        </xdr:cNvSpPr>
      </xdr:nvSpPr>
      <xdr:spPr bwMode="auto">
        <a:xfrm>
          <a:off x="8029575"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457200</xdr:colOff>
      <xdr:row>24</xdr:row>
      <xdr:rowOff>9525</xdr:rowOff>
    </xdr:from>
    <xdr:to>
      <xdr:col>5</xdr:col>
      <xdr:colOff>1432113</xdr:colOff>
      <xdr:row>27</xdr:row>
      <xdr:rowOff>46504</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2200-000007000000}"/>
            </a:ext>
          </a:extLst>
        </xdr:cNvPr>
        <xdr:cNvSpPr>
          <a:spLocks noChangeArrowheads="1"/>
        </xdr:cNvSpPr>
      </xdr:nvSpPr>
      <xdr:spPr bwMode="auto">
        <a:xfrm>
          <a:off x="5915025"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10" name="Chart 5">
          <a:extLst>
            <a:ext uri="{FF2B5EF4-FFF2-40B4-BE49-F238E27FC236}">
              <a16:creationId xmlns:a16="http://schemas.microsoft.com/office/drawing/2014/main" id="{00000000-0008-0000-2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8</xdr:col>
      <xdr:colOff>3667125</xdr:colOff>
      <xdr:row>3</xdr:row>
      <xdr:rowOff>176493</xdr:rowOff>
    </xdr:from>
    <xdr:to>
      <xdr:col>9</xdr:col>
      <xdr:colOff>593913</xdr:colOff>
      <xdr:row>6</xdr:row>
      <xdr:rowOff>22972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300-000002000000}"/>
            </a:ext>
          </a:extLst>
        </xdr:cNvPr>
        <xdr:cNvSpPr>
          <a:spLocks noChangeArrowheads="1"/>
        </xdr:cNvSpPr>
      </xdr:nvSpPr>
      <xdr:spPr bwMode="auto">
        <a:xfrm>
          <a:off x="13877925" y="776568"/>
          <a:ext cx="974913"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8</xdr:col>
      <xdr:colOff>3667125</xdr:colOff>
      <xdr:row>1</xdr:row>
      <xdr:rowOff>9525</xdr:rowOff>
    </xdr:from>
    <xdr:to>
      <xdr:col>9</xdr:col>
      <xdr:colOff>593913</xdr:colOff>
      <xdr:row>3</xdr:row>
      <xdr:rowOff>94129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300-000003000000}"/>
            </a:ext>
          </a:extLst>
        </xdr:cNvPr>
        <xdr:cNvSpPr>
          <a:spLocks noChangeArrowheads="1"/>
        </xdr:cNvSpPr>
      </xdr:nvSpPr>
      <xdr:spPr bwMode="auto">
        <a:xfrm>
          <a:off x="13877925" y="171450"/>
          <a:ext cx="974913" cy="5227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1514475</xdr:colOff>
      <xdr:row>24</xdr:row>
      <xdr:rowOff>9525</xdr:rowOff>
    </xdr:from>
    <xdr:to>
      <xdr:col>5</xdr:col>
      <xdr:colOff>2489388</xdr:colOff>
      <xdr:row>27</xdr:row>
      <xdr:rowOff>46504</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2300-000004000000}"/>
            </a:ext>
          </a:extLst>
        </xdr:cNvPr>
        <xdr:cNvSpPr>
          <a:spLocks noChangeArrowheads="1"/>
        </xdr:cNvSpPr>
      </xdr:nvSpPr>
      <xdr:spPr bwMode="auto">
        <a:xfrm>
          <a:off x="6972300"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2571750</xdr:colOff>
      <xdr:row>24</xdr:row>
      <xdr:rowOff>9525</xdr:rowOff>
    </xdr:from>
    <xdr:to>
      <xdr:col>5</xdr:col>
      <xdr:colOff>3546663</xdr:colOff>
      <xdr:row>27</xdr:row>
      <xdr:rowOff>46504</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2300-000005000000}"/>
            </a:ext>
          </a:extLst>
        </xdr:cNvPr>
        <xdr:cNvSpPr>
          <a:spLocks noChangeArrowheads="1"/>
        </xdr:cNvSpPr>
      </xdr:nvSpPr>
      <xdr:spPr bwMode="auto">
        <a:xfrm>
          <a:off x="8029575"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457200</xdr:colOff>
      <xdr:row>24</xdr:row>
      <xdr:rowOff>9525</xdr:rowOff>
    </xdr:from>
    <xdr:to>
      <xdr:col>5</xdr:col>
      <xdr:colOff>1432113</xdr:colOff>
      <xdr:row>27</xdr:row>
      <xdr:rowOff>46504</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2300-000006000000}"/>
            </a:ext>
          </a:extLst>
        </xdr:cNvPr>
        <xdr:cNvSpPr>
          <a:spLocks noChangeArrowheads="1"/>
        </xdr:cNvSpPr>
      </xdr:nvSpPr>
      <xdr:spPr bwMode="auto">
        <a:xfrm>
          <a:off x="5915025"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2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0</xdr:colOff>
      <xdr:row>6</xdr:row>
      <xdr:rowOff>0</xdr:rowOff>
    </xdr:from>
    <xdr:to>
      <xdr:col>21</xdr:col>
      <xdr:colOff>587188</xdr:colOff>
      <xdr:row>9</xdr:row>
      <xdr:rowOff>142875</xdr:rowOff>
    </xdr:to>
    <xdr:sp macro="" textlink="">
      <xdr:nvSpPr>
        <xdr:cNvPr id="65" name="AutoShape 48">
          <a:hlinkClick xmlns:r="http://schemas.openxmlformats.org/officeDocument/2006/relationships" r:id="rId1"/>
          <a:extLst>
            <a:ext uri="{FF2B5EF4-FFF2-40B4-BE49-F238E27FC236}">
              <a16:creationId xmlns:a16="http://schemas.microsoft.com/office/drawing/2014/main" id="{00000000-0008-0000-2400-000041000000}"/>
            </a:ext>
          </a:extLst>
        </xdr:cNvPr>
        <xdr:cNvSpPr>
          <a:spLocks noChangeArrowheads="1"/>
        </xdr:cNvSpPr>
      </xdr:nvSpPr>
      <xdr:spPr bwMode="auto">
        <a:xfrm>
          <a:off x="12052300" y="1174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r>
            <a:rPr lang="nl-NL" sz="1100" b="0" i="0" baseline="0">
              <a:effectLst/>
              <a:latin typeface="Arial" panose="020B0604020202020204" pitchFamily="34" charset="0"/>
              <a:ea typeface="+mn-ea"/>
              <a:cs typeface="Arial" panose="020B0604020202020204" pitchFamily="34" charset="0"/>
            </a:rPr>
            <a:t>intensieve aanpak 2e periode</a:t>
          </a:r>
          <a:endParaRPr lang="nl-NL" sz="1100">
            <a:effectLst/>
            <a:latin typeface="Arial" panose="020B0604020202020204" pitchFamily="34" charset="0"/>
            <a:cs typeface="Arial" panose="020B0604020202020204" pitchFamily="34" charset="0"/>
          </a:endParaRPr>
        </a:p>
      </xdr:txBody>
    </xdr:sp>
    <xdr:clientData/>
  </xdr:twoCellAnchor>
  <xdr:twoCellAnchor>
    <xdr:from>
      <xdr:col>20</xdr:col>
      <xdr:colOff>0</xdr:colOff>
      <xdr:row>10</xdr:row>
      <xdr:rowOff>0</xdr:rowOff>
    </xdr:from>
    <xdr:to>
      <xdr:col>21</xdr:col>
      <xdr:colOff>587188</xdr:colOff>
      <xdr:row>13</xdr:row>
      <xdr:rowOff>142875</xdr:rowOff>
    </xdr:to>
    <xdr:sp macro="" textlink="">
      <xdr:nvSpPr>
        <xdr:cNvPr id="67" name="AutoShape 48">
          <a:hlinkClick xmlns:r="http://schemas.openxmlformats.org/officeDocument/2006/relationships" r:id="rId2"/>
          <a:extLst>
            <a:ext uri="{FF2B5EF4-FFF2-40B4-BE49-F238E27FC236}">
              <a16:creationId xmlns:a16="http://schemas.microsoft.com/office/drawing/2014/main" id="{00000000-0008-0000-2400-000043000000}"/>
            </a:ext>
          </a:extLst>
        </xdr:cNvPr>
        <xdr:cNvSpPr>
          <a:spLocks noChangeArrowheads="1"/>
        </xdr:cNvSpPr>
      </xdr:nvSpPr>
      <xdr:spPr bwMode="auto">
        <a:xfrm>
          <a:off x="12052300" y="1809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basisaanpak</a:t>
          </a:r>
        </a:p>
        <a:p>
          <a:pPr algn="ctr" rtl="0">
            <a:defRPr sz="1000"/>
          </a:pPr>
          <a:r>
            <a:rPr lang="nl-NL" sz="1100" b="0" i="0" u="none" strike="noStrike" baseline="0">
              <a:solidFill>
                <a:srgbClr val="000000"/>
              </a:solidFill>
              <a:latin typeface="Arial"/>
              <a:cs typeface="Arial"/>
            </a:rPr>
            <a:t>2e periode</a:t>
          </a:r>
        </a:p>
      </xdr:txBody>
    </xdr:sp>
    <xdr:clientData/>
  </xdr:twoCellAnchor>
  <xdr:twoCellAnchor>
    <xdr:from>
      <xdr:col>20</xdr:col>
      <xdr:colOff>0</xdr:colOff>
      <xdr:row>14</xdr:row>
      <xdr:rowOff>0</xdr:rowOff>
    </xdr:from>
    <xdr:to>
      <xdr:col>21</xdr:col>
      <xdr:colOff>587188</xdr:colOff>
      <xdr:row>17</xdr:row>
      <xdr:rowOff>142875</xdr:rowOff>
    </xdr:to>
    <xdr:sp macro="" textlink="">
      <xdr:nvSpPr>
        <xdr:cNvPr id="69" name="AutoShape 48">
          <a:hlinkClick xmlns:r="http://schemas.openxmlformats.org/officeDocument/2006/relationships" r:id="rId3"/>
          <a:extLst>
            <a:ext uri="{FF2B5EF4-FFF2-40B4-BE49-F238E27FC236}">
              <a16:creationId xmlns:a16="http://schemas.microsoft.com/office/drawing/2014/main" id="{00000000-0008-0000-2400-000045000000}"/>
            </a:ext>
          </a:extLst>
        </xdr:cNvPr>
        <xdr:cNvSpPr>
          <a:spLocks noChangeArrowheads="1"/>
        </xdr:cNvSpPr>
      </xdr:nvSpPr>
      <xdr:spPr bwMode="auto">
        <a:xfrm>
          <a:off x="12052300" y="2444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verrijkte aanpak</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8</xdr:col>
      <xdr:colOff>6350</xdr:colOff>
      <xdr:row>6</xdr:row>
      <xdr:rowOff>0</xdr:rowOff>
    </xdr:from>
    <xdr:to>
      <xdr:col>9</xdr:col>
      <xdr:colOff>593538</xdr:colOff>
      <xdr:row>9</xdr:row>
      <xdr:rowOff>142875</xdr:rowOff>
    </xdr:to>
    <xdr:sp macro="" textlink="">
      <xdr:nvSpPr>
        <xdr:cNvPr id="75" name="AutoShape 48">
          <a:hlinkClick xmlns:r="http://schemas.openxmlformats.org/officeDocument/2006/relationships" r:id="rId4"/>
          <a:extLst>
            <a:ext uri="{FF2B5EF4-FFF2-40B4-BE49-F238E27FC236}">
              <a16:creationId xmlns:a16="http://schemas.microsoft.com/office/drawing/2014/main" id="{00000000-0008-0000-2400-00004B000000}"/>
            </a:ext>
          </a:extLst>
        </xdr:cNvPr>
        <xdr:cNvSpPr>
          <a:spLocks noChangeArrowheads="1"/>
        </xdr:cNvSpPr>
      </xdr:nvSpPr>
      <xdr:spPr bwMode="auto">
        <a:xfrm>
          <a:off x="4895850" y="117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aanleg</a:t>
          </a:r>
        </a:p>
      </xdr:txBody>
    </xdr:sp>
    <xdr:clientData/>
  </xdr:twoCellAnchor>
  <xdr:twoCellAnchor>
    <xdr:from>
      <xdr:col>8</xdr:col>
      <xdr:colOff>6350</xdr:colOff>
      <xdr:row>10</xdr:row>
      <xdr:rowOff>0</xdr:rowOff>
    </xdr:from>
    <xdr:to>
      <xdr:col>9</xdr:col>
      <xdr:colOff>593538</xdr:colOff>
      <xdr:row>13</xdr:row>
      <xdr:rowOff>142875</xdr:rowOff>
    </xdr:to>
    <xdr:sp macro="" textlink="">
      <xdr:nvSpPr>
        <xdr:cNvPr id="76" name="AutoShape 48">
          <a:hlinkClick xmlns:r="http://schemas.openxmlformats.org/officeDocument/2006/relationships" r:id="rId5"/>
          <a:extLst>
            <a:ext uri="{FF2B5EF4-FFF2-40B4-BE49-F238E27FC236}">
              <a16:creationId xmlns:a16="http://schemas.microsoft.com/office/drawing/2014/main" id="{00000000-0008-0000-2400-00004C000000}"/>
            </a:ext>
          </a:extLst>
        </xdr:cNvPr>
        <xdr:cNvSpPr>
          <a:spLocks noChangeArrowheads="1"/>
        </xdr:cNvSpPr>
      </xdr:nvSpPr>
      <xdr:spPr bwMode="auto">
        <a:xfrm>
          <a:off x="4895850" y="180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Opbrenstgericht Passend Onderwijs </a:t>
          </a:r>
          <a:endParaRPr lang="nl-NL" sz="1100"/>
        </a:p>
      </xdr:txBody>
    </xdr:sp>
    <xdr:clientData/>
  </xdr:twoCellAnchor>
  <xdr:twoCellAnchor>
    <xdr:from>
      <xdr:col>7</xdr:col>
      <xdr:colOff>523874</xdr:colOff>
      <xdr:row>5</xdr:row>
      <xdr:rowOff>28575</xdr:rowOff>
    </xdr:from>
    <xdr:to>
      <xdr:col>12</xdr:col>
      <xdr:colOff>112058</xdr:colOff>
      <xdr:row>30</xdr:row>
      <xdr:rowOff>142875</xdr:rowOff>
    </xdr:to>
    <xdr:sp macro="" textlink="">
      <xdr:nvSpPr>
        <xdr:cNvPr id="6" name="Rechthoek 5">
          <a:extLst>
            <a:ext uri="{FF2B5EF4-FFF2-40B4-BE49-F238E27FC236}">
              <a16:creationId xmlns:a16="http://schemas.microsoft.com/office/drawing/2014/main" id="{00000000-0008-0000-2400-000006000000}"/>
            </a:ext>
          </a:extLst>
        </xdr:cNvPr>
        <xdr:cNvSpPr/>
      </xdr:nvSpPr>
      <xdr:spPr bwMode="auto">
        <a:xfrm>
          <a:off x="4797050" y="887693"/>
          <a:ext cx="2621243" cy="4036358"/>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12</xdr:col>
      <xdr:colOff>491936</xdr:colOff>
      <xdr:row>5</xdr:row>
      <xdr:rowOff>28576</xdr:rowOff>
    </xdr:from>
    <xdr:to>
      <xdr:col>17</xdr:col>
      <xdr:colOff>104587</xdr:colOff>
      <xdr:row>30</xdr:row>
      <xdr:rowOff>142875</xdr:rowOff>
    </xdr:to>
    <xdr:sp macro="" textlink="">
      <xdr:nvSpPr>
        <xdr:cNvPr id="99" name="Rechthoek 98">
          <a:extLst>
            <a:ext uri="{FF2B5EF4-FFF2-40B4-BE49-F238E27FC236}">
              <a16:creationId xmlns:a16="http://schemas.microsoft.com/office/drawing/2014/main" id="{00000000-0008-0000-2400-000063000000}"/>
            </a:ext>
          </a:extLst>
        </xdr:cNvPr>
        <xdr:cNvSpPr/>
      </xdr:nvSpPr>
      <xdr:spPr bwMode="auto">
        <a:xfrm>
          <a:off x="7798171" y="887694"/>
          <a:ext cx="2600887" cy="4036357"/>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485589</xdr:colOff>
      <xdr:row>5</xdr:row>
      <xdr:rowOff>28576</xdr:rowOff>
    </xdr:from>
    <xdr:to>
      <xdr:col>22</xdr:col>
      <xdr:colOff>112059</xdr:colOff>
      <xdr:row>30</xdr:row>
      <xdr:rowOff>142875</xdr:rowOff>
    </xdr:to>
    <xdr:sp macro="" textlink="">
      <xdr:nvSpPr>
        <xdr:cNvPr id="100" name="Rechthoek 99">
          <a:extLst>
            <a:ext uri="{FF2B5EF4-FFF2-40B4-BE49-F238E27FC236}">
              <a16:creationId xmlns:a16="http://schemas.microsoft.com/office/drawing/2014/main" id="{00000000-0008-0000-2400-000064000000}"/>
            </a:ext>
          </a:extLst>
        </xdr:cNvPr>
        <xdr:cNvSpPr/>
      </xdr:nvSpPr>
      <xdr:spPr bwMode="auto">
        <a:xfrm>
          <a:off x="10780060" y="887694"/>
          <a:ext cx="2614705" cy="4036357"/>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13</xdr:col>
      <xdr:colOff>0</xdr:colOff>
      <xdr:row>6</xdr:row>
      <xdr:rowOff>0</xdr:rowOff>
    </xdr:from>
    <xdr:to>
      <xdr:col>14</xdr:col>
      <xdr:colOff>587188</xdr:colOff>
      <xdr:row>9</xdr:row>
      <xdr:rowOff>142875</xdr:rowOff>
    </xdr:to>
    <xdr:sp macro="" textlink="">
      <xdr:nvSpPr>
        <xdr:cNvPr id="107" name="AutoShape 48">
          <a:hlinkClick xmlns:r="http://schemas.openxmlformats.org/officeDocument/2006/relationships" r:id="rId6"/>
          <a:extLst>
            <a:ext uri="{FF2B5EF4-FFF2-40B4-BE49-F238E27FC236}">
              <a16:creationId xmlns:a16="http://schemas.microsoft.com/office/drawing/2014/main" id="{00000000-0008-0000-2400-00006B000000}"/>
            </a:ext>
          </a:extLst>
        </xdr:cNvPr>
        <xdr:cNvSpPr>
          <a:spLocks noChangeArrowheads="1"/>
        </xdr:cNvSpPr>
      </xdr:nvSpPr>
      <xdr:spPr bwMode="auto">
        <a:xfrm>
          <a:off x="4848225" y="1400175"/>
          <a:ext cx="1196788" cy="628650"/>
        </a:xfrm>
        <a:prstGeom prst="actionButtonBlank">
          <a:avLst/>
        </a:prstGeom>
        <a:solidFill>
          <a:srgbClr val="99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niveauwaarde</a:t>
          </a:r>
        </a:p>
        <a:p>
          <a:pPr algn="ctr" rtl="0">
            <a:defRPr sz="1000"/>
          </a:pPr>
          <a:r>
            <a:rPr lang="nl-NL" sz="1100" b="0" i="0" u="none" strike="noStrike" baseline="0">
              <a:solidFill>
                <a:srgbClr val="000000"/>
              </a:solidFill>
              <a:latin typeface="Arial"/>
              <a:cs typeface="Arial"/>
            </a:rPr>
            <a:t>1e toetsperiode </a:t>
          </a:r>
          <a:endParaRPr lang="nl-NL" sz="1100"/>
        </a:p>
      </xdr:txBody>
    </xdr:sp>
    <xdr:clientData/>
  </xdr:twoCellAnchor>
  <xdr:twoCellAnchor>
    <xdr:from>
      <xdr:col>13</xdr:col>
      <xdr:colOff>0</xdr:colOff>
      <xdr:row>10</xdr:row>
      <xdr:rowOff>0</xdr:rowOff>
    </xdr:from>
    <xdr:to>
      <xdr:col>14</xdr:col>
      <xdr:colOff>587188</xdr:colOff>
      <xdr:row>13</xdr:row>
      <xdr:rowOff>142875</xdr:rowOff>
    </xdr:to>
    <xdr:sp macro="" textlink="">
      <xdr:nvSpPr>
        <xdr:cNvPr id="108" name="AutoShape 48">
          <a:hlinkClick xmlns:r="http://schemas.openxmlformats.org/officeDocument/2006/relationships" r:id="rId7"/>
          <a:extLst>
            <a:ext uri="{FF2B5EF4-FFF2-40B4-BE49-F238E27FC236}">
              <a16:creationId xmlns:a16="http://schemas.microsoft.com/office/drawing/2014/main" id="{00000000-0008-0000-2400-00006C000000}"/>
            </a:ext>
          </a:extLst>
        </xdr:cNvPr>
        <xdr:cNvSpPr>
          <a:spLocks noChangeArrowheads="1"/>
        </xdr:cNvSpPr>
      </xdr:nvSpPr>
      <xdr:spPr bwMode="auto">
        <a:xfrm>
          <a:off x="4848225" y="2047875"/>
          <a:ext cx="1196788" cy="628650"/>
        </a:xfrm>
        <a:prstGeom prst="actionButtonBlank">
          <a:avLst/>
        </a:prstGeom>
        <a:solidFill>
          <a:srgbClr val="99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na 1e toetsperiode</a:t>
          </a:r>
          <a:endParaRPr lang="nl-NL" sz="1100"/>
        </a:p>
      </xdr:txBody>
    </xdr:sp>
    <xdr:clientData/>
  </xdr:twoCellAnchor>
  <xdr:twoCellAnchor>
    <xdr:from>
      <xdr:col>15</xdr:col>
      <xdr:colOff>0</xdr:colOff>
      <xdr:row>6</xdr:row>
      <xdr:rowOff>0</xdr:rowOff>
    </xdr:from>
    <xdr:to>
      <xdr:col>16</xdr:col>
      <xdr:colOff>587188</xdr:colOff>
      <xdr:row>9</xdr:row>
      <xdr:rowOff>142875</xdr:rowOff>
    </xdr:to>
    <xdr:sp macro="" textlink="">
      <xdr:nvSpPr>
        <xdr:cNvPr id="109" name="AutoShape 48">
          <a:hlinkClick xmlns:r="http://schemas.openxmlformats.org/officeDocument/2006/relationships" r:id="rId8"/>
          <a:extLst>
            <a:ext uri="{FF2B5EF4-FFF2-40B4-BE49-F238E27FC236}">
              <a16:creationId xmlns:a16="http://schemas.microsoft.com/office/drawing/2014/main" id="{00000000-0008-0000-2400-00006D000000}"/>
            </a:ext>
          </a:extLst>
        </xdr:cNvPr>
        <xdr:cNvSpPr>
          <a:spLocks noChangeArrowheads="1"/>
        </xdr:cNvSpPr>
      </xdr:nvSpPr>
      <xdr:spPr bwMode="auto">
        <a:xfrm>
          <a:off x="6067425" y="14001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intensieve aanpak 1e periode</a:t>
          </a:r>
          <a:endParaRPr lang="nl-NL" sz="1100"/>
        </a:p>
      </xdr:txBody>
    </xdr:sp>
    <xdr:clientData/>
  </xdr:twoCellAnchor>
  <xdr:twoCellAnchor>
    <xdr:from>
      <xdr:col>15</xdr:col>
      <xdr:colOff>0</xdr:colOff>
      <xdr:row>10</xdr:row>
      <xdr:rowOff>0</xdr:rowOff>
    </xdr:from>
    <xdr:to>
      <xdr:col>16</xdr:col>
      <xdr:colOff>587188</xdr:colOff>
      <xdr:row>13</xdr:row>
      <xdr:rowOff>142875</xdr:rowOff>
    </xdr:to>
    <xdr:sp macro="" textlink="">
      <xdr:nvSpPr>
        <xdr:cNvPr id="110" name="AutoShape 48">
          <a:hlinkClick xmlns:r="http://schemas.openxmlformats.org/officeDocument/2006/relationships" r:id="rId9"/>
          <a:extLst>
            <a:ext uri="{FF2B5EF4-FFF2-40B4-BE49-F238E27FC236}">
              <a16:creationId xmlns:a16="http://schemas.microsoft.com/office/drawing/2014/main" id="{00000000-0008-0000-2400-00006E000000}"/>
            </a:ext>
          </a:extLst>
        </xdr:cNvPr>
        <xdr:cNvSpPr>
          <a:spLocks noChangeArrowheads="1"/>
        </xdr:cNvSpPr>
      </xdr:nvSpPr>
      <xdr:spPr bwMode="auto">
        <a:xfrm>
          <a:off x="6067425" y="20478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basisaanpak </a:t>
          </a:r>
        </a:p>
        <a:p>
          <a:pPr algn="ctr" rtl="0">
            <a:defRPr sz="1000"/>
          </a:pPr>
          <a:r>
            <a:rPr lang="nl-NL" sz="1100" b="0" i="0" u="none" strike="noStrike" baseline="0">
              <a:solidFill>
                <a:srgbClr val="000000"/>
              </a:solidFill>
              <a:latin typeface="Arial"/>
              <a:cs typeface="Arial"/>
            </a:rPr>
            <a:t>1e periode</a:t>
          </a:r>
        </a:p>
      </xdr:txBody>
    </xdr:sp>
    <xdr:clientData/>
  </xdr:twoCellAnchor>
  <xdr:twoCellAnchor>
    <xdr:from>
      <xdr:col>18</xdr:col>
      <xdr:colOff>0</xdr:colOff>
      <xdr:row>6</xdr:row>
      <xdr:rowOff>0</xdr:rowOff>
    </xdr:from>
    <xdr:to>
      <xdr:col>19</xdr:col>
      <xdr:colOff>587188</xdr:colOff>
      <xdr:row>9</xdr:row>
      <xdr:rowOff>142875</xdr:rowOff>
    </xdr:to>
    <xdr:sp macro="" textlink="">
      <xdr:nvSpPr>
        <xdr:cNvPr id="111" name="AutoShape 48">
          <a:hlinkClick xmlns:r="http://schemas.openxmlformats.org/officeDocument/2006/relationships" r:id="rId10"/>
          <a:extLst>
            <a:ext uri="{FF2B5EF4-FFF2-40B4-BE49-F238E27FC236}">
              <a16:creationId xmlns:a16="http://schemas.microsoft.com/office/drawing/2014/main" id="{00000000-0008-0000-2400-00006F000000}"/>
            </a:ext>
          </a:extLst>
        </xdr:cNvPr>
        <xdr:cNvSpPr>
          <a:spLocks noChangeArrowheads="1"/>
        </xdr:cNvSpPr>
      </xdr:nvSpPr>
      <xdr:spPr bwMode="auto">
        <a:xfrm>
          <a:off x="7896225" y="1400175"/>
          <a:ext cx="1196788" cy="628650"/>
        </a:xfrm>
        <a:prstGeom prst="actionButtonBlank">
          <a:avLst/>
        </a:prstGeom>
        <a:solidFill>
          <a:srgbClr val="00B0F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niveauwaarde</a:t>
          </a:r>
        </a:p>
        <a:p>
          <a:pPr algn="ctr" rtl="0">
            <a:defRPr sz="1000"/>
          </a:pPr>
          <a:r>
            <a:rPr lang="nl-NL" sz="1100" b="0" i="0" u="none" strike="noStrike" baseline="0">
              <a:solidFill>
                <a:srgbClr val="000000"/>
              </a:solidFill>
              <a:latin typeface="Arial"/>
              <a:cs typeface="Arial"/>
            </a:rPr>
            <a:t>2e toetsperiode</a:t>
          </a:r>
          <a:endParaRPr lang="nl-NL" sz="1100"/>
        </a:p>
      </xdr:txBody>
    </xdr:sp>
    <xdr:clientData/>
  </xdr:twoCellAnchor>
  <xdr:twoCellAnchor>
    <xdr:from>
      <xdr:col>18</xdr:col>
      <xdr:colOff>0</xdr:colOff>
      <xdr:row>10</xdr:row>
      <xdr:rowOff>0</xdr:rowOff>
    </xdr:from>
    <xdr:to>
      <xdr:col>19</xdr:col>
      <xdr:colOff>587188</xdr:colOff>
      <xdr:row>13</xdr:row>
      <xdr:rowOff>142875</xdr:rowOff>
    </xdr:to>
    <xdr:sp macro="" textlink="">
      <xdr:nvSpPr>
        <xdr:cNvPr id="112" name="AutoShape 48">
          <a:hlinkClick xmlns:r="http://schemas.openxmlformats.org/officeDocument/2006/relationships" r:id="rId11"/>
          <a:extLst>
            <a:ext uri="{FF2B5EF4-FFF2-40B4-BE49-F238E27FC236}">
              <a16:creationId xmlns:a16="http://schemas.microsoft.com/office/drawing/2014/main" id="{00000000-0008-0000-2400-000070000000}"/>
            </a:ext>
          </a:extLst>
        </xdr:cNvPr>
        <xdr:cNvSpPr>
          <a:spLocks noChangeArrowheads="1"/>
        </xdr:cNvSpPr>
      </xdr:nvSpPr>
      <xdr:spPr bwMode="auto">
        <a:xfrm>
          <a:off x="7896225" y="2047875"/>
          <a:ext cx="1196788" cy="628650"/>
        </a:xfrm>
        <a:prstGeom prst="actionButtonBlank">
          <a:avLst/>
        </a:prstGeom>
        <a:solidFill>
          <a:srgbClr val="00B0F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na 2e toetsperiode</a:t>
          </a:r>
        </a:p>
      </xdr:txBody>
    </xdr:sp>
    <xdr:clientData/>
  </xdr:twoCellAnchor>
  <xdr:twoCellAnchor>
    <xdr:from>
      <xdr:col>15</xdr:col>
      <xdr:colOff>0</xdr:colOff>
      <xdr:row>14</xdr:row>
      <xdr:rowOff>0</xdr:rowOff>
    </xdr:from>
    <xdr:to>
      <xdr:col>16</xdr:col>
      <xdr:colOff>587188</xdr:colOff>
      <xdr:row>17</xdr:row>
      <xdr:rowOff>142875</xdr:rowOff>
    </xdr:to>
    <xdr:sp macro="" textlink="">
      <xdr:nvSpPr>
        <xdr:cNvPr id="113" name="AutoShape 48">
          <a:hlinkClick xmlns:r="http://schemas.openxmlformats.org/officeDocument/2006/relationships" r:id="rId12"/>
          <a:extLst>
            <a:ext uri="{FF2B5EF4-FFF2-40B4-BE49-F238E27FC236}">
              <a16:creationId xmlns:a16="http://schemas.microsoft.com/office/drawing/2014/main" id="{00000000-0008-0000-2400-000071000000}"/>
            </a:ext>
          </a:extLst>
        </xdr:cNvPr>
        <xdr:cNvSpPr>
          <a:spLocks noChangeArrowheads="1"/>
        </xdr:cNvSpPr>
      </xdr:nvSpPr>
      <xdr:spPr bwMode="auto">
        <a:xfrm>
          <a:off x="6067425" y="26955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a:latin typeface="Arial" panose="020B0604020202020204" pitchFamily="34" charset="0"/>
              <a:cs typeface="Arial" panose="020B0604020202020204" pitchFamily="34" charset="0"/>
            </a:rPr>
            <a:t>verrijkte</a:t>
          </a:r>
          <a:r>
            <a:rPr lang="nl-NL" sz="1100" baseline="0">
              <a:latin typeface="Arial" panose="020B0604020202020204" pitchFamily="34" charset="0"/>
              <a:cs typeface="Arial" panose="020B0604020202020204" pitchFamily="34" charset="0"/>
            </a:rPr>
            <a:t> </a:t>
          </a:r>
          <a:r>
            <a:rPr lang="nl-NL" sz="1100">
              <a:latin typeface="Arial" panose="020B0604020202020204" pitchFamily="34" charset="0"/>
              <a:cs typeface="Arial" panose="020B0604020202020204" pitchFamily="34" charset="0"/>
            </a:rPr>
            <a:t>aanpak  </a:t>
          </a:r>
        </a:p>
        <a:p>
          <a:pPr algn="ctr" rtl="0">
            <a:defRPr sz="1000"/>
          </a:pPr>
          <a:r>
            <a:rPr lang="nl-NL" sz="1100">
              <a:latin typeface="Arial" panose="020B0604020202020204" pitchFamily="34" charset="0"/>
              <a:cs typeface="Arial" panose="020B0604020202020204" pitchFamily="34" charset="0"/>
            </a:rPr>
            <a:t>1e periode</a:t>
          </a:r>
        </a:p>
      </xdr:txBody>
    </xdr:sp>
    <xdr:clientData/>
  </xdr:twoCellAnchor>
  <xdr:twoCellAnchor>
    <xdr:from>
      <xdr:col>15</xdr:col>
      <xdr:colOff>0</xdr:colOff>
      <xdr:row>22</xdr:row>
      <xdr:rowOff>0</xdr:rowOff>
    </xdr:from>
    <xdr:to>
      <xdr:col>16</xdr:col>
      <xdr:colOff>587188</xdr:colOff>
      <xdr:row>25</xdr:row>
      <xdr:rowOff>142875</xdr:rowOff>
    </xdr:to>
    <xdr:sp macro="" textlink="">
      <xdr:nvSpPr>
        <xdr:cNvPr id="114" name="AutoShape 48">
          <a:hlinkClick xmlns:r="http://schemas.openxmlformats.org/officeDocument/2006/relationships" r:id="rId13"/>
          <a:extLst>
            <a:ext uri="{FF2B5EF4-FFF2-40B4-BE49-F238E27FC236}">
              <a16:creationId xmlns:a16="http://schemas.microsoft.com/office/drawing/2014/main" id="{00000000-0008-0000-2400-000072000000}"/>
            </a:ext>
          </a:extLst>
        </xdr:cNvPr>
        <xdr:cNvSpPr>
          <a:spLocks noChangeArrowheads="1"/>
        </xdr:cNvSpPr>
      </xdr:nvSpPr>
      <xdr:spPr bwMode="auto">
        <a:xfrm>
          <a:off x="6067425" y="39909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begrijpend lezen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15</xdr:col>
      <xdr:colOff>0</xdr:colOff>
      <xdr:row>26</xdr:row>
      <xdr:rowOff>0</xdr:rowOff>
    </xdr:from>
    <xdr:to>
      <xdr:col>16</xdr:col>
      <xdr:colOff>587188</xdr:colOff>
      <xdr:row>29</xdr:row>
      <xdr:rowOff>142875</xdr:rowOff>
    </xdr:to>
    <xdr:sp macro="" textlink="">
      <xdr:nvSpPr>
        <xdr:cNvPr id="116" name="AutoShape 48">
          <a:hlinkClick xmlns:r="http://schemas.openxmlformats.org/officeDocument/2006/relationships" r:id="rId14"/>
          <a:extLst>
            <a:ext uri="{FF2B5EF4-FFF2-40B4-BE49-F238E27FC236}">
              <a16:creationId xmlns:a16="http://schemas.microsoft.com/office/drawing/2014/main" id="{00000000-0008-0000-2400-000074000000}"/>
            </a:ext>
          </a:extLst>
        </xdr:cNvPr>
        <xdr:cNvSpPr>
          <a:spLocks noChangeArrowheads="1"/>
        </xdr:cNvSpPr>
      </xdr:nvSpPr>
      <xdr:spPr bwMode="auto">
        <a:xfrm>
          <a:off x="6067425" y="46386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hoofdrekenen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20</xdr:col>
      <xdr:colOff>0</xdr:colOff>
      <xdr:row>22</xdr:row>
      <xdr:rowOff>0</xdr:rowOff>
    </xdr:from>
    <xdr:to>
      <xdr:col>21</xdr:col>
      <xdr:colOff>587188</xdr:colOff>
      <xdr:row>25</xdr:row>
      <xdr:rowOff>142875</xdr:rowOff>
    </xdr:to>
    <xdr:sp macro="" textlink="">
      <xdr:nvSpPr>
        <xdr:cNvPr id="118" name="AutoShape 48">
          <a:hlinkClick xmlns:r="http://schemas.openxmlformats.org/officeDocument/2006/relationships" r:id="rId15"/>
          <a:extLst>
            <a:ext uri="{FF2B5EF4-FFF2-40B4-BE49-F238E27FC236}">
              <a16:creationId xmlns:a16="http://schemas.microsoft.com/office/drawing/2014/main" id="{00000000-0008-0000-2400-000076000000}"/>
            </a:ext>
          </a:extLst>
        </xdr:cNvPr>
        <xdr:cNvSpPr>
          <a:spLocks noChangeArrowheads="1"/>
        </xdr:cNvSpPr>
      </xdr:nvSpPr>
      <xdr:spPr bwMode="auto">
        <a:xfrm>
          <a:off x="9115425" y="39909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begrijpend lezen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20</xdr:col>
      <xdr:colOff>0</xdr:colOff>
      <xdr:row>26</xdr:row>
      <xdr:rowOff>0</xdr:rowOff>
    </xdr:from>
    <xdr:to>
      <xdr:col>21</xdr:col>
      <xdr:colOff>587188</xdr:colOff>
      <xdr:row>29</xdr:row>
      <xdr:rowOff>142875</xdr:rowOff>
    </xdr:to>
    <xdr:sp macro="" textlink="">
      <xdr:nvSpPr>
        <xdr:cNvPr id="120" name="AutoShape 48">
          <a:hlinkClick xmlns:r="http://schemas.openxmlformats.org/officeDocument/2006/relationships" r:id="rId16"/>
          <a:extLst>
            <a:ext uri="{FF2B5EF4-FFF2-40B4-BE49-F238E27FC236}">
              <a16:creationId xmlns:a16="http://schemas.microsoft.com/office/drawing/2014/main" id="{00000000-0008-0000-2400-000078000000}"/>
            </a:ext>
          </a:extLst>
        </xdr:cNvPr>
        <xdr:cNvSpPr>
          <a:spLocks noChangeArrowheads="1"/>
        </xdr:cNvSpPr>
      </xdr:nvSpPr>
      <xdr:spPr bwMode="auto">
        <a:xfrm>
          <a:off x="9115425" y="46386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hoofdrekenen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18</xdr:row>
      <xdr:rowOff>0</xdr:rowOff>
    </xdr:from>
    <xdr:to>
      <xdr:col>14</xdr:col>
      <xdr:colOff>587188</xdr:colOff>
      <xdr:row>21</xdr:row>
      <xdr:rowOff>142875</xdr:rowOff>
    </xdr:to>
    <xdr:sp macro="" textlink="">
      <xdr:nvSpPr>
        <xdr:cNvPr id="122" name="AutoShape 48">
          <a:hlinkClick xmlns:r="http://schemas.openxmlformats.org/officeDocument/2006/relationships" r:id="rId17"/>
          <a:extLst>
            <a:ext uri="{FF2B5EF4-FFF2-40B4-BE49-F238E27FC236}">
              <a16:creationId xmlns:a16="http://schemas.microsoft.com/office/drawing/2014/main" id="{00000000-0008-0000-2400-00007A000000}"/>
            </a:ext>
          </a:extLst>
        </xdr:cNvPr>
        <xdr:cNvSpPr>
          <a:spLocks noChangeArrowheads="1"/>
        </xdr:cNvSpPr>
      </xdr:nvSpPr>
      <xdr:spPr bwMode="auto">
        <a:xfrm>
          <a:off x="4848225" y="33432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technisch lezen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13</xdr:col>
      <xdr:colOff>0</xdr:colOff>
      <xdr:row>22</xdr:row>
      <xdr:rowOff>0</xdr:rowOff>
    </xdr:from>
    <xdr:to>
      <xdr:col>14</xdr:col>
      <xdr:colOff>587188</xdr:colOff>
      <xdr:row>25</xdr:row>
      <xdr:rowOff>142875</xdr:rowOff>
    </xdr:to>
    <xdr:sp macro="" textlink="">
      <xdr:nvSpPr>
        <xdr:cNvPr id="123" name="AutoShape 48">
          <a:hlinkClick xmlns:r="http://schemas.openxmlformats.org/officeDocument/2006/relationships" r:id="rId18"/>
          <a:extLst>
            <a:ext uri="{FF2B5EF4-FFF2-40B4-BE49-F238E27FC236}">
              <a16:creationId xmlns:a16="http://schemas.microsoft.com/office/drawing/2014/main" id="{00000000-0008-0000-2400-00007B000000}"/>
            </a:ext>
          </a:extLst>
        </xdr:cNvPr>
        <xdr:cNvSpPr>
          <a:spLocks noChangeArrowheads="1"/>
        </xdr:cNvSpPr>
      </xdr:nvSpPr>
      <xdr:spPr bwMode="auto">
        <a:xfrm>
          <a:off x="4848225" y="39909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spellen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18</xdr:col>
      <xdr:colOff>0</xdr:colOff>
      <xdr:row>18</xdr:row>
      <xdr:rowOff>0</xdr:rowOff>
    </xdr:from>
    <xdr:to>
      <xdr:col>19</xdr:col>
      <xdr:colOff>587188</xdr:colOff>
      <xdr:row>21</xdr:row>
      <xdr:rowOff>142875</xdr:rowOff>
    </xdr:to>
    <xdr:sp macro="" textlink="">
      <xdr:nvSpPr>
        <xdr:cNvPr id="124" name="AutoShape 48">
          <a:hlinkClick xmlns:r="http://schemas.openxmlformats.org/officeDocument/2006/relationships" r:id="rId19"/>
          <a:extLst>
            <a:ext uri="{FF2B5EF4-FFF2-40B4-BE49-F238E27FC236}">
              <a16:creationId xmlns:a16="http://schemas.microsoft.com/office/drawing/2014/main" id="{00000000-0008-0000-2400-00007C000000}"/>
            </a:ext>
          </a:extLst>
        </xdr:cNvPr>
        <xdr:cNvSpPr>
          <a:spLocks noChangeArrowheads="1"/>
        </xdr:cNvSpPr>
      </xdr:nvSpPr>
      <xdr:spPr bwMode="auto">
        <a:xfrm>
          <a:off x="7896225" y="33432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technisch lezen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18</xdr:col>
      <xdr:colOff>0</xdr:colOff>
      <xdr:row>22</xdr:row>
      <xdr:rowOff>0</xdr:rowOff>
    </xdr:from>
    <xdr:to>
      <xdr:col>19</xdr:col>
      <xdr:colOff>587188</xdr:colOff>
      <xdr:row>25</xdr:row>
      <xdr:rowOff>142875</xdr:rowOff>
    </xdr:to>
    <xdr:sp macro="" textlink="">
      <xdr:nvSpPr>
        <xdr:cNvPr id="125" name="AutoShape 48">
          <a:hlinkClick xmlns:r="http://schemas.openxmlformats.org/officeDocument/2006/relationships" r:id="rId20"/>
          <a:extLst>
            <a:ext uri="{FF2B5EF4-FFF2-40B4-BE49-F238E27FC236}">
              <a16:creationId xmlns:a16="http://schemas.microsoft.com/office/drawing/2014/main" id="{00000000-0008-0000-2400-00007D000000}"/>
            </a:ext>
          </a:extLst>
        </xdr:cNvPr>
        <xdr:cNvSpPr>
          <a:spLocks noChangeArrowheads="1"/>
        </xdr:cNvSpPr>
      </xdr:nvSpPr>
      <xdr:spPr bwMode="auto">
        <a:xfrm>
          <a:off x="7896225" y="39909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spellen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26</xdr:row>
      <xdr:rowOff>0</xdr:rowOff>
    </xdr:from>
    <xdr:to>
      <xdr:col>14</xdr:col>
      <xdr:colOff>587188</xdr:colOff>
      <xdr:row>29</xdr:row>
      <xdr:rowOff>142875</xdr:rowOff>
    </xdr:to>
    <xdr:sp macro="" textlink="">
      <xdr:nvSpPr>
        <xdr:cNvPr id="126" name="AutoShape 48">
          <a:hlinkClick xmlns:r="http://schemas.openxmlformats.org/officeDocument/2006/relationships" r:id="rId21"/>
          <a:extLst>
            <a:ext uri="{FF2B5EF4-FFF2-40B4-BE49-F238E27FC236}">
              <a16:creationId xmlns:a16="http://schemas.microsoft.com/office/drawing/2014/main" id="{00000000-0008-0000-2400-00007E000000}"/>
            </a:ext>
          </a:extLst>
        </xdr:cNvPr>
        <xdr:cNvSpPr>
          <a:spLocks noChangeArrowheads="1"/>
        </xdr:cNvSpPr>
      </xdr:nvSpPr>
      <xdr:spPr bwMode="auto">
        <a:xfrm>
          <a:off x="4848225" y="46386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rekenen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18</xdr:col>
      <xdr:colOff>0</xdr:colOff>
      <xdr:row>26</xdr:row>
      <xdr:rowOff>0</xdr:rowOff>
    </xdr:from>
    <xdr:to>
      <xdr:col>19</xdr:col>
      <xdr:colOff>587188</xdr:colOff>
      <xdr:row>29</xdr:row>
      <xdr:rowOff>142875</xdr:rowOff>
    </xdr:to>
    <xdr:sp macro="" textlink="">
      <xdr:nvSpPr>
        <xdr:cNvPr id="127" name="AutoShape 48">
          <a:hlinkClick xmlns:r="http://schemas.openxmlformats.org/officeDocument/2006/relationships" r:id="rId22"/>
          <a:extLst>
            <a:ext uri="{FF2B5EF4-FFF2-40B4-BE49-F238E27FC236}">
              <a16:creationId xmlns:a16="http://schemas.microsoft.com/office/drawing/2014/main" id="{00000000-0008-0000-2400-00007F000000}"/>
            </a:ext>
          </a:extLst>
        </xdr:cNvPr>
        <xdr:cNvSpPr>
          <a:spLocks noChangeArrowheads="1"/>
        </xdr:cNvSpPr>
      </xdr:nvSpPr>
      <xdr:spPr bwMode="auto">
        <a:xfrm>
          <a:off x="7896225" y="46386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rekenen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14</xdr:row>
      <xdr:rowOff>0</xdr:rowOff>
    </xdr:from>
    <xdr:to>
      <xdr:col>14</xdr:col>
      <xdr:colOff>587188</xdr:colOff>
      <xdr:row>17</xdr:row>
      <xdr:rowOff>142875</xdr:rowOff>
    </xdr:to>
    <xdr:sp macro="" textlink="">
      <xdr:nvSpPr>
        <xdr:cNvPr id="128" name="AutoShape 48">
          <a:hlinkClick xmlns:r="http://schemas.openxmlformats.org/officeDocument/2006/relationships" r:id="rId23"/>
          <a:extLst>
            <a:ext uri="{FF2B5EF4-FFF2-40B4-BE49-F238E27FC236}">
              <a16:creationId xmlns:a16="http://schemas.microsoft.com/office/drawing/2014/main" id="{00000000-0008-0000-2400-000080000000}"/>
            </a:ext>
          </a:extLst>
        </xdr:cNvPr>
        <xdr:cNvSpPr>
          <a:spLocks noChangeArrowheads="1"/>
        </xdr:cNvSpPr>
      </xdr:nvSpPr>
      <xdr:spPr bwMode="auto">
        <a:xfrm>
          <a:off x="4848225" y="26955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signalering HB</a:t>
          </a:r>
          <a:endParaRPr lang="nl-NL" sz="1100"/>
        </a:p>
      </xdr:txBody>
    </xdr:sp>
    <xdr:clientData/>
  </xdr:twoCellAnchor>
  <xdr:twoCellAnchor>
    <xdr:from>
      <xdr:col>15</xdr:col>
      <xdr:colOff>0</xdr:colOff>
      <xdr:row>18</xdr:row>
      <xdr:rowOff>0</xdr:rowOff>
    </xdr:from>
    <xdr:to>
      <xdr:col>16</xdr:col>
      <xdr:colOff>587188</xdr:colOff>
      <xdr:row>21</xdr:row>
      <xdr:rowOff>142875</xdr:rowOff>
    </xdr:to>
    <xdr:sp macro="" textlink="">
      <xdr:nvSpPr>
        <xdr:cNvPr id="129" name="AutoShape 48">
          <a:hlinkClick xmlns:r="http://schemas.openxmlformats.org/officeDocument/2006/relationships" r:id="rId24"/>
          <a:extLst>
            <a:ext uri="{FF2B5EF4-FFF2-40B4-BE49-F238E27FC236}">
              <a16:creationId xmlns:a16="http://schemas.microsoft.com/office/drawing/2014/main" id="{00000000-0008-0000-2400-000081000000}"/>
            </a:ext>
          </a:extLst>
        </xdr:cNvPr>
        <xdr:cNvSpPr>
          <a:spLocks noChangeArrowheads="1"/>
        </xdr:cNvSpPr>
      </xdr:nvSpPr>
      <xdr:spPr bwMode="auto">
        <a:xfrm>
          <a:off x="6067425" y="33432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leerlingprofiel HB</a:t>
          </a:r>
          <a:endParaRPr lang="nl-NL" sz="1100"/>
        </a:p>
      </xdr:txBody>
    </xdr:sp>
    <xdr:clientData/>
  </xdr:twoCellAnchor>
  <xdr:twoCellAnchor>
    <xdr:from>
      <xdr:col>18</xdr:col>
      <xdr:colOff>0</xdr:colOff>
      <xdr:row>14</xdr:row>
      <xdr:rowOff>0</xdr:rowOff>
    </xdr:from>
    <xdr:to>
      <xdr:col>19</xdr:col>
      <xdr:colOff>587188</xdr:colOff>
      <xdr:row>17</xdr:row>
      <xdr:rowOff>142875</xdr:rowOff>
    </xdr:to>
    <xdr:sp macro="" textlink="">
      <xdr:nvSpPr>
        <xdr:cNvPr id="130" name="AutoShape 48">
          <a:hlinkClick xmlns:r="http://schemas.openxmlformats.org/officeDocument/2006/relationships" r:id="rId25"/>
          <a:extLst>
            <a:ext uri="{FF2B5EF4-FFF2-40B4-BE49-F238E27FC236}">
              <a16:creationId xmlns:a16="http://schemas.microsoft.com/office/drawing/2014/main" id="{00000000-0008-0000-2400-000082000000}"/>
            </a:ext>
          </a:extLst>
        </xdr:cNvPr>
        <xdr:cNvSpPr>
          <a:spLocks noChangeArrowheads="1"/>
        </xdr:cNvSpPr>
      </xdr:nvSpPr>
      <xdr:spPr bwMode="auto">
        <a:xfrm>
          <a:off x="7896225" y="26955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brief voor de ouders </a:t>
          </a:r>
          <a:endParaRPr lang="nl-NL" sz="1100"/>
        </a:p>
      </xdr:txBody>
    </xdr:sp>
    <xdr:clientData/>
  </xdr:twoCellAnchor>
  <xdr:twoCellAnchor>
    <xdr:from>
      <xdr:col>20</xdr:col>
      <xdr:colOff>0</xdr:colOff>
      <xdr:row>18</xdr:row>
      <xdr:rowOff>0</xdr:rowOff>
    </xdr:from>
    <xdr:to>
      <xdr:col>21</xdr:col>
      <xdr:colOff>587188</xdr:colOff>
      <xdr:row>21</xdr:row>
      <xdr:rowOff>142875</xdr:rowOff>
    </xdr:to>
    <xdr:sp macro="" textlink="">
      <xdr:nvSpPr>
        <xdr:cNvPr id="131" name="AutoShape 48">
          <a:hlinkClick xmlns:r="http://schemas.openxmlformats.org/officeDocument/2006/relationships" r:id="rId26"/>
          <a:extLst>
            <a:ext uri="{FF2B5EF4-FFF2-40B4-BE49-F238E27FC236}">
              <a16:creationId xmlns:a16="http://schemas.microsoft.com/office/drawing/2014/main" id="{00000000-0008-0000-2400-000083000000}"/>
            </a:ext>
          </a:extLst>
        </xdr:cNvPr>
        <xdr:cNvSpPr>
          <a:spLocks noChangeArrowheads="1"/>
        </xdr:cNvSpPr>
      </xdr:nvSpPr>
      <xdr:spPr bwMode="auto">
        <a:xfrm>
          <a:off x="9115425" y="33432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notities </a:t>
          </a:r>
          <a:endParaRPr lang="nl-NL" sz="1100"/>
        </a:p>
      </xdr:txBody>
    </xdr:sp>
    <xdr:clientData/>
  </xdr:twoCellAnchor>
  <xdr:twoCellAnchor>
    <xdr:from>
      <xdr:col>10</xdr:col>
      <xdr:colOff>0</xdr:colOff>
      <xdr:row>6</xdr:row>
      <xdr:rowOff>0</xdr:rowOff>
    </xdr:from>
    <xdr:to>
      <xdr:col>11</xdr:col>
      <xdr:colOff>587188</xdr:colOff>
      <xdr:row>9</xdr:row>
      <xdr:rowOff>150346</xdr:rowOff>
    </xdr:to>
    <xdr:sp macro="" textlink="">
      <xdr:nvSpPr>
        <xdr:cNvPr id="43" name="AutoShape 48">
          <a:hlinkClick xmlns:r="http://schemas.openxmlformats.org/officeDocument/2006/relationships" r:id="rId27"/>
          <a:extLst>
            <a:ext uri="{FF2B5EF4-FFF2-40B4-BE49-F238E27FC236}">
              <a16:creationId xmlns:a16="http://schemas.microsoft.com/office/drawing/2014/main" id="{00000000-0008-0000-2400-00002B000000}"/>
            </a:ext>
          </a:extLst>
        </xdr:cNvPr>
        <xdr:cNvSpPr>
          <a:spLocks noChangeArrowheads="1"/>
        </xdr:cNvSpPr>
      </xdr:nvSpPr>
      <xdr:spPr bwMode="auto">
        <a:xfrm>
          <a:off x="6096000" y="1172882"/>
          <a:ext cx="1184835" cy="620993"/>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chemeClr val="bg1"/>
              </a:solidFill>
              <a:latin typeface="Arial"/>
              <a:cs typeface="Arial"/>
            </a:rPr>
            <a:t>niveauwaarde</a:t>
          </a:r>
        </a:p>
        <a:p>
          <a:pPr algn="ctr" rtl="0">
            <a:defRPr sz="1000"/>
          </a:pPr>
          <a:r>
            <a:rPr lang="nl-NL" sz="1100" b="0" i="0" u="none" strike="noStrike" baseline="0">
              <a:solidFill>
                <a:schemeClr val="bg1"/>
              </a:solidFill>
              <a:latin typeface="Arial"/>
              <a:cs typeface="Arial"/>
            </a:rPr>
            <a:t>vorig jaar </a:t>
          </a:r>
          <a:endParaRPr lang="nl-NL" sz="1100">
            <a:solidFill>
              <a:schemeClr val="bg1"/>
            </a:solidFill>
          </a:endParaRPr>
        </a:p>
      </xdr:txBody>
    </xdr:sp>
    <xdr:clientData/>
  </xdr:twoCellAnchor>
  <xdr:twoCellAnchor>
    <xdr:from>
      <xdr:col>10</xdr:col>
      <xdr:colOff>0</xdr:colOff>
      <xdr:row>10</xdr:row>
      <xdr:rowOff>0</xdr:rowOff>
    </xdr:from>
    <xdr:to>
      <xdr:col>11</xdr:col>
      <xdr:colOff>587188</xdr:colOff>
      <xdr:row>13</xdr:row>
      <xdr:rowOff>142875</xdr:rowOff>
    </xdr:to>
    <xdr:sp macro="" textlink="">
      <xdr:nvSpPr>
        <xdr:cNvPr id="44" name="AutoShape 48">
          <a:hlinkClick xmlns:r="http://schemas.openxmlformats.org/officeDocument/2006/relationships" r:id="rId28"/>
          <a:extLst>
            <a:ext uri="{FF2B5EF4-FFF2-40B4-BE49-F238E27FC236}">
              <a16:creationId xmlns:a16="http://schemas.microsoft.com/office/drawing/2014/main" id="{00000000-0008-0000-2400-00002C000000}"/>
            </a:ext>
          </a:extLst>
        </xdr:cNvPr>
        <xdr:cNvSpPr>
          <a:spLocks noChangeArrowheads="1"/>
        </xdr:cNvSpPr>
      </xdr:nvSpPr>
      <xdr:spPr bwMode="auto">
        <a:xfrm>
          <a:off x="5715000" y="18288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begin van het jaar </a:t>
          </a:r>
          <a:endParaRPr lang="nl-NL" sz="1100"/>
        </a:p>
      </xdr:txBody>
    </xdr:sp>
    <xdr:clientData/>
  </xdr:twoCellAnchor>
  <xdr:twoCellAnchor>
    <xdr:from>
      <xdr:col>10</xdr:col>
      <xdr:colOff>0</xdr:colOff>
      <xdr:row>14</xdr:row>
      <xdr:rowOff>0</xdr:rowOff>
    </xdr:from>
    <xdr:to>
      <xdr:col>11</xdr:col>
      <xdr:colOff>587188</xdr:colOff>
      <xdr:row>17</xdr:row>
      <xdr:rowOff>142875</xdr:rowOff>
    </xdr:to>
    <xdr:sp macro="" textlink="">
      <xdr:nvSpPr>
        <xdr:cNvPr id="45" name="AutoShape 48">
          <a:hlinkClick xmlns:r="http://schemas.openxmlformats.org/officeDocument/2006/relationships" r:id="rId29"/>
          <a:extLst>
            <a:ext uri="{FF2B5EF4-FFF2-40B4-BE49-F238E27FC236}">
              <a16:creationId xmlns:a16="http://schemas.microsoft.com/office/drawing/2014/main" id="{00000000-0008-0000-2400-00002D000000}"/>
            </a:ext>
          </a:extLst>
        </xdr:cNvPr>
        <xdr:cNvSpPr>
          <a:spLocks noChangeArrowheads="1"/>
        </xdr:cNvSpPr>
      </xdr:nvSpPr>
      <xdr:spPr bwMode="auto">
        <a:xfrm>
          <a:off x="5715000" y="2476500"/>
          <a:ext cx="1196788" cy="628650"/>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overzicht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xdr:from>
      <xdr:col>8</xdr:col>
      <xdr:colOff>6350</xdr:colOff>
      <xdr:row>18</xdr:row>
      <xdr:rowOff>0</xdr:rowOff>
    </xdr:from>
    <xdr:to>
      <xdr:col>9</xdr:col>
      <xdr:colOff>593538</xdr:colOff>
      <xdr:row>21</xdr:row>
      <xdr:rowOff>142875</xdr:rowOff>
    </xdr:to>
    <xdr:sp macro="" textlink="">
      <xdr:nvSpPr>
        <xdr:cNvPr id="51" name="AutoShape 48">
          <a:hlinkClick xmlns:r="http://schemas.openxmlformats.org/officeDocument/2006/relationships" r:id="rId30"/>
          <a:extLst>
            <a:ext uri="{FF2B5EF4-FFF2-40B4-BE49-F238E27FC236}">
              <a16:creationId xmlns:a16="http://schemas.microsoft.com/office/drawing/2014/main" id="{00000000-0008-0000-2400-000033000000}"/>
            </a:ext>
          </a:extLst>
        </xdr:cNvPr>
        <xdr:cNvSpPr>
          <a:spLocks noChangeArrowheads="1"/>
        </xdr:cNvSpPr>
      </xdr:nvSpPr>
      <xdr:spPr bwMode="auto">
        <a:xfrm>
          <a:off x="4895850" y="307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Diversiteits Quötient (DQ)</a:t>
          </a:r>
          <a:endParaRPr lang="nl-NL" sz="1100"/>
        </a:p>
      </xdr:txBody>
    </xdr:sp>
    <xdr:clientData/>
  </xdr:twoCellAnchor>
  <xdr:twoCellAnchor>
    <xdr:from>
      <xdr:col>8</xdr:col>
      <xdr:colOff>6350</xdr:colOff>
      <xdr:row>14</xdr:row>
      <xdr:rowOff>0</xdr:rowOff>
    </xdr:from>
    <xdr:to>
      <xdr:col>9</xdr:col>
      <xdr:colOff>593538</xdr:colOff>
      <xdr:row>17</xdr:row>
      <xdr:rowOff>142875</xdr:rowOff>
    </xdr:to>
    <xdr:sp macro="" textlink="">
      <xdr:nvSpPr>
        <xdr:cNvPr id="52" name="AutoShape 48">
          <a:hlinkClick xmlns:r="http://schemas.openxmlformats.org/officeDocument/2006/relationships" r:id="rId31"/>
          <a:extLst>
            <a:ext uri="{FF2B5EF4-FFF2-40B4-BE49-F238E27FC236}">
              <a16:creationId xmlns:a16="http://schemas.microsoft.com/office/drawing/2014/main" id="{00000000-0008-0000-2400-000034000000}"/>
            </a:ext>
          </a:extLst>
        </xdr:cNvPr>
        <xdr:cNvSpPr>
          <a:spLocks noChangeArrowheads="1"/>
        </xdr:cNvSpPr>
      </xdr:nvSpPr>
      <xdr:spPr bwMode="auto">
        <a:xfrm>
          <a:off x="4895850" y="244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Lekker in je Vel</a:t>
          </a:r>
        </a:p>
        <a:p>
          <a:pPr algn="ctr" rtl="0">
            <a:defRPr sz="1000"/>
          </a:pPr>
          <a:r>
            <a:rPr lang="nl-NL" sz="1100" b="0" i="0" u="none" strike="noStrike" baseline="0">
              <a:solidFill>
                <a:srgbClr val="000000"/>
              </a:solidFill>
              <a:latin typeface="Arial"/>
              <a:cs typeface="Arial"/>
            </a:rPr>
            <a:t>LijV-meter</a:t>
          </a:r>
        </a:p>
      </xdr:txBody>
    </xdr:sp>
    <xdr:clientData/>
  </xdr:twoCellAnchor>
  <xdr:twoCellAnchor>
    <xdr:from>
      <xdr:col>8</xdr:col>
      <xdr:colOff>6350</xdr:colOff>
      <xdr:row>22</xdr:row>
      <xdr:rowOff>0</xdr:rowOff>
    </xdr:from>
    <xdr:to>
      <xdr:col>9</xdr:col>
      <xdr:colOff>593538</xdr:colOff>
      <xdr:row>25</xdr:row>
      <xdr:rowOff>142875</xdr:rowOff>
    </xdr:to>
    <xdr:sp macro="" textlink="">
      <xdr:nvSpPr>
        <xdr:cNvPr id="53" name="AutoShape 48">
          <a:hlinkClick xmlns:r="http://schemas.openxmlformats.org/officeDocument/2006/relationships" r:id="rId32"/>
          <a:extLst>
            <a:ext uri="{FF2B5EF4-FFF2-40B4-BE49-F238E27FC236}">
              <a16:creationId xmlns:a16="http://schemas.microsoft.com/office/drawing/2014/main" id="{00000000-0008-0000-2400-000035000000}"/>
            </a:ext>
          </a:extLst>
        </xdr:cNvPr>
        <xdr:cNvSpPr>
          <a:spLocks noChangeArrowheads="1"/>
        </xdr:cNvSpPr>
      </xdr:nvSpPr>
      <xdr:spPr bwMode="auto">
        <a:xfrm>
          <a:off x="4895850" y="371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groeps-</a:t>
          </a:r>
        </a:p>
        <a:p>
          <a:pPr algn="ctr" rtl="0">
            <a:defRPr sz="1000"/>
          </a:pPr>
          <a:r>
            <a:rPr lang="nl-NL" sz="1100" b="0" i="0" u="none" strike="noStrike" baseline="0">
              <a:solidFill>
                <a:srgbClr val="000000"/>
              </a:solidFill>
              <a:latin typeface="Arial"/>
              <a:cs typeface="Arial"/>
            </a:rPr>
            <a:t>bespreking</a:t>
          </a:r>
          <a:endParaRPr lang="nl-NL" sz="1100"/>
        </a:p>
      </xdr:txBody>
    </xdr:sp>
    <xdr:clientData/>
  </xdr:twoCellAnchor>
  <xdr:twoCellAnchor>
    <xdr:from>
      <xdr:col>8</xdr:col>
      <xdr:colOff>6350</xdr:colOff>
      <xdr:row>26</xdr:row>
      <xdr:rowOff>0</xdr:rowOff>
    </xdr:from>
    <xdr:to>
      <xdr:col>9</xdr:col>
      <xdr:colOff>593538</xdr:colOff>
      <xdr:row>29</xdr:row>
      <xdr:rowOff>142875</xdr:rowOff>
    </xdr:to>
    <xdr:sp macro="" textlink="">
      <xdr:nvSpPr>
        <xdr:cNvPr id="54" name="AutoShape 48">
          <a:hlinkClick xmlns:r="http://schemas.openxmlformats.org/officeDocument/2006/relationships" r:id="rId33"/>
          <a:extLst>
            <a:ext uri="{FF2B5EF4-FFF2-40B4-BE49-F238E27FC236}">
              <a16:creationId xmlns:a16="http://schemas.microsoft.com/office/drawing/2014/main" id="{00000000-0008-0000-2400-000036000000}"/>
            </a:ext>
          </a:extLst>
        </xdr:cNvPr>
        <xdr:cNvSpPr>
          <a:spLocks noChangeArrowheads="1"/>
        </xdr:cNvSpPr>
      </xdr:nvSpPr>
      <xdr:spPr bwMode="auto">
        <a:xfrm>
          <a:off x="4895850" y="434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Referentieniveau</a:t>
          </a:r>
        </a:p>
      </xdr:txBody>
    </xdr:sp>
    <xdr:clientData/>
  </xdr:twoCellAnchor>
  <xdr:twoCellAnchor>
    <xdr:from>
      <xdr:col>10</xdr:col>
      <xdr:colOff>0</xdr:colOff>
      <xdr:row>26</xdr:row>
      <xdr:rowOff>0</xdr:rowOff>
    </xdr:from>
    <xdr:to>
      <xdr:col>11</xdr:col>
      <xdr:colOff>587188</xdr:colOff>
      <xdr:row>29</xdr:row>
      <xdr:rowOff>142875</xdr:rowOff>
    </xdr:to>
    <xdr:sp macro="" textlink="">
      <xdr:nvSpPr>
        <xdr:cNvPr id="48" name="AutoShape 48">
          <a:hlinkClick xmlns:r="http://schemas.openxmlformats.org/officeDocument/2006/relationships" r:id="rId34"/>
          <a:extLst>
            <a:ext uri="{FF2B5EF4-FFF2-40B4-BE49-F238E27FC236}">
              <a16:creationId xmlns:a16="http://schemas.microsoft.com/office/drawing/2014/main" id="{00000000-0008-0000-2400-000030000000}"/>
            </a:ext>
          </a:extLst>
        </xdr:cNvPr>
        <xdr:cNvSpPr>
          <a:spLocks noChangeArrowheads="1"/>
        </xdr:cNvSpPr>
      </xdr:nvSpPr>
      <xdr:spPr bwMode="auto">
        <a:xfrm>
          <a:off x="5876925" y="44196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Advies </a:t>
          </a:r>
        </a:p>
        <a:p>
          <a:pPr algn="ctr" rtl="0">
            <a:defRPr sz="1000"/>
          </a:pPr>
          <a:r>
            <a:rPr lang="nl-NL" sz="1100" b="0" i="0" u="none" strike="noStrike" baseline="0">
              <a:solidFill>
                <a:srgbClr val="000000"/>
              </a:solidFill>
              <a:latin typeface="Arial"/>
              <a:cs typeface="Arial"/>
            </a:rPr>
            <a:t>Voortgezet Onderwijs</a:t>
          </a:r>
        </a:p>
      </xdr:txBody>
    </xdr:sp>
    <xdr:clientData/>
  </xdr:twoCellAnchor>
  <xdr:twoCellAnchor>
    <xdr:from>
      <xdr:col>10</xdr:col>
      <xdr:colOff>0</xdr:colOff>
      <xdr:row>22</xdr:row>
      <xdr:rowOff>0</xdr:rowOff>
    </xdr:from>
    <xdr:to>
      <xdr:col>11</xdr:col>
      <xdr:colOff>587188</xdr:colOff>
      <xdr:row>25</xdr:row>
      <xdr:rowOff>142875</xdr:rowOff>
    </xdr:to>
    <xdr:sp macro="" textlink="">
      <xdr:nvSpPr>
        <xdr:cNvPr id="49" name="AutoShape 48">
          <a:hlinkClick xmlns:r="http://schemas.openxmlformats.org/officeDocument/2006/relationships" r:id="rId35"/>
          <a:extLst>
            <a:ext uri="{FF2B5EF4-FFF2-40B4-BE49-F238E27FC236}">
              <a16:creationId xmlns:a16="http://schemas.microsoft.com/office/drawing/2014/main" id="{00000000-0008-0000-2400-000031000000}"/>
            </a:ext>
          </a:extLst>
        </xdr:cNvPr>
        <xdr:cNvSpPr>
          <a:spLocks noChangeArrowheads="1"/>
        </xdr:cNvSpPr>
      </xdr:nvSpPr>
      <xdr:spPr bwMode="auto">
        <a:xfrm>
          <a:off x="5876925" y="3771900"/>
          <a:ext cx="1196788" cy="628650"/>
        </a:xfrm>
        <a:prstGeom prst="actionButtonBlank">
          <a:avLst/>
        </a:prstGeom>
        <a:solidFill>
          <a:srgbClr val="CCFF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Sociaal Emotioneel</a:t>
          </a:r>
        </a:p>
      </xdr:txBody>
    </xdr:sp>
    <xdr:clientData/>
  </xdr:twoCellAnchor>
  <xdr:twoCellAnchor>
    <xdr:from>
      <xdr:col>10</xdr:col>
      <xdr:colOff>0</xdr:colOff>
      <xdr:row>18</xdr:row>
      <xdr:rowOff>0</xdr:rowOff>
    </xdr:from>
    <xdr:to>
      <xdr:col>11</xdr:col>
      <xdr:colOff>587188</xdr:colOff>
      <xdr:row>21</xdr:row>
      <xdr:rowOff>142875</xdr:rowOff>
    </xdr:to>
    <xdr:sp macro="" textlink="">
      <xdr:nvSpPr>
        <xdr:cNvPr id="50" name="AutoShape 48">
          <a:hlinkClick xmlns:r="http://schemas.openxmlformats.org/officeDocument/2006/relationships" r:id="rId36"/>
          <a:extLst>
            <a:ext uri="{FF2B5EF4-FFF2-40B4-BE49-F238E27FC236}">
              <a16:creationId xmlns:a16="http://schemas.microsoft.com/office/drawing/2014/main" id="{00000000-0008-0000-2400-000032000000}"/>
            </a:ext>
          </a:extLst>
        </xdr:cNvPr>
        <xdr:cNvSpPr>
          <a:spLocks noChangeArrowheads="1"/>
        </xdr:cNvSpPr>
      </xdr:nvSpPr>
      <xdr:spPr bwMode="auto">
        <a:xfrm>
          <a:off x="5876925" y="31242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DL - DLE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editAs="oneCell">
    <xdr:from>
      <xdr:col>8</xdr:col>
      <xdr:colOff>53416</xdr:colOff>
      <xdr:row>32</xdr:row>
      <xdr:rowOff>93944</xdr:rowOff>
    </xdr:from>
    <xdr:to>
      <xdr:col>9</xdr:col>
      <xdr:colOff>375139</xdr:colOff>
      <xdr:row>38</xdr:row>
      <xdr:rowOff>41089</xdr:rowOff>
    </xdr:to>
    <xdr:pic>
      <xdr:nvPicPr>
        <xdr:cNvPr id="47" name="Afbeelding 46">
          <a:hlinkClick xmlns:r="http://schemas.openxmlformats.org/officeDocument/2006/relationships" r:id="rId37"/>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38"/>
        <a:stretch>
          <a:fillRect/>
        </a:stretch>
      </xdr:blipFill>
      <xdr:spPr>
        <a:xfrm>
          <a:off x="4969063" y="5345768"/>
          <a:ext cx="919370" cy="888439"/>
        </a:xfrm>
        <a:prstGeom prst="roundRect">
          <a:avLst>
            <a:gd name="adj" fmla="val 4167"/>
          </a:avLst>
        </a:prstGeom>
        <a:solidFill>
          <a:srgbClr val="FFFFFF"/>
        </a:solidFill>
        <a:ln w="31750" cap="sq">
          <a:solidFill>
            <a:srgbClr val="66CCFF"/>
          </a:solidFill>
          <a:miter lim="800000"/>
        </a:ln>
        <a:effectLst/>
      </xdr:spPr>
    </xdr:pic>
    <xdr:clientData/>
  </xdr:twoCellAnchor>
  <xdr:twoCellAnchor>
    <xdr:from>
      <xdr:col>7</xdr:col>
      <xdr:colOff>524063</xdr:colOff>
      <xdr:row>32</xdr:row>
      <xdr:rowOff>11768</xdr:rowOff>
    </xdr:from>
    <xdr:to>
      <xdr:col>22</xdr:col>
      <xdr:colOff>112059</xdr:colOff>
      <xdr:row>38</xdr:row>
      <xdr:rowOff>141942</xdr:rowOff>
    </xdr:to>
    <xdr:sp macro="" textlink="">
      <xdr:nvSpPr>
        <xdr:cNvPr id="59" name="Rechthoek 58">
          <a:extLst>
            <a:ext uri="{FF2B5EF4-FFF2-40B4-BE49-F238E27FC236}">
              <a16:creationId xmlns:a16="http://schemas.microsoft.com/office/drawing/2014/main" id="{00000000-0008-0000-2400-00003B000000}"/>
            </a:ext>
          </a:extLst>
        </xdr:cNvPr>
        <xdr:cNvSpPr/>
      </xdr:nvSpPr>
      <xdr:spPr bwMode="auto">
        <a:xfrm>
          <a:off x="4797239" y="5106709"/>
          <a:ext cx="8597526" cy="1071468"/>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10</xdr:col>
      <xdr:colOff>216647</xdr:colOff>
      <xdr:row>32</xdr:row>
      <xdr:rowOff>82176</xdr:rowOff>
    </xdr:from>
    <xdr:to>
      <xdr:col>18</xdr:col>
      <xdr:colOff>366058</xdr:colOff>
      <xdr:row>38</xdr:row>
      <xdr:rowOff>29881</xdr:rowOff>
    </xdr:to>
    <xdr:sp macro="" textlink="">
      <xdr:nvSpPr>
        <xdr:cNvPr id="60" name="Pijl: links 7">
          <a:hlinkClick xmlns:r="http://schemas.openxmlformats.org/officeDocument/2006/relationships" r:id="rId39"/>
          <a:extLst>
            <a:ext uri="{FF2B5EF4-FFF2-40B4-BE49-F238E27FC236}">
              <a16:creationId xmlns:a16="http://schemas.microsoft.com/office/drawing/2014/main" id="{00000000-0008-0000-2400-00003C000000}"/>
            </a:ext>
          </a:extLst>
        </xdr:cNvPr>
        <xdr:cNvSpPr/>
      </xdr:nvSpPr>
      <xdr:spPr bwMode="auto">
        <a:xfrm>
          <a:off x="6327588" y="5177117"/>
          <a:ext cx="4930588" cy="888999"/>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Klik</a:t>
          </a:r>
          <a:r>
            <a:rPr lang="nl-NL" sz="2000" baseline="0">
              <a:solidFill>
                <a:schemeClr val="bg1"/>
              </a:solidFill>
            </a:rPr>
            <a:t> hier voor het </a:t>
          </a:r>
          <a:r>
            <a:rPr lang="nl-NL" sz="2000">
              <a:solidFill>
                <a:schemeClr val="bg1"/>
              </a:solidFill>
            </a:rPr>
            <a:t>Stappenplan</a:t>
          </a:r>
          <a:r>
            <a:rPr lang="nl-NL" sz="2000" baseline="0">
              <a:solidFill>
                <a:schemeClr val="bg1"/>
              </a:solidFill>
            </a:rPr>
            <a:t> Groepsplan</a:t>
          </a:r>
          <a:endParaRPr lang="nl-NL" sz="2000">
            <a:solidFill>
              <a:schemeClr val="bg1"/>
            </a:solidFill>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4</xdr:col>
      <xdr:colOff>400050</xdr:colOff>
      <xdr:row>1</xdr:row>
      <xdr:rowOff>9525</xdr:rowOff>
    </xdr:from>
    <xdr:to>
      <xdr:col>4</xdr:col>
      <xdr:colOff>1085850</xdr:colOff>
      <xdr:row>3</xdr:row>
      <xdr:rowOff>142875</xdr:rowOff>
    </xdr:to>
    <xdr:sp macro="" textlink="">
      <xdr:nvSpPr>
        <xdr:cNvPr id="3" name="PIJL-OMLAAG 2">
          <a:extLst>
            <a:ext uri="{FF2B5EF4-FFF2-40B4-BE49-F238E27FC236}">
              <a16:creationId xmlns:a16="http://schemas.microsoft.com/office/drawing/2014/main" id="{00000000-0008-0000-2500-000003000000}"/>
            </a:ext>
          </a:extLst>
        </xdr:cNvPr>
        <xdr:cNvSpPr/>
      </xdr:nvSpPr>
      <xdr:spPr bwMode="auto">
        <a:xfrm>
          <a:off x="2809875" y="9525"/>
          <a:ext cx="685800" cy="457200"/>
        </a:xfrm>
        <a:prstGeom prst="downArrow">
          <a:avLst/>
        </a:prstGeom>
        <a:solidFill>
          <a:srgbClr val="66CCFF"/>
        </a:solidFill>
        <a:ln w="9525" cap="flat" cmpd="sng" algn="ctr">
          <a:noFill/>
          <a:prstDash val="solid"/>
          <a:round/>
          <a:headEnd type="none" w="med" len="med"/>
          <a:tailEnd type="none" w="med" len="me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wrap="square" lIns="18288" tIns="0" rIns="0" bIns="0" rtlCol="0" anchor="t" upright="1"/>
        <a:lstStyle/>
        <a:p>
          <a:pPr algn="l"/>
          <a:endParaRPr lang="nl-NL" sz="1100"/>
        </a:p>
      </xdr:txBody>
    </xdr:sp>
    <xdr:clientData/>
  </xdr:twoCellAnchor>
  <xdr:twoCellAnchor>
    <xdr:from>
      <xdr:col>27</xdr:col>
      <xdr:colOff>133350</xdr:colOff>
      <xdr:row>6</xdr:row>
      <xdr:rowOff>11393</xdr:rowOff>
    </xdr:from>
    <xdr:to>
      <xdr:col>29</xdr:col>
      <xdr:colOff>188</xdr:colOff>
      <xdr:row>9</xdr:row>
      <xdr:rowOff>19797</xdr:rowOff>
    </xdr:to>
    <xdr:sp macro="" textlink="">
      <xdr:nvSpPr>
        <xdr:cNvPr id="4" name="AutoShape 48">
          <a:hlinkClick xmlns:r="http://schemas.openxmlformats.org/officeDocument/2006/relationships" r:id="rId1"/>
          <a:extLst>
            <a:ext uri="{FF2B5EF4-FFF2-40B4-BE49-F238E27FC236}">
              <a16:creationId xmlns:a16="http://schemas.microsoft.com/office/drawing/2014/main" id="{00000000-0008-0000-2500-000004000000}"/>
            </a:ext>
          </a:extLst>
        </xdr:cNvPr>
        <xdr:cNvSpPr>
          <a:spLocks noChangeArrowheads="1"/>
        </xdr:cNvSpPr>
      </xdr:nvSpPr>
      <xdr:spPr bwMode="auto">
        <a:xfrm>
          <a:off x="12715875" y="1068668"/>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27</xdr:col>
      <xdr:colOff>133350</xdr:colOff>
      <xdr:row>4</xdr:row>
      <xdr:rowOff>0</xdr:rowOff>
    </xdr:from>
    <xdr:to>
      <xdr:col>29</xdr:col>
      <xdr:colOff>188</xdr:colOff>
      <xdr:row>5</xdr:row>
      <xdr:rowOff>344954</xdr:rowOff>
    </xdr:to>
    <xdr:sp macro="" textlink="">
      <xdr:nvSpPr>
        <xdr:cNvPr id="5" name="AutoShape 48">
          <a:hlinkClick xmlns:r="http://schemas.openxmlformats.org/officeDocument/2006/relationships" r:id="rId2"/>
          <a:extLst>
            <a:ext uri="{FF2B5EF4-FFF2-40B4-BE49-F238E27FC236}">
              <a16:creationId xmlns:a16="http://schemas.microsoft.com/office/drawing/2014/main" id="{00000000-0008-0000-2500-000005000000}"/>
            </a:ext>
          </a:extLst>
        </xdr:cNvPr>
        <xdr:cNvSpPr>
          <a:spLocks noChangeArrowheads="1"/>
        </xdr:cNvSpPr>
      </xdr:nvSpPr>
      <xdr:spPr bwMode="auto">
        <a:xfrm>
          <a:off x="12715875" y="485775"/>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8</xdr:col>
      <xdr:colOff>23813</xdr:colOff>
      <xdr:row>6</xdr:row>
      <xdr:rowOff>23812</xdr:rowOff>
    </xdr:from>
    <xdr:to>
      <xdr:col>9</xdr:col>
      <xdr:colOff>250032</xdr:colOff>
      <xdr:row>41</xdr:row>
      <xdr:rowOff>154780</xdr:rowOff>
    </xdr:to>
    <xdr:sp macro="" textlink="">
      <xdr:nvSpPr>
        <xdr:cNvPr id="2" name="Rechthoek 1">
          <a:hlinkClick xmlns:r="http://schemas.openxmlformats.org/officeDocument/2006/relationships" r:id="rId3"/>
          <a:extLst>
            <a:ext uri="{FF2B5EF4-FFF2-40B4-BE49-F238E27FC236}">
              <a16:creationId xmlns:a16="http://schemas.microsoft.com/office/drawing/2014/main" id="{00000000-0008-0000-2500-000002000000}"/>
            </a:ext>
          </a:extLst>
        </xdr:cNvPr>
        <xdr:cNvSpPr/>
      </xdr:nvSpPr>
      <xdr:spPr bwMode="auto">
        <a:xfrm>
          <a:off x="4155282" y="1262062"/>
          <a:ext cx="1678781" cy="5965031"/>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500250</xdr:colOff>
      <xdr:row>5</xdr:row>
      <xdr:rowOff>19050</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600-000002000000}"/>
            </a:ext>
          </a:extLst>
        </xdr:cNvPr>
        <xdr:cNvSpPr>
          <a:spLocks noChangeArrowheads="1"/>
        </xdr:cNvSpPr>
      </xdr:nvSpPr>
      <xdr:spPr bwMode="auto">
        <a:xfrm>
          <a:off x="15401925" y="485775"/>
          <a:ext cx="1081275" cy="504825"/>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38100</xdr:colOff>
      <xdr:row>6</xdr:row>
      <xdr:rowOff>76199</xdr:rowOff>
    </xdr:from>
    <xdr:to>
      <xdr:col>11</xdr:col>
      <xdr:colOff>538350</xdr:colOff>
      <xdr:row>9</xdr:row>
      <xdr:rowOff>76199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600-000003000000}"/>
            </a:ext>
          </a:extLst>
        </xdr:cNvPr>
        <xdr:cNvSpPr>
          <a:spLocks noChangeArrowheads="1"/>
        </xdr:cNvSpPr>
      </xdr:nvSpPr>
      <xdr:spPr bwMode="auto">
        <a:xfrm>
          <a:off x="15440025" y="1209674"/>
          <a:ext cx="1081275" cy="485775"/>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overzicht per leerling</a:t>
          </a:r>
          <a:endParaRPr lang="nl-NL"/>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342900</xdr:colOff>
      <xdr:row>0</xdr:row>
      <xdr:rowOff>0</xdr:rowOff>
    </xdr:from>
    <xdr:to>
      <xdr:col>26</xdr:col>
      <xdr:colOff>9525</xdr:colOff>
      <xdr:row>0</xdr:row>
      <xdr:rowOff>0</xdr:rowOff>
    </xdr:to>
    <xdr:sp macro="" textlink="">
      <xdr:nvSpPr>
        <xdr:cNvPr id="2" name="Line 1">
          <a:extLst>
            <a:ext uri="{FF2B5EF4-FFF2-40B4-BE49-F238E27FC236}">
              <a16:creationId xmlns:a16="http://schemas.microsoft.com/office/drawing/2014/main" id="{00000000-0008-0000-2700-000002000000}"/>
            </a:ext>
          </a:extLst>
        </xdr:cNvPr>
        <xdr:cNvSpPr>
          <a:spLocks noChangeShapeType="1"/>
        </xdr:cNvSpPr>
      </xdr:nvSpPr>
      <xdr:spPr bwMode="auto">
        <a:xfrm>
          <a:off x="10210800" y="0"/>
          <a:ext cx="9525" cy="0"/>
        </a:xfrm>
        <a:prstGeom prst="line">
          <a:avLst/>
        </a:prstGeom>
        <a:noFill/>
        <a:ln w="19050">
          <a:solidFill>
            <a:srgbClr val="000000"/>
          </a:solidFill>
          <a:round/>
          <a:headEnd/>
          <a:tailEnd/>
        </a:ln>
      </xdr:spPr>
    </xdr:sp>
    <xdr:clientData/>
  </xdr:twoCellAnchor>
  <xdr:twoCellAnchor editAs="oneCell">
    <xdr:from>
      <xdr:col>23</xdr:col>
      <xdr:colOff>38100</xdr:colOff>
      <xdr:row>9</xdr:row>
      <xdr:rowOff>9525</xdr:rowOff>
    </xdr:from>
    <xdr:to>
      <xdr:col>23</xdr:col>
      <xdr:colOff>371475</xdr:colOff>
      <xdr:row>9</xdr:row>
      <xdr:rowOff>228600</xdr:rowOff>
    </xdr:to>
    <xdr:sp macro="" textlink="">
      <xdr:nvSpPr>
        <xdr:cNvPr id="98305" name="Check Box 1" hidden="1">
          <a:extLst>
            <a:ext uri="{63B3BB69-23CF-44E3-9099-C40C66FF867C}">
              <a14:compatExt xmlns:a14="http://schemas.microsoft.com/office/drawing/2010/main" spid="_x0000_s98305"/>
            </a:ext>
            <a:ext uri="{FF2B5EF4-FFF2-40B4-BE49-F238E27FC236}">
              <a16:creationId xmlns:a16="http://schemas.microsoft.com/office/drawing/2014/main" id="{00000000-0008-0000-2700-00000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8</xdr:row>
      <xdr:rowOff>9525</xdr:rowOff>
    </xdr:from>
    <xdr:to>
      <xdr:col>23</xdr:col>
      <xdr:colOff>371475</xdr:colOff>
      <xdr:row>8</xdr:row>
      <xdr:rowOff>228600</xdr:rowOff>
    </xdr:to>
    <xdr:sp macro="" textlink="">
      <xdr:nvSpPr>
        <xdr:cNvPr id="98306" name="Check Box 2" hidden="1">
          <a:extLst>
            <a:ext uri="{63B3BB69-23CF-44E3-9099-C40C66FF867C}">
              <a14:compatExt xmlns:a14="http://schemas.microsoft.com/office/drawing/2010/main" spid="_x0000_s98306"/>
            </a:ext>
            <a:ext uri="{FF2B5EF4-FFF2-40B4-BE49-F238E27FC236}">
              <a16:creationId xmlns:a16="http://schemas.microsoft.com/office/drawing/2014/main" id="{00000000-0008-0000-2700-00000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10</xdr:row>
      <xdr:rowOff>19050</xdr:rowOff>
    </xdr:from>
    <xdr:to>
      <xdr:col>23</xdr:col>
      <xdr:colOff>371475</xdr:colOff>
      <xdr:row>10</xdr:row>
      <xdr:rowOff>238125</xdr:rowOff>
    </xdr:to>
    <xdr:sp macro="" textlink="">
      <xdr:nvSpPr>
        <xdr:cNvPr id="98307" name="Check Box 3" hidden="1">
          <a:extLst>
            <a:ext uri="{63B3BB69-23CF-44E3-9099-C40C66FF867C}">
              <a14:compatExt xmlns:a14="http://schemas.microsoft.com/office/drawing/2010/main" spid="_x0000_s98307"/>
            </a:ext>
            <a:ext uri="{FF2B5EF4-FFF2-40B4-BE49-F238E27FC236}">
              <a16:creationId xmlns:a16="http://schemas.microsoft.com/office/drawing/2014/main" id="{00000000-0008-0000-2700-00000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11</xdr:row>
      <xdr:rowOff>19050</xdr:rowOff>
    </xdr:from>
    <xdr:to>
      <xdr:col>23</xdr:col>
      <xdr:colOff>371475</xdr:colOff>
      <xdr:row>11</xdr:row>
      <xdr:rowOff>238125</xdr:rowOff>
    </xdr:to>
    <xdr:sp macro="" textlink="">
      <xdr:nvSpPr>
        <xdr:cNvPr id="98308" name="Check Box 4" hidden="1">
          <a:extLst>
            <a:ext uri="{63B3BB69-23CF-44E3-9099-C40C66FF867C}">
              <a14:compatExt xmlns:a14="http://schemas.microsoft.com/office/drawing/2010/main" spid="_x0000_s98308"/>
            </a:ext>
            <a:ext uri="{FF2B5EF4-FFF2-40B4-BE49-F238E27FC236}">
              <a16:creationId xmlns:a16="http://schemas.microsoft.com/office/drawing/2014/main" id="{00000000-0008-0000-2700-00000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13</xdr:row>
      <xdr:rowOff>19050</xdr:rowOff>
    </xdr:from>
    <xdr:to>
      <xdr:col>23</xdr:col>
      <xdr:colOff>371475</xdr:colOff>
      <xdr:row>13</xdr:row>
      <xdr:rowOff>238125</xdr:rowOff>
    </xdr:to>
    <xdr:sp macro="" textlink="">
      <xdr:nvSpPr>
        <xdr:cNvPr id="98309" name="Check Box 5" hidden="1">
          <a:extLst>
            <a:ext uri="{63B3BB69-23CF-44E3-9099-C40C66FF867C}">
              <a14:compatExt xmlns:a14="http://schemas.microsoft.com/office/drawing/2010/main" spid="_x0000_s98309"/>
            </a:ext>
            <a:ext uri="{FF2B5EF4-FFF2-40B4-BE49-F238E27FC236}">
              <a16:creationId xmlns:a16="http://schemas.microsoft.com/office/drawing/2014/main" id="{00000000-0008-0000-2700-000005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12</xdr:row>
      <xdr:rowOff>19050</xdr:rowOff>
    </xdr:from>
    <xdr:to>
      <xdr:col>23</xdr:col>
      <xdr:colOff>371475</xdr:colOff>
      <xdr:row>13</xdr:row>
      <xdr:rowOff>0</xdr:rowOff>
    </xdr:to>
    <xdr:sp macro="" textlink="">
      <xdr:nvSpPr>
        <xdr:cNvPr id="98310" name="Check Box 6" hidden="1">
          <a:extLst>
            <a:ext uri="{63B3BB69-23CF-44E3-9099-C40C66FF867C}">
              <a14:compatExt xmlns:a14="http://schemas.microsoft.com/office/drawing/2010/main" spid="_x0000_s98310"/>
            </a:ext>
            <a:ext uri="{FF2B5EF4-FFF2-40B4-BE49-F238E27FC236}">
              <a16:creationId xmlns:a16="http://schemas.microsoft.com/office/drawing/2014/main" id="{00000000-0008-0000-2700-000006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14</xdr:row>
      <xdr:rowOff>19050</xdr:rowOff>
    </xdr:from>
    <xdr:to>
      <xdr:col>23</xdr:col>
      <xdr:colOff>371475</xdr:colOff>
      <xdr:row>14</xdr:row>
      <xdr:rowOff>238125</xdr:rowOff>
    </xdr:to>
    <xdr:sp macro="" textlink="">
      <xdr:nvSpPr>
        <xdr:cNvPr id="98311" name="Check Box 7" hidden="1">
          <a:extLst>
            <a:ext uri="{63B3BB69-23CF-44E3-9099-C40C66FF867C}">
              <a14:compatExt xmlns:a14="http://schemas.microsoft.com/office/drawing/2010/main" spid="_x0000_s98311"/>
            </a:ext>
            <a:ext uri="{FF2B5EF4-FFF2-40B4-BE49-F238E27FC236}">
              <a16:creationId xmlns:a16="http://schemas.microsoft.com/office/drawing/2014/main" id="{00000000-0008-0000-2700-000007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15</xdr:row>
      <xdr:rowOff>19050</xdr:rowOff>
    </xdr:from>
    <xdr:to>
      <xdr:col>23</xdr:col>
      <xdr:colOff>371475</xdr:colOff>
      <xdr:row>15</xdr:row>
      <xdr:rowOff>238125</xdr:rowOff>
    </xdr:to>
    <xdr:sp macro="" textlink="">
      <xdr:nvSpPr>
        <xdr:cNvPr id="98312" name="Check Box 8" hidden="1">
          <a:extLst>
            <a:ext uri="{63B3BB69-23CF-44E3-9099-C40C66FF867C}">
              <a14:compatExt xmlns:a14="http://schemas.microsoft.com/office/drawing/2010/main" spid="_x0000_s98312"/>
            </a:ext>
            <a:ext uri="{FF2B5EF4-FFF2-40B4-BE49-F238E27FC236}">
              <a16:creationId xmlns:a16="http://schemas.microsoft.com/office/drawing/2014/main" id="{00000000-0008-0000-2700-000008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17</xdr:row>
      <xdr:rowOff>9525</xdr:rowOff>
    </xdr:from>
    <xdr:to>
      <xdr:col>23</xdr:col>
      <xdr:colOff>371475</xdr:colOff>
      <xdr:row>17</xdr:row>
      <xdr:rowOff>228600</xdr:rowOff>
    </xdr:to>
    <xdr:sp macro="" textlink="">
      <xdr:nvSpPr>
        <xdr:cNvPr id="98313" name="Check Box 9" hidden="1">
          <a:extLst>
            <a:ext uri="{63B3BB69-23CF-44E3-9099-C40C66FF867C}">
              <a14:compatExt xmlns:a14="http://schemas.microsoft.com/office/drawing/2010/main" spid="_x0000_s98313"/>
            </a:ext>
            <a:ext uri="{FF2B5EF4-FFF2-40B4-BE49-F238E27FC236}">
              <a16:creationId xmlns:a16="http://schemas.microsoft.com/office/drawing/2014/main" id="{00000000-0008-0000-2700-000009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16</xdr:row>
      <xdr:rowOff>9525</xdr:rowOff>
    </xdr:from>
    <xdr:to>
      <xdr:col>23</xdr:col>
      <xdr:colOff>371475</xdr:colOff>
      <xdr:row>16</xdr:row>
      <xdr:rowOff>228600</xdr:rowOff>
    </xdr:to>
    <xdr:sp macro="" textlink="">
      <xdr:nvSpPr>
        <xdr:cNvPr id="98314" name="Check Box 10" hidden="1">
          <a:extLst>
            <a:ext uri="{63B3BB69-23CF-44E3-9099-C40C66FF867C}">
              <a14:compatExt xmlns:a14="http://schemas.microsoft.com/office/drawing/2010/main" spid="_x0000_s98314"/>
            </a:ext>
            <a:ext uri="{FF2B5EF4-FFF2-40B4-BE49-F238E27FC236}">
              <a16:creationId xmlns:a16="http://schemas.microsoft.com/office/drawing/2014/main" id="{00000000-0008-0000-2700-00000A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18</xdr:row>
      <xdr:rowOff>19050</xdr:rowOff>
    </xdr:from>
    <xdr:to>
      <xdr:col>23</xdr:col>
      <xdr:colOff>371475</xdr:colOff>
      <xdr:row>18</xdr:row>
      <xdr:rowOff>238125</xdr:rowOff>
    </xdr:to>
    <xdr:sp macro="" textlink="">
      <xdr:nvSpPr>
        <xdr:cNvPr id="98315" name="Check Box 11" hidden="1">
          <a:extLst>
            <a:ext uri="{63B3BB69-23CF-44E3-9099-C40C66FF867C}">
              <a14:compatExt xmlns:a14="http://schemas.microsoft.com/office/drawing/2010/main" spid="_x0000_s98315"/>
            </a:ext>
            <a:ext uri="{FF2B5EF4-FFF2-40B4-BE49-F238E27FC236}">
              <a16:creationId xmlns:a16="http://schemas.microsoft.com/office/drawing/2014/main" id="{00000000-0008-0000-2700-00000B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19</xdr:row>
      <xdr:rowOff>19050</xdr:rowOff>
    </xdr:from>
    <xdr:to>
      <xdr:col>23</xdr:col>
      <xdr:colOff>371475</xdr:colOff>
      <xdr:row>19</xdr:row>
      <xdr:rowOff>238125</xdr:rowOff>
    </xdr:to>
    <xdr:sp macro="" textlink="">
      <xdr:nvSpPr>
        <xdr:cNvPr id="98316" name="Check Box 12" hidden="1">
          <a:extLst>
            <a:ext uri="{63B3BB69-23CF-44E3-9099-C40C66FF867C}">
              <a14:compatExt xmlns:a14="http://schemas.microsoft.com/office/drawing/2010/main" spid="_x0000_s98316"/>
            </a:ext>
            <a:ext uri="{FF2B5EF4-FFF2-40B4-BE49-F238E27FC236}">
              <a16:creationId xmlns:a16="http://schemas.microsoft.com/office/drawing/2014/main" id="{00000000-0008-0000-2700-00000C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21</xdr:row>
      <xdr:rowOff>19050</xdr:rowOff>
    </xdr:from>
    <xdr:to>
      <xdr:col>23</xdr:col>
      <xdr:colOff>371475</xdr:colOff>
      <xdr:row>21</xdr:row>
      <xdr:rowOff>238125</xdr:rowOff>
    </xdr:to>
    <xdr:sp macro="" textlink="">
      <xdr:nvSpPr>
        <xdr:cNvPr id="98317" name="Check Box 13" hidden="1">
          <a:extLst>
            <a:ext uri="{63B3BB69-23CF-44E3-9099-C40C66FF867C}">
              <a14:compatExt xmlns:a14="http://schemas.microsoft.com/office/drawing/2010/main" spid="_x0000_s98317"/>
            </a:ext>
            <a:ext uri="{FF2B5EF4-FFF2-40B4-BE49-F238E27FC236}">
              <a16:creationId xmlns:a16="http://schemas.microsoft.com/office/drawing/2014/main" id="{00000000-0008-0000-2700-00000D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20</xdr:row>
      <xdr:rowOff>19050</xdr:rowOff>
    </xdr:from>
    <xdr:to>
      <xdr:col>23</xdr:col>
      <xdr:colOff>371475</xdr:colOff>
      <xdr:row>20</xdr:row>
      <xdr:rowOff>238125</xdr:rowOff>
    </xdr:to>
    <xdr:sp macro="" textlink="">
      <xdr:nvSpPr>
        <xdr:cNvPr id="98318" name="Check Box 14" hidden="1">
          <a:extLst>
            <a:ext uri="{63B3BB69-23CF-44E3-9099-C40C66FF867C}">
              <a14:compatExt xmlns:a14="http://schemas.microsoft.com/office/drawing/2010/main" spid="_x0000_s98318"/>
            </a:ext>
            <a:ext uri="{FF2B5EF4-FFF2-40B4-BE49-F238E27FC236}">
              <a16:creationId xmlns:a16="http://schemas.microsoft.com/office/drawing/2014/main" id="{00000000-0008-0000-2700-00000E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22</xdr:row>
      <xdr:rowOff>19050</xdr:rowOff>
    </xdr:from>
    <xdr:to>
      <xdr:col>23</xdr:col>
      <xdr:colOff>371475</xdr:colOff>
      <xdr:row>22</xdr:row>
      <xdr:rowOff>238125</xdr:rowOff>
    </xdr:to>
    <xdr:sp macro="" textlink="">
      <xdr:nvSpPr>
        <xdr:cNvPr id="98319" name="Check Box 15" hidden="1">
          <a:extLst>
            <a:ext uri="{63B3BB69-23CF-44E3-9099-C40C66FF867C}">
              <a14:compatExt xmlns:a14="http://schemas.microsoft.com/office/drawing/2010/main" spid="_x0000_s98319"/>
            </a:ext>
            <a:ext uri="{FF2B5EF4-FFF2-40B4-BE49-F238E27FC236}">
              <a16:creationId xmlns:a16="http://schemas.microsoft.com/office/drawing/2014/main" id="{00000000-0008-0000-2700-00000F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23</xdr:row>
      <xdr:rowOff>19050</xdr:rowOff>
    </xdr:from>
    <xdr:to>
      <xdr:col>23</xdr:col>
      <xdr:colOff>371475</xdr:colOff>
      <xdr:row>23</xdr:row>
      <xdr:rowOff>238125</xdr:rowOff>
    </xdr:to>
    <xdr:sp macro="" textlink="">
      <xdr:nvSpPr>
        <xdr:cNvPr id="98320" name="Check Box 16" hidden="1">
          <a:extLst>
            <a:ext uri="{63B3BB69-23CF-44E3-9099-C40C66FF867C}">
              <a14:compatExt xmlns:a14="http://schemas.microsoft.com/office/drawing/2010/main" spid="_x0000_s98320"/>
            </a:ext>
            <a:ext uri="{FF2B5EF4-FFF2-40B4-BE49-F238E27FC236}">
              <a16:creationId xmlns:a16="http://schemas.microsoft.com/office/drawing/2014/main" id="{00000000-0008-0000-2700-000010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25</xdr:row>
      <xdr:rowOff>9525</xdr:rowOff>
    </xdr:from>
    <xdr:to>
      <xdr:col>23</xdr:col>
      <xdr:colOff>371475</xdr:colOff>
      <xdr:row>25</xdr:row>
      <xdr:rowOff>228600</xdr:rowOff>
    </xdr:to>
    <xdr:sp macro="" textlink="">
      <xdr:nvSpPr>
        <xdr:cNvPr id="98321" name="Check Box 17" hidden="1">
          <a:extLst>
            <a:ext uri="{63B3BB69-23CF-44E3-9099-C40C66FF867C}">
              <a14:compatExt xmlns:a14="http://schemas.microsoft.com/office/drawing/2010/main" spid="_x0000_s98321"/>
            </a:ext>
            <a:ext uri="{FF2B5EF4-FFF2-40B4-BE49-F238E27FC236}">
              <a16:creationId xmlns:a16="http://schemas.microsoft.com/office/drawing/2014/main" id="{00000000-0008-0000-2700-00001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24</xdr:row>
      <xdr:rowOff>9525</xdr:rowOff>
    </xdr:from>
    <xdr:to>
      <xdr:col>23</xdr:col>
      <xdr:colOff>371475</xdr:colOff>
      <xdr:row>24</xdr:row>
      <xdr:rowOff>228600</xdr:rowOff>
    </xdr:to>
    <xdr:sp macro="" textlink="">
      <xdr:nvSpPr>
        <xdr:cNvPr id="98322" name="Check Box 18" hidden="1">
          <a:extLst>
            <a:ext uri="{63B3BB69-23CF-44E3-9099-C40C66FF867C}">
              <a14:compatExt xmlns:a14="http://schemas.microsoft.com/office/drawing/2010/main" spid="_x0000_s98322"/>
            </a:ext>
            <a:ext uri="{FF2B5EF4-FFF2-40B4-BE49-F238E27FC236}">
              <a16:creationId xmlns:a16="http://schemas.microsoft.com/office/drawing/2014/main" id="{00000000-0008-0000-2700-00001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26</xdr:row>
      <xdr:rowOff>19050</xdr:rowOff>
    </xdr:from>
    <xdr:to>
      <xdr:col>23</xdr:col>
      <xdr:colOff>371475</xdr:colOff>
      <xdr:row>26</xdr:row>
      <xdr:rowOff>238125</xdr:rowOff>
    </xdr:to>
    <xdr:sp macro="" textlink="">
      <xdr:nvSpPr>
        <xdr:cNvPr id="98323" name="Check Box 19" hidden="1">
          <a:extLst>
            <a:ext uri="{63B3BB69-23CF-44E3-9099-C40C66FF867C}">
              <a14:compatExt xmlns:a14="http://schemas.microsoft.com/office/drawing/2010/main" spid="_x0000_s98323"/>
            </a:ext>
            <a:ext uri="{FF2B5EF4-FFF2-40B4-BE49-F238E27FC236}">
              <a16:creationId xmlns:a16="http://schemas.microsoft.com/office/drawing/2014/main" id="{00000000-0008-0000-2700-00001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27</xdr:row>
      <xdr:rowOff>19050</xdr:rowOff>
    </xdr:from>
    <xdr:to>
      <xdr:col>23</xdr:col>
      <xdr:colOff>371475</xdr:colOff>
      <xdr:row>27</xdr:row>
      <xdr:rowOff>238125</xdr:rowOff>
    </xdr:to>
    <xdr:sp macro="" textlink="">
      <xdr:nvSpPr>
        <xdr:cNvPr id="98324" name="Check Box 20" hidden="1">
          <a:extLst>
            <a:ext uri="{63B3BB69-23CF-44E3-9099-C40C66FF867C}">
              <a14:compatExt xmlns:a14="http://schemas.microsoft.com/office/drawing/2010/main" spid="_x0000_s98324"/>
            </a:ext>
            <a:ext uri="{FF2B5EF4-FFF2-40B4-BE49-F238E27FC236}">
              <a16:creationId xmlns:a16="http://schemas.microsoft.com/office/drawing/2014/main" id="{00000000-0008-0000-2700-00001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29</xdr:row>
      <xdr:rowOff>19050</xdr:rowOff>
    </xdr:from>
    <xdr:to>
      <xdr:col>23</xdr:col>
      <xdr:colOff>371475</xdr:colOff>
      <xdr:row>29</xdr:row>
      <xdr:rowOff>238125</xdr:rowOff>
    </xdr:to>
    <xdr:sp macro="" textlink="">
      <xdr:nvSpPr>
        <xdr:cNvPr id="98325" name="Check Box 21" hidden="1">
          <a:extLst>
            <a:ext uri="{63B3BB69-23CF-44E3-9099-C40C66FF867C}">
              <a14:compatExt xmlns:a14="http://schemas.microsoft.com/office/drawing/2010/main" spid="_x0000_s98325"/>
            </a:ext>
            <a:ext uri="{FF2B5EF4-FFF2-40B4-BE49-F238E27FC236}">
              <a16:creationId xmlns:a16="http://schemas.microsoft.com/office/drawing/2014/main" id="{00000000-0008-0000-2700-000015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28</xdr:row>
      <xdr:rowOff>19050</xdr:rowOff>
    </xdr:from>
    <xdr:to>
      <xdr:col>23</xdr:col>
      <xdr:colOff>371475</xdr:colOff>
      <xdr:row>28</xdr:row>
      <xdr:rowOff>238125</xdr:rowOff>
    </xdr:to>
    <xdr:sp macro="" textlink="">
      <xdr:nvSpPr>
        <xdr:cNvPr id="98326" name="Check Box 22" hidden="1">
          <a:extLst>
            <a:ext uri="{63B3BB69-23CF-44E3-9099-C40C66FF867C}">
              <a14:compatExt xmlns:a14="http://schemas.microsoft.com/office/drawing/2010/main" spid="_x0000_s98326"/>
            </a:ext>
            <a:ext uri="{FF2B5EF4-FFF2-40B4-BE49-F238E27FC236}">
              <a16:creationId xmlns:a16="http://schemas.microsoft.com/office/drawing/2014/main" id="{00000000-0008-0000-2700-000016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30</xdr:row>
      <xdr:rowOff>19050</xdr:rowOff>
    </xdr:from>
    <xdr:to>
      <xdr:col>23</xdr:col>
      <xdr:colOff>371475</xdr:colOff>
      <xdr:row>30</xdr:row>
      <xdr:rowOff>238125</xdr:rowOff>
    </xdr:to>
    <xdr:sp macro="" textlink="">
      <xdr:nvSpPr>
        <xdr:cNvPr id="98327" name="Check Box 23" hidden="1">
          <a:extLst>
            <a:ext uri="{63B3BB69-23CF-44E3-9099-C40C66FF867C}">
              <a14:compatExt xmlns:a14="http://schemas.microsoft.com/office/drawing/2010/main" spid="_x0000_s98327"/>
            </a:ext>
            <a:ext uri="{FF2B5EF4-FFF2-40B4-BE49-F238E27FC236}">
              <a16:creationId xmlns:a16="http://schemas.microsoft.com/office/drawing/2014/main" id="{00000000-0008-0000-2700-000017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31</xdr:row>
      <xdr:rowOff>19050</xdr:rowOff>
    </xdr:from>
    <xdr:to>
      <xdr:col>23</xdr:col>
      <xdr:colOff>371475</xdr:colOff>
      <xdr:row>31</xdr:row>
      <xdr:rowOff>238125</xdr:rowOff>
    </xdr:to>
    <xdr:sp macro="" textlink="">
      <xdr:nvSpPr>
        <xdr:cNvPr id="98328" name="Check Box 24" hidden="1">
          <a:extLst>
            <a:ext uri="{63B3BB69-23CF-44E3-9099-C40C66FF867C}">
              <a14:compatExt xmlns:a14="http://schemas.microsoft.com/office/drawing/2010/main" spid="_x0000_s98328"/>
            </a:ext>
            <a:ext uri="{FF2B5EF4-FFF2-40B4-BE49-F238E27FC236}">
              <a16:creationId xmlns:a16="http://schemas.microsoft.com/office/drawing/2014/main" id="{00000000-0008-0000-2700-000018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33</xdr:row>
      <xdr:rowOff>9525</xdr:rowOff>
    </xdr:from>
    <xdr:to>
      <xdr:col>23</xdr:col>
      <xdr:colOff>371475</xdr:colOff>
      <xdr:row>33</xdr:row>
      <xdr:rowOff>228600</xdr:rowOff>
    </xdr:to>
    <xdr:sp macro="" textlink="">
      <xdr:nvSpPr>
        <xdr:cNvPr id="98329" name="Check Box 25" hidden="1">
          <a:extLst>
            <a:ext uri="{63B3BB69-23CF-44E3-9099-C40C66FF867C}">
              <a14:compatExt xmlns:a14="http://schemas.microsoft.com/office/drawing/2010/main" spid="_x0000_s98329"/>
            </a:ext>
            <a:ext uri="{FF2B5EF4-FFF2-40B4-BE49-F238E27FC236}">
              <a16:creationId xmlns:a16="http://schemas.microsoft.com/office/drawing/2014/main" id="{00000000-0008-0000-2700-000019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32</xdr:row>
      <xdr:rowOff>9525</xdr:rowOff>
    </xdr:from>
    <xdr:to>
      <xdr:col>23</xdr:col>
      <xdr:colOff>371475</xdr:colOff>
      <xdr:row>32</xdr:row>
      <xdr:rowOff>228600</xdr:rowOff>
    </xdr:to>
    <xdr:sp macro="" textlink="">
      <xdr:nvSpPr>
        <xdr:cNvPr id="98330" name="Check Box 26" hidden="1">
          <a:extLst>
            <a:ext uri="{63B3BB69-23CF-44E3-9099-C40C66FF867C}">
              <a14:compatExt xmlns:a14="http://schemas.microsoft.com/office/drawing/2010/main" spid="_x0000_s98330"/>
            </a:ext>
            <a:ext uri="{FF2B5EF4-FFF2-40B4-BE49-F238E27FC236}">
              <a16:creationId xmlns:a16="http://schemas.microsoft.com/office/drawing/2014/main" id="{00000000-0008-0000-2700-00001A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34</xdr:row>
      <xdr:rowOff>19050</xdr:rowOff>
    </xdr:from>
    <xdr:to>
      <xdr:col>23</xdr:col>
      <xdr:colOff>371475</xdr:colOff>
      <xdr:row>34</xdr:row>
      <xdr:rowOff>238125</xdr:rowOff>
    </xdr:to>
    <xdr:sp macro="" textlink="">
      <xdr:nvSpPr>
        <xdr:cNvPr id="98331" name="Check Box 27" hidden="1">
          <a:extLst>
            <a:ext uri="{63B3BB69-23CF-44E3-9099-C40C66FF867C}">
              <a14:compatExt xmlns:a14="http://schemas.microsoft.com/office/drawing/2010/main" spid="_x0000_s98331"/>
            </a:ext>
            <a:ext uri="{FF2B5EF4-FFF2-40B4-BE49-F238E27FC236}">
              <a16:creationId xmlns:a16="http://schemas.microsoft.com/office/drawing/2014/main" id="{00000000-0008-0000-2700-00001B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35</xdr:row>
      <xdr:rowOff>19050</xdr:rowOff>
    </xdr:from>
    <xdr:to>
      <xdr:col>23</xdr:col>
      <xdr:colOff>371475</xdr:colOff>
      <xdr:row>35</xdr:row>
      <xdr:rowOff>238125</xdr:rowOff>
    </xdr:to>
    <xdr:sp macro="" textlink="">
      <xdr:nvSpPr>
        <xdr:cNvPr id="98332" name="Check Box 28" hidden="1">
          <a:extLst>
            <a:ext uri="{63B3BB69-23CF-44E3-9099-C40C66FF867C}">
              <a14:compatExt xmlns:a14="http://schemas.microsoft.com/office/drawing/2010/main" spid="_x0000_s98332"/>
            </a:ext>
            <a:ext uri="{FF2B5EF4-FFF2-40B4-BE49-F238E27FC236}">
              <a16:creationId xmlns:a16="http://schemas.microsoft.com/office/drawing/2014/main" id="{00000000-0008-0000-2700-00001C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37</xdr:row>
      <xdr:rowOff>19050</xdr:rowOff>
    </xdr:from>
    <xdr:to>
      <xdr:col>23</xdr:col>
      <xdr:colOff>371475</xdr:colOff>
      <xdr:row>37</xdr:row>
      <xdr:rowOff>238125</xdr:rowOff>
    </xdr:to>
    <xdr:sp macro="" textlink="">
      <xdr:nvSpPr>
        <xdr:cNvPr id="98333" name="Check Box 29" hidden="1">
          <a:extLst>
            <a:ext uri="{63B3BB69-23CF-44E3-9099-C40C66FF867C}">
              <a14:compatExt xmlns:a14="http://schemas.microsoft.com/office/drawing/2010/main" spid="_x0000_s98333"/>
            </a:ext>
            <a:ext uri="{FF2B5EF4-FFF2-40B4-BE49-F238E27FC236}">
              <a16:creationId xmlns:a16="http://schemas.microsoft.com/office/drawing/2014/main" id="{00000000-0008-0000-2700-00001D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36</xdr:row>
      <xdr:rowOff>19050</xdr:rowOff>
    </xdr:from>
    <xdr:to>
      <xdr:col>23</xdr:col>
      <xdr:colOff>371475</xdr:colOff>
      <xdr:row>36</xdr:row>
      <xdr:rowOff>238125</xdr:rowOff>
    </xdr:to>
    <xdr:sp macro="" textlink="">
      <xdr:nvSpPr>
        <xdr:cNvPr id="98334" name="Check Box 30" hidden="1">
          <a:extLst>
            <a:ext uri="{63B3BB69-23CF-44E3-9099-C40C66FF867C}">
              <a14:compatExt xmlns:a14="http://schemas.microsoft.com/office/drawing/2010/main" spid="_x0000_s98334"/>
            </a:ext>
            <a:ext uri="{FF2B5EF4-FFF2-40B4-BE49-F238E27FC236}">
              <a16:creationId xmlns:a16="http://schemas.microsoft.com/office/drawing/2014/main" id="{00000000-0008-0000-2700-00001E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38</xdr:row>
      <xdr:rowOff>19050</xdr:rowOff>
    </xdr:from>
    <xdr:to>
      <xdr:col>23</xdr:col>
      <xdr:colOff>371475</xdr:colOff>
      <xdr:row>38</xdr:row>
      <xdr:rowOff>238125</xdr:rowOff>
    </xdr:to>
    <xdr:sp macro="" textlink="">
      <xdr:nvSpPr>
        <xdr:cNvPr id="98335" name="Check Box 31" hidden="1">
          <a:extLst>
            <a:ext uri="{63B3BB69-23CF-44E3-9099-C40C66FF867C}">
              <a14:compatExt xmlns:a14="http://schemas.microsoft.com/office/drawing/2010/main" spid="_x0000_s98335"/>
            </a:ext>
            <a:ext uri="{FF2B5EF4-FFF2-40B4-BE49-F238E27FC236}">
              <a16:creationId xmlns:a16="http://schemas.microsoft.com/office/drawing/2014/main" id="{00000000-0008-0000-2700-00001F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39</xdr:row>
      <xdr:rowOff>19050</xdr:rowOff>
    </xdr:from>
    <xdr:to>
      <xdr:col>23</xdr:col>
      <xdr:colOff>371475</xdr:colOff>
      <xdr:row>39</xdr:row>
      <xdr:rowOff>238125</xdr:rowOff>
    </xdr:to>
    <xdr:sp macro="" textlink="">
      <xdr:nvSpPr>
        <xdr:cNvPr id="98336" name="Check Box 32" hidden="1">
          <a:extLst>
            <a:ext uri="{63B3BB69-23CF-44E3-9099-C40C66FF867C}">
              <a14:compatExt xmlns:a14="http://schemas.microsoft.com/office/drawing/2010/main" spid="_x0000_s98336"/>
            </a:ext>
            <a:ext uri="{FF2B5EF4-FFF2-40B4-BE49-F238E27FC236}">
              <a16:creationId xmlns:a16="http://schemas.microsoft.com/office/drawing/2014/main" id="{00000000-0008-0000-2700-000020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41</xdr:row>
      <xdr:rowOff>9525</xdr:rowOff>
    </xdr:from>
    <xdr:to>
      <xdr:col>23</xdr:col>
      <xdr:colOff>371475</xdr:colOff>
      <xdr:row>41</xdr:row>
      <xdr:rowOff>228600</xdr:rowOff>
    </xdr:to>
    <xdr:sp macro="" textlink="">
      <xdr:nvSpPr>
        <xdr:cNvPr id="98337" name="Check Box 33" hidden="1">
          <a:extLst>
            <a:ext uri="{63B3BB69-23CF-44E3-9099-C40C66FF867C}">
              <a14:compatExt xmlns:a14="http://schemas.microsoft.com/office/drawing/2010/main" spid="_x0000_s98337"/>
            </a:ext>
            <a:ext uri="{FF2B5EF4-FFF2-40B4-BE49-F238E27FC236}">
              <a16:creationId xmlns:a16="http://schemas.microsoft.com/office/drawing/2014/main" id="{00000000-0008-0000-2700-00002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40</xdr:row>
      <xdr:rowOff>9525</xdr:rowOff>
    </xdr:from>
    <xdr:to>
      <xdr:col>23</xdr:col>
      <xdr:colOff>371475</xdr:colOff>
      <xdr:row>40</xdr:row>
      <xdr:rowOff>228600</xdr:rowOff>
    </xdr:to>
    <xdr:sp macro="" textlink="">
      <xdr:nvSpPr>
        <xdr:cNvPr id="98338" name="Check Box 34" hidden="1">
          <a:extLst>
            <a:ext uri="{63B3BB69-23CF-44E3-9099-C40C66FF867C}">
              <a14:compatExt xmlns:a14="http://schemas.microsoft.com/office/drawing/2010/main" spid="_x0000_s98338"/>
            </a:ext>
            <a:ext uri="{FF2B5EF4-FFF2-40B4-BE49-F238E27FC236}">
              <a16:creationId xmlns:a16="http://schemas.microsoft.com/office/drawing/2014/main" id="{00000000-0008-0000-2700-00002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xdr:from>
      <xdr:col>2</xdr:col>
      <xdr:colOff>11203</xdr:colOff>
      <xdr:row>5</xdr:row>
      <xdr:rowOff>717172</xdr:rowOff>
    </xdr:from>
    <xdr:to>
      <xdr:col>2</xdr:col>
      <xdr:colOff>821764</xdr:colOff>
      <xdr:row>5</xdr:row>
      <xdr:rowOff>926353</xdr:rowOff>
    </xdr:to>
    <xdr:sp macro="" textlink="">
      <xdr:nvSpPr>
        <xdr:cNvPr id="37" name="Text Box 9">
          <a:extLst>
            <a:ext uri="{FF2B5EF4-FFF2-40B4-BE49-F238E27FC236}">
              <a16:creationId xmlns:a16="http://schemas.microsoft.com/office/drawing/2014/main" id="{00000000-0008-0000-2700-000025000000}"/>
            </a:ext>
          </a:extLst>
        </xdr:cNvPr>
        <xdr:cNvSpPr txBox="1">
          <a:spLocks noChangeArrowheads="1"/>
        </xdr:cNvSpPr>
      </xdr:nvSpPr>
      <xdr:spPr bwMode="auto">
        <a:xfrm>
          <a:off x="430303" y="1574422"/>
          <a:ext cx="772461" cy="209181"/>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5</xdr:row>
      <xdr:rowOff>952496</xdr:rowOff>
    </xdr:from>
    <xdr:to>
      <xdr:col>3</xdr:col>
      <xdr:colOff>0</xdr:colOff>
      <xdr:row>5</xdr:row>
      <xdr:rowOff>1167088</xdr:rowOff>
    </xdr:to>
    <xdr:sp macro="" textlink="">
      <xdr:nvSpPr>
        <xdr:cNvPr id="38" name="Text Box 9">
          <a:extLst>
            <a:ext uri="{FF2B5EF4-FFF2-40B4-BE49-F238E27FC236}">
              <a16:creationId xmlns:a16="http://schemas.microsoft.com/office/drawing/2014/main" id="{00000000-0008-0000-2700-000026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5</xdr:row>
      <xdr:rowOff>1187820</xdr:rowOff>
    </xdr:from>
    <xdr:to>
      <xdr:col>3</xdr:col>
      <xdr:colOff>0</xdr:colOff>
      <xdr:row>5</xdr:row>
      <xdr:rowOff>1402412</xdr:rowOff>
    </xdr:to>
    <xdr:sp macro="" textlink="">
      <xdr:nvSpPr>
        <xdr:cNvPr id="39" name="Text Box 9">
          <a:extLst>
            <a:ext uri="{FF2B5EF4-FFF2-40B4-BE49-F238E27FC236}">
              <a16:creationId xmlns:a16="http://schemas.microsoft.com/office/drawing/2014/main" id="{00000000-0008-0000-2700-000027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5</xdr:row>
      <xdr:rowOff>11204</xdr:rowOff>
    </xdr:from>
    <xdr:to>
      <xdr:col>3</xdr:col>
      <xdr:colOff>0</xdr:colOff>
      <xdr:row>5</xdr:row>
      <xdr:rowOff>225796</xdr:rowOff>
    </xdr:to>
    <xdr:sp macro="" textlink="">
      <xdr:nvSpPr>
        <xdr:cNvPr id="40" name="Text Box 9">
          <a:extLst>
            <a:ext uri="{FF2B5EF4-FFF2-40B4-BE49-F238E27FC236}">
              <a16:creationId xmlns:a16="http://schemas.microsoft.com/office/drawing/2014/main" id="{00000000-0008-0000-2700-000028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5</xdr:row>
      <xdr:rowOff>246528</xdr:rowOff>
    </xdr:from>
    <xdr:to>
      <xdr:col>3</xdr:col>
      <xdr:colOff>1</xdr:colOff>
      <xdr:row>5</xdr:row>
      <xdr:rowOff>461120</xdr:rowOff>
    </xdr:to>
    <xdr:sp macro="" textlink="">
      <xdr:nvSpPr>
        <xdr:cNvPr id="41" name="Text Box 9">
          <a:extLst>
            <a:ext uri="{FF2B5EF4-FFF2-40B4-BE49-F238E27FC236}">
              <a16:creationId xmlns:a16="http://schemas.microsoft.com/office/drawing/2014/main" id="{00000000-0008-0000-2700-000029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5</xdr:row>
      <xdr:rowOff>481852</xdr:rowOff>
    </xdr:from>
    <xdr:to>
      <xdr:col>3</xdr:col>
      <xdr:colOff>1</xdr:colOff>
      <xdr:row>5</xdr:row>
      <xdr:rowOff>696444</xdr:rowOff>
    </xdr:to>
    <xdr:sp macro="" textlink="">
      <xdr:nvSpPr>
        <xdr:cNvPr id="42" name="Text Box 9">
          <a:extLst>
            <a:ext uri="{FF2B5EF4-FFF2-40B4-BE49-F238E27FC236}">
              <a16:creationId xmlns:a16="http://schemas.microsoft.com/office/drawing/2014/main" id="{00000000-0008-0000-2700-00002A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23</xdr:row>
      <xdr:rowOff>212910</xdr:rowOff>
    </xdr:from>
    <xdr:to>
      <xdr:col>2</xdr:col>
      <xdr:colOff>773206</xdr:colOff>
      <xdr:row>24</xdr:row>
      <xdr:rowOff>180972</xdr:rowOff>
    </xdr:to>
    <xdr:sp macro="" textlink="">
      <xdr:nvSpPr>
        <xdr:cNvPr id="43" name="Text Box 9">
          <a:extLst>
            <a:ext uri="{FF2B5EF4-FFF2-40B4-BE49-F238E27FC236}">
              <a16:creationId xmlns:a16="http://schemas.microsoft.com/office/drawing/2014/main" id="{00000000-0008-0000-2700-00002B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24</xdr:row>
      <xdr:rowOff>201704</xdr:rowOff>
    </xdr:from>
    <xdr:to>
      <xdr:col>2</xdr:col>
      <xdr:colOff>773207</xdr:colOff>
      <xdr:row>25</xdr:row>
      <xdr:rowOff>169767</xdr:rowOff>
    </xdr:to>
    <xdr:sp macro="" textlink="">
      <xdr:nvSpPr>
        <xdr:cNvPr id="44" name="Text Box 9">
          <a:extLst>
            <a:ext uri="{FF2B5EF4-FFF2-40B4-BE49-F238E27FC236}">
              <a16:creationId xmlns:a16="http://schemas.microsoft.com/office/drawing/2014/main" id="{00000000-0008-0000-2700-00002C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25</xdr:row>
      <xdr:rowOff>190499</xdr:rowOff>
    </xdr:from>
    <xdr:to>
      <xdr:col>2</xdr:col>
      <xdr:colOff>773207</xdr:colOff>
      <xdr:row>26</xdr:row>
      <xdr:rowOff>158561</xdr:rowOff>
    </xdr:to>
    <xdr:sp macro="" textlink="">
      <xdr:nvSpPr>
        <xdr:cNvPr id="45" name="Text Box 9">
          <a:extLst>
            <a:ext uri="{FF2B5EF4-FFF2-40B4-BE49-F238E27FC236}">
              <a16:creationId xmlns:a16="http://schemas.microsoft.com/office/drawing/2014/main" id="{00000000-0008-0000-2700-00002D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21</xdr:row>
      <xdr:rowOff>0</xdr:rowOff>
    </xdr:from>
    <xdr:to>
      <xdr:col>2</xdr:col>
      <xdr:colOff>773207</xdr:colOff>
      <xdr:row>21</xdr:row>
      <xdr:rowOff>214592</xdr:rowOff>
    </xdr:to>
    <xdr:sp macro="" textlink="">
      <xdr:nvSpPr>
        <xdr:cNvPr id="46" name="Text Box 9">
          <a:extLst>
            <a:ext uri="{FF2B5EF4-FFF2-40B4-BE49-F238E27FC236}">
              <a16:creationId xmlns:a16="http://schemas.microsoft.com/office/drawing/2014/main" id="{00000000-0008-0000-2700-00002E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21</xdr:row>
      <xdr:rowOff>235324</xdr:rowOff>
    </xdr:from>
    <xdr:to>
      <xdr:col>2</xdr:col>
      <xdr:colOff>773208</xdr:colOff>
      <xdr:row>22</xdr:row>
      <xdr:rowOff>203387</xdr:rowOff>
    </xdr:to>
    <xdr:sp macro="" textlink="">
      <xdr:nvSpPr>
        <xdr:cNvPr id="47" name="Text Box 9">
          <a:extLst>
            <a:ext uri="{FF2B5EF4-FFF2-40B4-BE49-F238E27FC236}">
              <a16:creationId xmlns:a16="http://schemas.microsoft.com/office/drawing/2014/main" id="{00000000-0008-0000-2700-00002F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22</xdr:row>
      <xdr:rowOff>224119</xdr:rowOff>
    </xdr:from>
    <xdr:to>
      <xdr:col>2</xdr:col>
      <xdr:colOff>773208</xdr:colOff>
      <xdr:row>23</xdr:row>
      <xdr:rowOff>192182</xdr:rowOff>
    </xdr:to>
    <xdr:sp macro="" textlink="">
      <xdr:nvSpPr>
        <xdr:cNvPr id="48" name="Text Box 9">
          <a:extLst>
            <a:ext uri="{FF2B5EF4-FFF2-40B4-BE49-F238E27FC236}">
              <a16:creationId xmlns:a16="http://schemas.microsoft.com/office/drawing/2014/main" id="{00000000-0008-0000-2700-000030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46</xdr:col>
      <xdr:colOff>485775</xdr:colOff>
      <xdr:row>4</xdr:row>
      <xdr:rowOff>115421</xdr:rowOff>
    </xdr:from>
    <xdr:to>
      <xdr:col>48</xdr:col>
      <xdr:colOff>173131</xdr:colOff>
      <xdr:row>5</xdr:row>
      <xdr:rowOff>466725</xdr:rowOff>
    </xdr:to>
    <xdr:sp macro="" textlink="">
      <xdr:nvSpPr>
        <xdr:cNvPr id="49" name="AutoShape 48">
          <a:hlinkClick xmlns:r="http://schemas.openxmlformats.org/officeDocument/2006/relationships" r:id="rId1"/>
          <a:extLst>
            <a:ext uri="{FF2B5EF4-FFF2-40B4-BE49-F238E27FC236}">
              <a16:creationId xmlns:a16="http://schemas.microsoft.com/office/drawing/2014/main" id="{00000000-0008-0000-2700-000031000000}"/>
            </a:ext>
          </a:extLst>
        </xdr:cNvPr>
        <xdr:cNvSpPr>
          <a:spLocks noChangeArrowheads="1"/>
        </xdr:cNvSpPr>
      </xdr:nvSpPr>
      <xdr:spPr bwMode="auto">
        <a:xfrm>
          <a:off x="13925550" y="972671"/>
          <a:ext cx="906556"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46</xdr:col>
      <xdr:colOff>485775</xdr:colOff>
      <xdr:row>1</xdr:row>
      <xdr:rowOff>257175</xdr:rowOff>
    </xdr:from>
    <xdr:to>
      <xdr:col>48</xdr:col>
      <xdr:colOff>173131</xdr:colOff>
      <xdr:row>4</xdr:row>
      <xdr:rowOff>33058</xdr:rowOff>
    </xdr:to>
    <xdr:sp macro="" textlink="">
      <xdr:nvSpPr>
        <xdr:cNvPr id="50" name="AutoShape 48">
          <a:hlinkClick xmlns:r="http://schemas.openxmlformats.org/officeDocument/2006/relationships" r:id="rId2"/>
          <a:extLst>
            <a:ext uri="{FF2B5EF4-FFF2-40B4-BE49-F238E27FC236}">
              <a16:creationId xmlns:a16="http://schemas.microsoft.com/office/drawing/2014/main" id="{00000000-0008-0000-2700-000032000000}"/>
            </a:ext>
          </a:extLst>
        </xdr:cNvPr>
        <xdr:cNvSpPr>
          <a:spLocks noChangeArrowheads="1"/>
        </xdr:cNvSpPr>
      </xdr:nvSpPr>
      <xdr:spPr bwMode="auto">
        <a:xfrm>
          <a:off x="13925550" y="638175"/>
          <a:ext cx="906556" cy="499783"/>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editAs="oneCell">
    <xdr:from>
      <xdr:col>23</xdr:col>
      <xdr:colOff>38100</xdr:colOff>
      <xdr:row>6</xdr:row>
      <xdr:rowOff>9525</xdr:rowOff>
    </xdr:from>
    <xdr:to>
      <xdr:col>23</xdr:col>
      <xdr:colOff>371475</xdr:colOff>
      <xdr:row>6</xdr:row>
      <xdr:rowOff>228600</xdr:rowOff>
    </xdr:to>
    <xdr:sp macro="" textlink="">
      <xdr:nvSpPr>
        <xdr:cNvPr id="98339" name="Check Box 35" hidden="1">
          <a:extLst>
            <a:ext uri="{63B3BB69-23CF-44E3-9099-C40C66FF867C}">
              <a14:compatExt xmlns:a14="http://schemas.microsoft.com/office/drawing/2010/main" spid="_x0000_s98339"/>
            </a:ext>
            <a:ext uri="{FF2B5EF4-FFF2-40B4-BE49-F238E27FC236}">
              <a16:creationId xmlns:a16="http://schemas.microsoft.com/office/drawing/2014/main" id="{00000000-0008-0000-2700-00002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7</xdr:row>
      <xdr:rowOff>9525</xdr:rowOff>
    </xdr:from>
    <xdr:to>
      <xdr:col>23</xdr:col>
      <xdr:colOff>371475</xdr:colOff>
      <xdr:row>7</xdr:row>
      <xdr:rowOff>228600</xdr:rowOff>
    </xdr:to>
    <xdr:sp macro="" textlink="">
      <xdr:nvSpPr>
        <xdr:cNvPr id="98340" name="Check Box 36" hidden="1">
          <a:extLst>
            <a:ext uri="{63B3BB69-23CF-44E3-9099-C40C66FF867C}">
              <a14:compatExt xmlns:a14="http://schemas.microsoft.com/office/drawing/2010/main" spid="_x0000_s98340"/>
            </a:ext>
            <a:ext uri="{FF2B5EF4-FFF2-40B4-BE49-F238E27FC236}">
              <a16:creationId xmlns:a16="http://schemas.microsoft.com/office/drawing/2014/main" id="{00000000-0008-0000-2700-00002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53" name="Line 114">
          <a:extLst>
            <a:ext uri="{FF2B5EF4-FFF2-40B4-BE49-F238E27FC236}">
              <a16:creationId xmlns:a16="http://schemas.microsoft.com/office/drawing/2014/main" id="{00000000-0008-0000-2700-000035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23</xdr:col>
          <xdr:colOff>38100</xdr:colOff>
          <xdr:row>9</xdr:row>
          <xdr:rowOff>12700</xdr:rowOff>
        </xdr:from>
        <xdr:to>
          <xdr:col>23</xdr:col>
          <xdr:colOff>374650</xdr:colOff>
          <xdr:row>9</xdr:row>
          <xdr:rowOff>228600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27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xdr:row>
          <xdr:rowOff>12700</xdr:rowOff>
        </xdr:from>
        <xdr:to>
          <xdr:col>23</xdr:col>
          <xdr:colOff>374650</xdr:colOff>
          <xdr:row>8</xdr:row>
          <xdr:rowOff>228600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27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xdr:row>
          <xdr:rowOff>19050</xdr:rowOff>
        </xdr:from>
        <xdr:to>
          <xdr:col>23</xdr:col>
          <xdr:colOff>374650</xdr:colOff>
          <xdr:row>10</xdr:row>
          <xdr:rowOff>241300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27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xdr:row>
          <xdr:rowOff>19050</xdr:rowOff>
        </xdr:from>
        <xdr:to>
          <xdr:col>23</xdr:col>
          <xdr:colOff>374650</xdr:colOff>
          <xdr:row>11</xdr:row>
          <xdr:rowOff>241300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27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19050</xdr:rowOff>
        </xdr:from>
        <xdr:to>
          <xdr:col>23</xdr:col>
          <xdr:colOff>374650</xdr:colOff>
          <xdr:row>13</xdr:row>
          <xdr:rowOff>241300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27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xdr:row>
          <xdr:rowOff>19050</xdr:rowOff>
        </xdr:from>
        <xdr:to>
          <xdr:col>23</xdr:col>
          <xdr:colOff>374650</xdr:colOff>
          <xdr:row>13</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27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14</xdr:row>
          <xdr:rowOff>19050</xdr:rowOff>
        </xdr:from>
        <xdr:to>
          <xdr:col>23</xdr:col>
          <xdr:colOff>374650</xdr:colOff>
          <xdr:row>14</xdr:row>
          <xdr:rowOff>241300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27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19050</xdr:rowOff>
        </xdr:from>
        <xdr:to>
          <xdr:col>23</xdr:col>
          <xdr:colOff>374650</xdr:colOff>
          <xdr:row>15</xdr:row>
          <xdr:rowOff>241300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27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17</xdr:row>
          <xdr:rowOff>12700</xdr:rowOff>
        </xdr:from>
        <xdr:to>
          <xdr:col>23</xdr:col>
          <xdr:colOff>374650</xdr:colOff>
          <xdr:row>17</xdr:row>
          <xdr:rowOff>228600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27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12700</xdr:rowOff>
        </xdr:from>
        <xdr:to>
          <xdr:col>23</xdr:col>
          <xdr:colOff>374650</xdr:colOff>
          <xdr:row>16</xdr:row>
          <xdr:rowOff>228600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27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18</xdr:row>
          <xdr:rowOff>19050</xdr:rowOff>
        </xdr:from>
        <xdr:to>
          <xdr:col>23</xdr:col>
          <xdr:colOff>374650</xdr:colOff>
          <xdr:row>18</xdr:row>
          <xdr:rowOff>241300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27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19050</xdr:rowOff>
        </xdr:from>
        <xdr:to>
          <xdr:col>23</xdr:col>
          <xdr:colOff>374650</xdr:colOff>
          <xdr:row>19</xdr:row>
          <xdr:rowOff>241300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27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19050</xdr:rowOff>
        </xdr:from>
        <xdr:to>
          <xdr:col>23</xdr:col>
          <xdr:colOff>374650</xdr:colOff>
          <xdr:row>21</xdr:row>
          <xdr:rowOff>241300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27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19050</xdr:rowOff>
        </xdr:from>
        <xdr:to>
          <xdr:col>23</xdr:col>
          <xdr:colOff>374650</xdr:colOff>
          <xdr:row>20</xdr:row>
          <xdr:rowOff>241300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27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22</xdr:row>
          <xdr:rowOff>19050</xdr:rowOff>
        </xdr:from>
        <xdr:to>
          <xdr:col>23</xdr:col>
          <xdr:colOff>374650</xdr:colOff>
          <xdr:row>22</xdr:row>
          <xdr:rowOff>241300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27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23</xdr:row>
          <xdr:rowOff>19050</xdr:rowOff>
        </xdr:from>
        <xdr:to>
          <xdr:col>23</xdr:col>
          <xdr:colOff>374650</xdr:colOff>
          <xdr:row>23</xdr:row>
          <xdr:rowOff>241300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27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25</xdr:row>
          <xdr:rowOff>12700</xdr:rowOff>
        </xdr:from>
        <xdr:to>
          <xdr:col>23</xdr:col>
          <xdr:colOff>374650</xdr:colOff>
          <xdr:row>25</xdr:row>
          <xdr:rowOff>228600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27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24</xdr:row>
          <xdr:rowOff>12700</xdr:rowOff>
        </xdr:from>
        <xdr:to>
          <xdr:col>23</xdr:col>
          <xdr:colOff>374650</xdr:colOff>
          <xdr:row>24</xdr:row>
          <xdr:rowOff>228600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27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26</xdr:row>
          <xdr:rowOff>19050</xdr:rowOff>
        </xdr:from>
        <xdr:to>
          <xdr:col>23</xdr:col>
          <xdr:colOff>374650</xdr:colOff>
          <xdr:row>26</xdr:row>
          <xdr:rowOff>241300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27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19050</xdr:rowOff>
        </xdr:from>
        <xdr:to>
          <xdr:col>23</xdr:col>
          <xdr:colOff>374650</xdr:colOff>
          <xdr:row>27</xdr:row>
          <xdr:rowOff>241300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27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29</xdr:row>
          <xdr:rowOff>19050</xdr:rowOff>
        </xdr:from>
        <xdr:to>
          <xdr:col>23</xdr:col>
          <xdr:colOff>374650</xdr:colOff>
          <xdr:row>29</xdr:row>
          <xdr:rowOff>241300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27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28</xdr:row>
          <xdr:rowOff>19050</xdr:rowOff>
        </xdr:from>
        <xdr:to>
          <xdr:col>23</xdr:col>
          <xdr:colOff>374650</xdr:colOff>
          <xdr:row>28</xdr:row>
          <xdr:rowOff>241300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27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30</xdr:row>
          <xdr:rowOff>19050</xdr:rowOff>
        </xdr:from>
        <xdr:to>
          <xdr:col>23</xdr:col>
          <xdr:colOff>374650</xdr:colOff>
          <xdr:row>30</xdr:row>
          <xdr:rowOff>241300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27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31</xdr:row>
          <xdr:rowOff>19050</xdr:rowOff>
        </xdr:from>
        <xdr:to>
          <xdr:col>23</xdr:col>
          <xdr:colOff>374650</xdr:colOff>
          <xdr:row>31</xdr:row>
          <xdr:rowOff>241300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27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33</xdr:row>
          <xdr:rowOff>12700</xdr:rowOff>
        </xdr:from>
        <xdr:to>
          <xdr:col>23</xdr:col>
          <xdr:colOff>374650</xdr:colOff>
          <xdr:row>33</xdr:row>
          <xdr:rowOff>228600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27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32</xdr:row>
          <xdr:rowOff>12700</xdr:rowOff>
        </xdr:from>
        <xdr:to>
          <xdr:col>23</xdr:col>
          <xdr:colOff>374650</xdr:colOff>
          <xdr:row>32</xdr:row>
          <xdr:rowOff>228600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27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34</xdr:row>
          <xdr:rowOff>19050</xdr:rowOff>
        </xdr:from>
        <xdr:to>
          <xdr:col>23</xdr:col>
          <xdr:colOff>374650</xdr:colOff>
          <xdr:row>34</xdr:row>
          <xdr:rowOff>241300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27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35</xdr:row>
          <xdr:rowOff>19050</xdr:rowOff>
        </xdr:from>
        <xdr:to>
          <xdr:col>23</xdr:col>
          <xdr:colOff>374650</xdr:colOff>
          <xdr:row>35</xdr:row>
          <xdr:rowOff>241300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27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37</xdr:row>
          <xdr:rowOff>19050</xdr:rowOff>
        </xdr:from>
        <xdr:to>
          <xdr:col>23</xdr:col>
          <xdr:colOff>374650</xdr:colOff>
          <xdr:row>37</xdr:row>
          <xdr:rowOff>241300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27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36</xdr:row>
          <xdr:rowOff>19050</xdr:rowOff>
        </xdr:from>
        <xdr:to>
          <xdr:col>23</xdr:col>
          <xdr:colOff>374650</xdr:colOff>
          <xdr:row>36</xdr:row>
          <xdr:rowOff>241300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27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38</xdr:row>
          <xdr:rowOff>19050</xdr:rowOff>
        </xdr:from>
        <xdr:to>
          <xdr:col>23</xdr:col>
          <xdr:colOff>374650</xdr:colOff>
          <xdr:row>38</xdr:row>
          <xdr:rowOff>241300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27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39</xdr:row>
          <xdr:rowOff>19050</xdr:rowOff>
        </xdr:from>
        <xdr:to>
          <xdr:col>23</xdr:col>
          <xdr:colOff>374650</xdr:colOff>
          <xdr:row>39</xdr:row>
          <xdr:rowOff>241300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27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41</xdr:row>
          <xdr:rowOff>12700</xdr:rowOff>
        </xdr:from>
        <xdr:to>
          <xdr:col>23</xdr:col>
          <xdr:colOff>374650</xdr:colOff>
          <xdr:row>41</xdr:row>
          <xdr:rowOff>228600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27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40</xdr:row>
          <xdr:rowOff>12700</xdr:rowOff>
        </xdr:from>
        <xdr:to>
          <xdr:col>23</xdr:col>
          <xdr:colOff>374650</xdr:colOff>
          <xdr:row>40</xdr:row>
          <xdr:rowOff>228600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27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6</xdr:row>
          <xdr:rowOff>12700</xdr:rowOff>
        </xdr:from>
        <xdr:to>
          <xdr:col>23</xdr:col>
          <xdr:colOff>374650</xdr:colOff>
          <xdr:row>6</xdr:row>
          <xdr:rowOff>228600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27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xdr:row>
          <xdr:rowOff>12700</xdr:rowOff>
        </xdr:from>
        <xdr:to>
          <xdr:col>23</xdr:col>
          <xdr:colOff>374650</xdr:colOff>
          <xdr:row>7</xdr:row>
          <xdr:rowOff>228600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27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523875</xdr:colOff>
      <xdr:row>2</xdr:row>
      <xdr:rowOff>19050</xdr:rowOff>
    </xdr:from>
    <xdr:to>
      <xdr:col>1</xdr:col>
      <xdr:colOff>600075</xdr:colOff>
      <xdr:row>6</xdr:row>
      <xdr:rowOff>9525</xdr:rowOff>
    </xdr:to>
    <xdr:pic>
      <xdr:nvPicPr>
        <xdr:cNvPr id="2" name="Afbeelding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46672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419100</xdr:colOff>
      <xdr:row>13</xdr:row>
      <xdr:rowOff>9525</xdr:rowOff>
    </xdr:from>
    <xdr:to>
      <xdr:col>1</xdr:col>
      <xdr:colOff>495300</xdr:colOff>
      <xdr:row>17</xdr:row>
      <xdr:rowOff>0</xdr:rowOff>
    </xdr:to>
    <xdr:pic>
      <xdr:nvPicPr>
        <xdr:cNvPr id="3" name="Afbeelding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818197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581025</xdr:colOff>
      <xdr:row>20</xdr:row>
      <xdr:rowOff>123825</xdr:rowOff>
    </xdr:from>
    <xdr:to>
      <xdr:col>6</xdr:col>
      <xdr:colOff>390525</xdr:colOff>
      <xdr:row>30</xdr:row>
      <xdr:rowOff>590550</xdr:rowOff>
    </xdr:to>
    <xdr:pic>
      <xdr:nvPicPr>
        <xdr:cNvPr id="4" name="Afbeelding 6">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0225" y="9639300"/>
          <a:ext cx="224790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504825</xdr:colOff>
      <xdr:row>41</xdr:row>
      <xdr:rowOff>9525</xdr:rowOff>
    </xdr:from>
    <xdr:to>
      <xdr:col>1</xdr:col>
      <xdr:colOff>581025</xdr:colOff>
      <xdr:row>45</xdr:row>
      <xdr:rowOff>0</xdr:rowOff>
    </xdr:to>
    <xdr:pic>
      <xdr:nvPicPr>
        <xdr:cNvPr id="5" name="Afbeelding 8">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803082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514350</xdr:colOff>
      <xdr:row>49</xdr:row>
      <xdr:rowOff>19050</xdr:rowOff>
    </xdr:from>
    <xdr:to>
      <xdr:col>1</xdr:col>
      <xdr:colOff>590550</xdr:colOff>
      <xdr:row>53</xdr:row>
      <xdr:rowOff>9525</xdr:rowOff>
    </xdr:to>
    <xdr:pic>
      <xdr:nvPicPr>
        <xdr:cNvPr id="6" name="Afbeelding 1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23279100"/>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441325</xdr:colOff>
      <xdr:row>7</xdr:row>
      <xdr:rowOff>149225</xdr:rowOff>
    </xdr:from>
    <xdr:to>
      <xdr:col>8</xdr:col>
      <xdr:colOff>365522</xdr:colOff>
      <xdr:row>9</xdr:row>
      <xdr:rowOff>3251200</xdr:rowOff>
    </xdr:to>
    <xdr:pic>
      <xdr:nvPicPr>
        <xdr:cNvPr id="7" name="Afbeelding 9">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0525" y="1740958"/>
          <a:ext cx="3581797" cy="3449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11</xdr:row>
      <xdr:rowOff>180975</xdr:rowOff>
    </xdr:from>
    <xdr:to>
      <xdr:col>12</xdr:col>
      <xdr:colOff>180975</xdr:colOff>
      <xdr:row>12</xdr:row>
      <xdr:rowOff>3143250</xdr:rowOff>
    </xdr:to>
    <xdr:pic>
      <xdr:nvPicPr>
        <xdr:cNvPr id="8" name="Afbeelding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47850" y="4819650"/>
          <a:ext cx="5648325"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17</xdr:row>
      <xdr:rowOff>104775</xdr:rowOff>
    </xdr:from>
    <xdr:to>
      <xdr:col>6</xdr:col>
      <xdr:colOff>103674</xdr:colOff>
      <xdr:row>18</xdr:row>
      <xdr:rowOff>2419350</xdr:rowOff>
    </xdr:to>
    <xdr:pic>
      <xdr:nvPicPr>
        <xdr:cNvPr id="9" name="Afbeelding 4">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47850" y="9077325"/>
          <a:ext cx="1913424"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561975</xdr:colOff>
      <xdr:row>29</xdr:row>
      <xdr:rowOff>141702</xdr:rowOff>
    </xdr:from>
    <xdr:to>
      <xdr:col>19</xdr:col>
      <xdr:colOff>428625</xdr:colOff>
      <xdr:row>37</xdr:row>
      <xdr:rowOff>133350</xdr:rowOff>
    </xdr:to>
    <xdr:pic>
      <xdr:nvPicPr>
        <xdr:cNvPr id="10" name="Afbeelding 2">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77175" y="13200477"/>
          <a:ext cx="4133850" cy="4220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xdr:colOff>
      <xdr:row>34</xdr:row>
      <xdr:rowOff>285750</xdr:rowOff>
    </xdr:from>
    <xdr:to>
      <xdr:col>10</xdr:col>
      <xdr:colOff>415620</xdr:colOff>
      <xdr:row>40</xdr:row>
      <xdr:rowOff>695325</xdr:rowOff>
    </xdr:to>
    <xdr:pic>
      <xdr:nvPicPr>
        <xdr:cNvPr id="11" name="Afbeelding 5">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28725" y="14887575"/>
          <a:ext cx="5282895"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48</xdr:row>
      <xdr:rowOff>76200</xdr:rowOff>
    </xdr:from>
    <xdr:to>
      <xdr:col>11</xdr:col>
      <xdr:colOff>587708</xdr:colOff>
      <xdr:row>48</xdr:row>
      <xdr:rowOff>4914900</xdr:rowOff>
    </xdr:to>
    <xdr:pic>
      <xdr:nvPicPr>
        <xdr:cNvPr id="12" name="Afbeelding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38250" y="20240625"/>
          <a:ext cx="6055058" cy="483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581025</xdr:colOff>
      <xdr:row>61</xdr:row>
      <xdr:rowOff>76200</xdr:rowOff>
    </xdr:from>
    <xdr:to>
      <xdr:col>12</xdr:col>
      <xdr:colOff>297119</xdr:colOff>
      <xdr:row>79</xdr:row>
      <xdr:rowOff>19050</xdr:rowOff>
    </xdr:to>
    <xdr:pic>
      <xdr:nvPicPr>
        <xdr:cNvPr id="13" name="Afbeelding 15">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90625" y="28746450"/>
          <a:ext cx="6421694"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55</xdr:row>
      <xdr:rowOff>9525</xdr:rowOff>
    </xdr:from>
    <xdr:to>
      <xdr:col>8</xdr:col>
      <xdr:colOff>190500</xdr:colOff>
      <xdr:row>58</xdr:row>
      <xdr:rowOff>123825</xdr:rowOff>
    </xdr:to>
    <xdr:pic>
      <xdr:nvPicPr>
        <xdr:cNvPr id="14" name="Afbeelding 16">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143250" y="24450675"/>
          <a:ext cx="192405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590550</xdr:colOff>
      <xdr:row>54</xdr:row>
      <xdr:rowOff>152400</xdr:rowOff>
    </xdr:from>
    <xdr:to>
      <xdr:col>10</xdr:col>
      <xdr:colOff>495300</xdr:colOff>
      <xdr:row>58</xdr:row>
      <xdr:rowOff>123825</xdr:rowOff>
    </xdr:to>
    <xdr:pic>
      <xdr:nvPicPr>
        <xdr:cNvPr id="15" name="Afbeelding 17">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467350" y="24403050"/>
          <a:ext cx="112395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381000</xdr:colOff>
      <xdr:row>31</xdr:row>
      <xdr:rowOff>76200</xdr:rowOff>
    </xdr:from>
    <xdr:to>
      <xdr:col>13</xdr:col>
      <xdr:colOff>114300</xdr:colOff>
      <xdr:row>31</xdr:row>
      <xdr:rowOff>82650</xdr:rowOff>
    </xdr:to>
    <xdr:cxnSp macro="">
      <xdr:nvCxnSpPr>
        <xdr:cNvPr id="17" name="Rechte verbindingslijn met pijl 16">
          <a:extLst>
            <a:ext uri="{FF2B5EF4-FFF2-40B4-BE49-F238E27FC236}">
              <a16:creationId xmlns:a16="http://schemas.microsoft.com/office/drawing/2014/main" id="{00000000-0008-0000-0300-000011000000}"/>
            </a:ext>
          </a:extLst>
        </xdr:cNvPr>
        <xdr:cNvCxnSpPr/>
      </xdr:nvCxnSpPr>
      <xdr:spPr bwMode="auto">
        <a:xfrm flipV="1">
          <a:off x="7086600" y="14135100"/>
          <a:ext cx="952500" cy="645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66674</xdr:colOff>
      <xdr:row>47</xdr:row>
      <xdr:rowOff>142875</xdr:rowOff>
    </xdr:from>
    <xdr:to>
      <xdr:col>11</xdr:col>
      <xdr:colOff>609599</xdr:colOff>
      <xdr:row>48</xdr:row>
      <xdr:rowOff>4476750</xdr:rowOff>
    </xdr:to>
    <xdr:sp macro="" textlink="">
      <xdr:nvSpPr>
        <xdr:cNvPr id="19" name="Rechthoek 18">
          <a:extLst>
            <a:ext uri="{FF2B5EF4-FFF2-40B4-BE49-F238E27FC236}">
              <a16:creationId xmlns:a16="http://schemas.microsoft.com/office/drawing/2014/main" id="{00000000-0008-0000-0300-000013000000}"/>
            </a:ext>
          </a:extLst>
        </xdr:cNvPr>
        <xdr:cNvSpPr/>
      </xdr:nvSpPr>
      <xdr:spPr bwMode="auto">
        <a:xfrm>
          <a:off x="5553074" y="20145375"/>
          <a:ext cx="1762125" cy="4495800"/>
        </a:xfrm>
        <a:prstGeom prst="rect">
          <a:avLst/>
        </a:prstGeom>
        <a:solidFill>
          <a:schemeClr val="bg1"/>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6</xdr:col>
      <xdr:colOff>276225</xdr:colOff>
      <xdr:row>53</xdr:row>
      <xdr:rowOff>9525</xdr:rowOff>
    </xdr:from>
    <xdr:to>
      <xdr:col>6</xdr:col>
      <xdr:colOff>390525</xdr:colOff>
      <xdr:row>56</xdr:row>
      <xdr:rowOff>142875</xdr:rowOff>
    </xdr:to>
    <xdr:cxnSp macro="">
      <xdr:nvCxnSpPr>
        <xdr:cNvPr id="21" name="Rechte verbindingslijn met pijl 20">
          <a:extLst>
            <a:ext uri="{FF2B5EF4-FFF2-40B4-BE49-F238E27FC236}">
              <a16:creationId xmlns:a16="http://schemas.microsoft.com/office/drawing/2014/main" id="{00000000-0008-0000-0300-000015000000}"/>
            </a:ext>
          </a:extLst>
        </xdr:cNvPr>
        <xdr:cNvCxnSpPr/>
      </xdr:nvCxnSpPr>
      <xdr:spPr bwMode="auto">
        <a:xfrm flipH="1">
          <a:off x="3933825" y="24069675"/>
          <a:ext cx="114300" cy="70485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342900</xdr:colOff>
      <xdr:row>53</xdr:row>
      <xdr:rowOff>28575</xdr:rowOff>
    </xdr:from>
    <xdr:to>
      <xdr:col>9</xdr:col>
      <xdr:colOff>133350</xdr:colOff>
      <xdr:row>56</xdr:row>
      <xdr:rowOff>66675</xdr:rowOff>
    </xdr:to>
    <xdr:cxnSp macro="">
      <xdr:nvCxnSpPr>
        <xdr:cNvPr id="22" name="Rechte verbindingslijn met pijl 21">
          <a:extLst>
            <a:ext uri="{FF2B5EF4-FFF2-40B4-BE49-F238E27FC236}">
              <a16:creationId xmlns:a16="http://schemas.microsoft.com/office/drawing/2014/main" id="{00000000-0008-0000-0300-000016000000}"/>
            </a:ext>
          </a:extLst>
        </xdr:cNvPr>
        <xdr:cNvCxnSpPr/>
      </xdr:nvCxnSpPr>
      <xdr:spPr bwMode="auto">
        <a:xfrm>
          <a:off x="5219700" y="24088725"/>
          <a:ext cx="400050" cy="60960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505883</xdr:colOff>
      <xdr:row>1</xdr:row>
      <xdr:rowOff>415925</xdr:rowOff>
    </xdr:from>
    <xdr:to>
      <xdr:col>24</xdr:col>
      <xdr:colOff>353483</xdr:colOff>
      <xdr:row>7</xdr:row>
      <xdr:rowOff>177800</xdr:rowOff>
    </xdr:to>
    <xdr:sp macro="" textlink="">
      <xdr:nvSpPr>
        <xdr:cNvPr id="23" name="Pijl: links 7">
          <a:hlinkClick xmlns:r="http://schemas.openxmlformats.org/officeDocument/2006/relationships" r:id="rId12"/>
          <a:extLst>
            <a:ext uri="{FF2B5EF4-FFF2-40B4-BE49-F238E27FC236}">
              <a16:creationId xmlns:a16="http://schemas.microsoft.com/office/drawing/2014/main" id="{00000000-0008-0000-0300-000017000000}"/>
            </a:ext>
          </a:extLst>
        </xdr:cNvPr>
        <xdr:cNvSpPr/>
      </xdr:nvSpPr>
      <xdr:spPr bwMode="auto">
        <a:xfrm flipH="1">
          <a:off x="13307483" y="576792"/>
          <a:ext cx="1676400" cy="1192741"/>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13</xdr:col>
      <xdr:colOff>253996</xdr:colOff>
      <xdr:row>7</xdr:row>
      <xdr:rowOff>110067</xdr:rowOff>
    </xdr:from>
    <xdr:to>
      <xdr:col>22</xdr:col>
      <xdr:colOff>469896</xdr:colOff>
      <xdr:row>9</xdr:row>
      <xdr:rowOff>3232150</xdr:rowOff>
    </xdr:to>
    <xdr:pic>
      <xdr:nvPicPr>
        <xdr:cNvPr id="24" name="Afbeelding 23">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178796" y="1701800"/>
          <a:ext cx="5702300" cy="3469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143934</xdr:colOff>
      <xdr:row>6</xdr:row>
      <xdr:rowOff>59266</xdr:rowOff>
    </xdr:from>
    <xdr:to>
      <xdr:col>13</xdr:col>
      <xdr:colOff>338668</xdr:colOff>
      <xdr:row>9</xdr:row>
      <xdr:rowOff>888999</xdr:rowOff>
    </xdr:to>
    <xdr:sp macro="" textlink="">
      <xdr:nvSpPr>
        <xdr:cNvPr id="18" name="Pijl: links/rechts 17">
          <a:extLst>
            <a:ext uri="{FF2B5EF4-FFF2-40B4-BE49-F238E27FC236}">
              <a16:creationId xmlns:a16="http://schemas.microsoft.com/office/drawing/2014/main" id="{00000000-0008-0000-0300-000012000000}"/>
            </a:ext>
          </a:extLst>
        </xdr:cNvPr>
        <xdr:cNvSpPr/>
      </xdr:nvSpPr>
      <xdr:spPr bwMode="auto">
        <a:xfrm>
          <a:off x="5020734" y="1464733"/>
          <a:ext cx="3242734" cy="1363133"/>
        </a:xfrm>
        <a:prstGeom prst="leftRightArrow">
          <a:avLst>
            <a:gd name="adj1" fmla="val 60839"/>
            <a:gd name="adj2" fmla="val 27257"/>
          </a:avLst>
        </a:pr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lang="nl-NL" sz="1100">
              <a:solidFill>
                <a:schemeClr val="bg1"/>
              </a:solidFill>
              <a:effectLst/>
              <a:latin typeface="+mn-lt"/>
              <a:ea typeface="+mn-ea"/>
              <a:cs typeface="+mn-cs"/>
            </a:rPr>
            <a:t>LET</a:t>
          </a:r>
          <a:r>
            <a:rPr lang="nl-NL" sz="1100" baseline="0">
              <a:solidFill>
                <a:schemeClr val="bg1"/>
              </a:solidFill>
              <a:effectLst/>
              <a:latin typeface="+mn-lt"/>
              <a:ea typeface="+mn-ea"/>
              <a:cs typeface="+mn-cs"/>
            </a:rPr>
            <a:t> OP</a:t>
          </a:r>
          <a:r>
            <a:rPr lang="nl-NL" sz="1100">
              <a:solidFill>
                <a:schemeClr val="bg1"/>
              </a:solidFill>
              <a:effectLst/>
              <a:latin typeface="+mn-lt"/>
              <a:ea typeface="+mn-ea"/>
              <a:cs typeface="+mn-cs"/>
            </a:rPr>
            <a:t>! hier moet staan</a:t>
          </a:r>
        </a:p>
        <a:p>
          <a:r>
            <a:rPr lang="nl-NL" sz="1100">
              <a:solidFill>
                <a:schemeClr val="bg1"/>
              </a:solidFill>
              <a:effectLst/>
              <a:latin typeface="+mn-lt"/>
              <a:ea typeface="+mn-ea"/>
              <a:cs typeface="+mn-cs"/>
            </a:rPr>
            <a:t> 'Niet-methodetoetsen (oud),</a:t>
          </a:r>
          <a:endParaRPr lang="nl-NL">
            <a:solidFill>
              <a:schemeClr val="bg1"/>
            </a:solidFill>
            <a:effectLst/>
          </a:endParaRPr>
        </a:p>
        <a:p>
          <a:r>
            <a:rPr lang="nl-NL" sz="1100">
              <a:solidFill>
                <a:schemeClr val="bg1"/>
              </a:solidFill>
              <a:effectLst/>
              <a:latin typeface="+mn-lt"/>
              <a:ea typeface="+mn-ea"/>
              <a:cs typeface="+mn-cs"/>
            </a:rPr>
            <a:t>anders</a:t>
          </a:r>
          <a:r>
            <a:rPr lang="nl-NL" sz="1100" baseline="0">
              <a:solidFill>
                <a:schemeClr val="bg1"/>
              </a:solidFill>
              <a:effectLst/>
              <a:latin typeface="+mn-lt"/>
              <a:ea typeface="+mn-ea"/>
              <a:cs typeface="+mn-cs"/>
            </a:rPr>
            <a:t> kun je geen niveauwaarden invoeren.</a:t>
          </a:r>
          <a:endParaRPr lang="nl-NL">
            <a:solidFill>
              <a:schemeClr val="bg1"/>
            </a:solidFill>
            <a:effectLst/>
          </a:endParaRPr>
        </a:p>
        <a:p>
          <a:r>
            <a:rPr lang="nl-NL" sz="1100" baseline="0">
              <a:solidFill>
                <a:schemeClr val="bg1"/>
              </a:solidFill>
              <a:effectLst/>
              <a:latin typeface="+mn-lt"/>
              <a:ea typeface="+mn-ea"/>
              <a:cs typeface="+mn-cs"/>
            </a:rPr>
            <a:t>dit is via Instellingen ParnasSys zo te realiseren</a:t>
          </a:r>
          <a:endParaRPr lang="nl-NL">
            <a:solidFill>
              <a:schemeClr val="bg1"/>
            </a:solidFill>
            <a:effectLst/>
          </a:endParaRPr>
        </a:p>
        <a:p>
          <a:pPr algn="l"/>
          <a:endParaRPr lang="nl-NL" sz="1100">
            <a:solidFill>
              <a:schemeClr val="bg1"/>
            </a:solidFill>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2</xdr:col>
      <xdr:colOff>385483</xdr:colOff>
      <xdr:row>2</xdr:row>
      <xdr:rowOff>158003</xdr:rowOff>
    </xdr:from>
    <xdr:to>
      <xdr:col>2</xdr:col>
      <xdr:colOff>1280833</xdr:colOff>
      <xdr:row>2</xdr:row>
      <xdr:rowOff>691403</xdr:rowOff>
    </xdr:to>
    <xdr:sp macro="" textlink="">
      <xdr:nvSpPr>
        <xdr:cNvPr id="3" name="AutoShape 50">
          <a:hlinkClick xmlns:r="http://schemas.openxmlformats.org/officeDocument/2006/relationships" r:id="rId1"/>
          <a:extLst>
            <a:ext uri="{FF2B5EF4-FFF2-40B4-BE49-F238E27FC236}">
              <a16:creationId xmlns:a16="http://schemas.microsoft.com/office/drawing/2014/main" id="{00000000-0008-0000-2800-000003000000}"/>
            </a:ext>
          </a:extLst>
        </xdr:cNvPr>
        <xdr:cNvSpPr>
          <a:spLocks noChangeArrowheads="1"/>
        </xdr:cNvSpPr>
      </xdr:nvSpPr>
      <xdr:spPr bwMode="auto">
        <a:xfrm>
          <a:off x="871258" y="767603"/>
          <a:ext cx="895350" cy="53340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950" b="0" i="0" u="none" strike="noStrike" baseline="0">
              <a:solidFill>
                <a:srgbClr val="000000"/>
              </a:solidFill>
              <a:latin typeface="Arial"/>
              <a:cs typeface="Arial"/>
            </a:rPr>
            <a:t>beginblad </a:t>
          </a:r>
          <a:endParaRPr lang="nl-NL"/>
        </a:p>
      </xdr:txBody>
    </xdr:sp>
    <xdr:clientData fPrintsWithSheet="0"/>
  </xdr:twoCellAnchor>
  <xdr:twoCellAnchor>
    <xdr:from>
      <xdr:col>2</xdr:col>
      <xdr:colOff>375959</xdr:colOff>
      <xdr:row>2</xdr:row>
      <xdr:rowOff>783294</xdr:rowOff>
    </xdr:from>
    <xdr:to>
      <xdr:col>2</xdr:col>
      <xdr:colOff>1283636</xdr:colOff>
      <xdr:row>2</xdr:row>
      <xdr:rowOff>1306048</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800-000004000000}"/>
            </a:ext>
          </a:extLst>
        </xdr:cNvPr>
        <xdr:cNvSpPr>
          <a:spLocks noChangeArrowheads="1"/>
        </xdr:cNvSpPr>
      </xdr:nvSpPr>
      <xdr:spPr bwMode="auto">
        <a:xfrm>
          <a:off x="861734" y="1392894"/>
          <a:ext cx="907677"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fPrintsWithSheet="0"/>
  </xdr:twoCellAnchor>
  <xdr:twoCellAnchor>
    <xdr:from>
      <xdr:col>36</xdr:col>
      <xdr:colOff>226281</xdr:colOff>
      <xdr:row>2</xdr:row>
      <xdr:rowOff>20731</xdr:rowOff>
    </xdr:from>
    <xdr:to>
      <xdr:col>44</xdr:col>
      <xdr:colOff>636416</xdr:colOff>
      <xdr:row>38</xdr:row>
      <xdr:rowOff>155202</xdr:rowOff>
    </xdr:to>
    <xdr:graphicFrame macro="">
      <xdr:nvGraphicFramePr>
        <xdr:cNvPr id="5" name="Grafiek 4">
          <a:extLst>
            <a:ext uri="{FF2B5EF4-FFF2-40B4-BE49-F238E27FC236}">
              <a16:creationId xmlns:a16="http://schemas.microsoft.com/office/drawing/2014/main" id="{00000000-0008-0000-2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33</xdr:col>
      <xdr:colOff>38100</xdr:colOff>
      <xdr:row>6</xdr:row>
      <xdr:rowOff>9525</xdr:rowOff>
    </xdr:from>
    <xdr:to>
      <xdr:col>33</xdr:col>
      <xdr:colOff>371475</xdr:colOff>
      <xdr:row>6</xdr:row>
      <xdr:rowOff>228600</xdr:rowOff>
    </xdr:to>
    <xdr:sp macro="" textlink="">
      <xdr:nvSpPr>
        <xdr:cNvPr id="99329" name="Check Box 1" hidden="1">
          <a:extLst>
            <a:ext uri="{63B3BB69-23CF-44E3-9099-C40C66FF867C}">
              <a14:compatExt xmlns:a14="http://schemas.microsoft.com/office/drawing/2010/main" spid="_x0000_s99329"/>
            </a:ext>
            <a:ext uri="{FF2B5EF4-FFF2-40B4-BE49-F238E27FC236}">
              <a16:creationId xmlns:a16="http://schemas.microsoft.com/office/drawing/2014/main" id="{00000000-0008-0000-2800-00000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5</xdr:row>
      <xdr:rowOff>9525</xdr:rowOff>
    </xdr:from>
    <xdr:to>
      <xdr:col>33</xdr:col>
      <xdr:colOff>371475</xdr:colOff>
      <xdr:row>5</xdr:row>
      <xdr:rowOff>228600</xdr:rowOff>
    </xdr:to>
    <xdr:sp macro="" textlink="">
      <xdr:nvSpPr>
        <xdr:cNvPr id="99330" name="Check Box 2" hidden="1">
          <a:extLst>
            <a:ext uri="{63B3BB69-23CF-44E3-9099-C40C66FF867C}">
              <a14:compatExt xmlns:a14="http://schemas.microsoft.com/office/drawing/2010/main" spid="_x0000_s99330"/>
            </a:ext>
            <a:ext uri="{FF2B5EF4-FFF2-40B4-BE49-F238E27FC236}">
              <a16:creationId xmlns:a16="http://schemas.microsoft.com/office/drawing/2014/main" id="{00000000-0008-0000-2800-00000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7</xdr:row>
      <xdr:rowOff>19050</xdr:rowOff>
    </xdr:from>
    <xdr:to>
      <xdr:col>33</xdr:col>
      <xdr:colOff>371475</xdr:colOff>
      <xdr:row>7</xdr:row>
      <xdr:rowOff>238125</xdr:rowOff>
    </xdr:to>
    <xdr:sp macro="" textlink="">
      <xdr:nvSpPr>
        <xdr:cNvPr id="99331" name="Check Box 3" hidden="1">
          <a:extLst>
            <a:ext uri="{63B3BB69-23CF-44E3-9099-C40C66FF867C}">
              <a14:compatExt xmlns:a14="http://schemas.microsoft.com/office/drawing/2010/main" spid="_x0000_s99331"/>
            </a:ext>
            <a:ext uri="{FF2B5EF4-FFF2-40B4-BE49-F238E27FC236}">
              <a16:creationId xmlns:a16="http://schemas.microsoft.com/office/drawing/2014/main" id="{00000000-0008-0000-2800-00000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8</xdr:row>
      <xdr:rowOff>19050</xdr:rowOff>
    </xdr:from>
    <xdr:to>
      <xdr:col>33</xdr:col>
      <xdr:colOff>371475</xdr:colOff>
      <xdr:row>8</xdr:row>
      <xdr:rowOff>238125</xdr:rowOff>
    </xdr:to>
    <xdr:sp macro="" textlink="">
      <xdr:nvSpPr>
        <xdr:cNvPr id="99332" name="Check Box 4" hidden="1">
          <a:extLst>
            <a:ext uri="{63B3BB69-23CF-44E3-9099-C40C66FF867C}">
              <a14:compatExt xmlns:a14="http://schemas.microsoft.com/office/drawing/2010/main" spid="_x0000_s99332"/>
            </a:ext>
            <a:ext uri="{FF2B5EF4-FFF2-40B4-BE49-F238E27FC236}">
              <a16:creationId xmlns:a16="http://schemas.microsoft.com/office/drawing/2014/main" id="{00000000-0008-0000-2800-00000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10</xdr:row>
      <xdr:rowOff>19050</xdr:rowOff>
    </xdr:from>
    <xdr:to>
      <xdr:col>33</xdr:col>
      <xdr:colOff>371475</xdr:colOff>
      <xdr:row>10</xdr:row>
      <xdr:rowOff>238125</xdr:rowOff>
    </xdr:to>
    <xdr:sp macro="" textlink="">
      <xdr:nvSpPr>
        <xdr:cNvPr id="99333" name="Check Box 5" hidden="1">
          <a:extLst>
            <a:ext uri="{63B3BB69-23CF-44E3-9099-C40C66FF867C}">
              <a14:compatExt xmlns:a14="http://schemas.microsoft.com/office/drawing/2010/main" spid="_x0000_s99333"/>
            </a:ext>
            <a:ext uri="{FF2B5EF4-FFF2-40B4-BE49-F238E27FC236}">
              <a16:creationId xmlns:a16="http://schemas.microsoft.com/office/drawing/2014/main" id="{00000000-0008-0000-2800-000005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9</xdr:row>
      <xdr:rowOff>19050</xdr:rowOff>
    </xdr:from>
    <xdr:to>
      <xdr:col>33</xdr:col>
      <xdr:colOff>371475</xdr:colOff>
      <xdr:row>10</xdr:row>
      <xdr:rowOff>0</xdr:rowOff>
    </xdr:to>
    <xdr:sp macro="" textlink="">
      <xdr:nvSpPr>
        <xdr:cNvPr id="99334" name="Check Box 6" hidden="1">
          <a:extLst>
            <a:ext uri="{63B3BB69-23CF-44E3-9099-C40C66FF867C}">
              <a14:compatExt xmlns:a14="http://schemas.microsoft.com/office/drawing/2010/main" spid="_x0000_s99334"/>
            </a:ext>
            <a:ext uri="{FF2B5EF4-FFF2-40B4-BE49-F238E27FC236}">
              <a16:creationId xmlns:a16="http://schemas.microsoft.com/office/drawing/2014/main" id="{00000000-0008-0000-2800-000006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11</xdr:row>
      <xdr:rowOff>19050</xdr:rowOff>
    </xdr:from>
    <xdr:to>
      <xdr:col>33</xdr:col>
      <xdr:colOff>371475</xdr:colOff>
      <xdr:row>11</xdr:row>
      <xdr:rowOff>238125</xdr:rowOff>
    </xdr:to>
    <xdr:sp macro="" textlink="">
      <xdr:nvSpPr>
        <xdr:cNvPr id="99335" name="Check Box 7" hidden="1">
          <a:extLst>
            <a:ext uri="{63B3BB69-23CF-44E3-9099-C40C66FF867C}">
              <a14:compatExt xmlns:a14="http://schemas.microsoft.com/office/drawing/2010/main" spid="_x0000_s99335"/>
            </a:ext>
            <a:ext uri="{FF2B5EF4-FFF2-40B4-BE49-F238E27FC236}">
              <a16:creationId xmlns:a16="http://schemas.microsoft.com/office/drawing/2014/main" id="{00000000-0008-0000-2800-000007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12</xdr:row>
      <xdr:rowOff>19050</xdr:rowOff>
    </xdr:from>
    <xdr:to>
      <xdr:col>33</xdr:col>
      <xdr:colOff>371475</xdr:colOff>
      <xdr:row>12</xdr:row>
      <xdr:rowOff>238125</xdr:rowOff>
    </xdr:to>
    <xdr:sp macro="" textlink="">
      <xdr:nvSpPr>
        <xdr:cNvPr id="99336" name="Check Box 8" hidden="1">
          <a:extLst>
            <a:ext uri="{63B3BB69-23CF-44E3-9099-C40C66FF867C}">
              <a14:compatExt xmlns:a14="http://schemas.microsoft.com/office/drawing/2010/main" spid="_x0000_s99336"/>
            </a:ext>
            <a:ext uri="{FF2B5EF4-FFF2-40B4-BE49-F238E27FC236}">
              <a16:creationId xmlns:a16="http://schemas.microsoft.com/office/drawing/2014/main" id="{00000000-0008-0000-2800-000008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14</xdr:row>
      <xdr:rowOff>9525</xdr:rowOff>
    </xdr:from>
    <xdr:to>
      <xdr:col>33</xdr:col>
      <xdr:colOff>371475</xdr:colOff>
      <xdr:row>14</xdr:row>
      <xdr:rowOff>228600</xdr:rowOff>
    </xdr:to>
    <xdr:sp macro="" textlink="">
      <xdr:nvSpPr>
        <xdr:cNvPr id="99337" name="Check Box 9" hidden="1">
          <a:extLst>
            <a:ext uri="{63B3BB69-23CF-44E3-9099-C40C66FF867C}">
              <a14:compatExt xmlns:a14="http://schemas.microsoft.com/office/drawing/2010/main" spid="_x0000_s99337"/>
            </a:ext>
            <a:ext uri="{FF2B5EF4-FFF2-40B4-BE49-F238E27FC236}">
              <a16:creationId xmlns:a16="http://schemas.microsoft.com/office/drawing/2014/main" id="{00000000-0008-0000-2800-000009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13</xdr:row>
      <xdr:rowOff>9525</xdr:rowOff>
    </xdr:from>
    <xdr:to>
      <xdr:col>33</xdr:col>
      <xdr:colOff>371475</xdr:colOff>
      <xdr:row>13</xdr:row>
      <xdr:rowOff>228600</xdr:rowOff>
    </xdr:to>
    <xdr:sp macro="" textlink="">
      <xdr:nvSpPr>
        <xdr:cNvPr id="99338" name="Check Box 10" hidden="1">
          <a:extLst>
            <a:ext uri="{63B3BB69-23CF-44E3-9099-C40C66FF867C}">
              <a14:compatExt xmlns:a14="http://schemas.microsoft.com/office/drawing/2010/main" spid="_x0000_s99338"/>
            </a:ext>
            <a:ext uri="{FF2B5EF4-FFF2-40B4-BE49-F238E27FC236}">
              <a16:creationId xmlns:a16="http://schemas.microsoft.com/office/drawing/2014/main" id="{00000000-0008-0000-2800-00000A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15</xdr:row>
      <xdr:rowOff>19050</xdr:rowOff>
    </xdr:from>
    <xdr:to>
      <xdr:col>33</xdr:col>
      <xdr:colOff>371475</xdr:colOff>
      <xdr:row>15</xdr:row>
      <xdr:rowOff>238125</xdr:rowOff>
    </xdr:to>
    <xdr:sp macro="" textlink="">
      <xdr:nvSpPr>
        <xdr:cNvPr id="99339" name="Check Box 11" hidden="1">
          <a:extLst>
            <a:ext uri="{63B3BB69-23CF-44E3-9099-C40C66FF867C}">
              <a14:compatExt xmlns:a14="http://schemas.microsoft.com/office/drawing/2010/main" spid="_x0000_s99339"/>
            </a:ext>
            <a:ext uri="{FF2B5EF4-FFF2-40B4-BE49-F238E27FC236}">
              <a16:creationId xmlns:a16="http://schemas.microsoft.com/office/drawing/2014/main" id="{00000000-0008-0000-2800-00000B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16</xdr:row>
      <xdr:rowOff>19050</xdr:rowOff>
    </xdr:from>
    <xdr:to>
      <xdr:col>33</xdr:col>
      <xdr:colOff>371475</xdr:colOff>
      <xdr:row>16</xdr:row>
      <xdr:rowOff>238125</xdr:rowOff>
    </xdr:to>
    <xdr:sp macro="" textlink="">
      <xdr:nvSpPr>
        <xdr:cNvPr id="99340" name="Check Box 12" hidden="1">
          <a:extLst>
            <a:ext uri="{63B3BB69-23CF-44E3-9099-C40C66FF867C}">
              <a14:compatExt xmlns:a14="http://schemas.microsoft.com/office/drawing/2010/main" spid="_x0000_s99340"/>
            </a:ext>
            <a:ext uri="{FF2B5EF4-FFF2-40B4-BE49-F238E27FC236}">
              <a16:creationId xmlns:a16="http://schemas.microsoft.com/office/drawing/2014/main" id="{00000000-0008-0000-2800-00000C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18</xdr:row>
      <xdr:rowOff>19050</xdr:rowOff>
    </xdr:from>
    <xdr:to>
      <xdr:col>33</xdr:col>
      <xdr:colOff>371475</xdr:colOff>
      <xdr:row>18</xdr:row>
      <xdr:rowOff>238125</xdr:rowOff>
    </xdr:to>
    <xdr:sp macro="" textlink="">
      <xdr:nvSpPr>
        <xdr:cNvPr id="99341" name="Check Box 13" hidden="1">
          <a:extLst>
            <a:ext uri="{63B3BB69-23CF-44E3-9099-C40C66FF867C}">
              <a14:compatExt xmlns:a14="http://schemas.microsoft.com/office/drawing/2010/main" spid="_x0000_s99341"/>
            </a:ext>
            <a:ext uri="{FF2B5EF4-FFF2-40B4-BE49-F238E27FC236}">
              <a16:creationId xmlns:a16="http://schemas.microsoft.com/office/drawing/2014/main" id="{00000000-0008-0000-2800-00000D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17</xdr:row>
      <xdr:rowOff>19050</xdr:rowOff>
    </xdr:from>
    <xdr:to>
      <xdr:col>33</xdr:col>
      <xdr:colOff>371475</xdr:colOff>
      <xdr:row>17</xdr:row>
      <xdr:rowOff>238125</xdr:rowOff>
    </xdr:to>
    <xdr:sp macro="" textlink="">
      <xdr:nvSpPr>
        <xdr:cNvPr id="99342" name="Check Box 14" hidden="1">
          <a:extLst>
            <a:ext uri="{63B3BB69-23CF-44E3-9099-C40C66FF867C}">
              <a14:compatExt xmlns:a14="http://schemas.microsoft.com/office/drawing/2010/main" spid="_x0000_s99342"/>
            </a:ext>
            <a:ext uri="{FF2B5EF4-FFF2-40B4-BE49-F238E27FC236}">
              <a16:creationId xmlns:a16="http://schemas.microsoft.com/office/drawing/2014/main" id="{00000000-0008-0000-2800-00000E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19</xdr:row>
      <xdr:rowOff>19050</xdr:rowOff>
    </xdr:from>
    <xdr:to>
      <xdr:col>33</xdr:col>
      <xdr:colOff>371475</xdr:colOff>
      <xdr:row>19</xdr:row>
      <xdr:rowOff>238125</xdr:rowOff>
    </xdr:to>
    <xdr:sp macro="" textlink="">
      <xdr:nvSpPr>
        <xdr:cNvPr id="99343" name="Check Box 15" hidden="1">
          <a:extLst>
            <a:ext uri="{63B3BB69-23CF-44E3-9099-C40C66FF867C}">
              <a14:compatExt xmlns:a14="http://schemas.microsoft.com/office/drawing/2010/main" spid="_x0000_s99343"/>
            </a:ext>
            <a:ext uri="{FF2B5EF4-FFF2-40B4-BE49-F238E27FC236}">
              <a16:creationId xmlns:a16="http://schemas.microsoft.com/office/drawing/2014/main" id="{00000000-0008-0000-2800-00000F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20</xdr:row>
      <xdr:rowOff>19050</xdr:rowOff>
    </xdr:from>
    <xdr:to>
      <xdr:col>33</xdr:col>
      <xdr:colOff>371475</xdr:colOff>
      <xdr:row>20</xdr:row>
      <xdr:rowOff>238125</xdr:rowOff>
    </xdr:to>
    <xdr:sp macro="" textlink="">
      <xdr:nvSpPr>
        <xdr:cNvPr id="99344" name="Check Box 16" hidden="1">
          <a:extLst>
            <a:ext uri="{63B3BB69-23CF-44E3-9099-C40C66FF867C}">
              <a14:compatExt xmlns:a14="http://schemas.microsoft.com/office/drawing/2010/main" spid="_x0000_s99344"/>
            </a:ext>
            <a:ext uri="{FF2B5EF4-FFF2-40B4-BE49-F238E27FC236}">
              <a16:creationId xmlns:a16="http://schemas.microsoft.com/office/drawing/2014/main" id="{00000000-0008-0000-2800-000010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22</xdr:row>
      <xdr:rowOff>9525</xdr:rowOff>
    </xdr:from>
    <xdr:to>
      <xdr:col>33</xdr:col>
      <xdr:colOff>371475</xdr:colOff>
      <xdr:row>22</xdr:row>
      <xdr:rowOff>228600</xdr:rowOff>
    </xdr:to>
    <xdr:sp macro="" textlink="">
      <xdr:nvSpPr>
        <xdr:cNvPr id="99345" name="Check Box 17" hidden="1">
          <a:extLst>
            <a:ext uri="{63B3BB69-23CF-44E3-9099-C40C66FF867C}">
              <a14:compatExt xmlns:a14="http://schemas.microsoft.com/office/drawing/2010/main" spid="_x0000_s99345"/>
            </a:ext>
            <a:ext uri="{FF2B5EF4-FFF2-40B4-BE49-F238E27FC236}">
              <a16:creationId xmlns:a16="http://schemas.microsoft.com/office/drawing/2014/main" id="{00000000-0008-0000-2800-00001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21</xdr:row>
      <xdr:rowOff>9525</xdr:rowOff>
    </xdr:from>
    <xdr:to>
      <xdr:col>33</xdr:col>
      <xdr:colOff>371475</xdr:colOff>
      <xdr:row>21</xdr:row>
      <xdr:rowOff>228600</xdr:rowOff>
    </xdr:to>
    <xdr:sp macro="" textlink="">
      <xdr:nvSpPr>
        <xdr:cNvPr id="99346" name="Check Box 18" hidden="1">
          <a:extLst>
            <a:ext uri="{63B3BB69-23CF-44E3-9099-C40C66FF867C}">
              <a14:compatExt xmlns:a14="http://schemas.microsoft.com/office/drawing/2010/main" spid="_x0000_s99346"/>
            </a:ext>
            <a:ext uri="{FF2B5EF4-FFF2-40B4-BE49-F238E27FC236}">
              <a16:creationId xmlns:a16="http://schemas.microsoft.com/office/drawing/2014/main" id="{00000000-0008-0000-2800-00001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23</xdr:row>
      <xdr:rowOff>19050</xdr:rowOff>
    </xdr:from>
    <xdr:to>
      <xdr:col>33</xdr:col>
      <xdr:colOff>371475</xdr:colOff>
      <xdr:row>23</xdr:row>
      <xdr:rowOff>238125</xdr:rowOff>
    </xdr:to>
    <xdr:sp macro="" textlink="">
      <xdr:nvSpPr>
        <xdr:cNvPr id="99347" name="Check Box 19" hidden="1">
          <a:extLst>
            <a:ext uri="{63B3BB69-23CF-44E3-9099-C40C66FF867C}">
              <a14:compatExt xmlns:a14="http://schemas.microsoft.com/office/drawing/2010/main" spid="_x0000_s99347"/>
            </a:ext>
            <a:ext uri="{FF2B5EF4-FFF2-40B4-BE49-F238E27FC236}">
              <a16:creationId xmlns:a16="http://schemas.microsoft.com/office/drawing/2014/main" id="{00000000-0008-0000-2800-00001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24</xdr:row>
      <xdr:rowOff>19050</xdr:rowOff>
    </xdr:from>
    <xdr:to>
      <xdr:col>33</xdr:col>
      <xdr:colOff>371475</xdr:colOff>
      <xdr:row>24</xdr:row>
      <xdr:rowOff>238125</xdr:rowOff>
    </xdr:to>
    <xdr:sp macro="" textlink="">
      <xdr:nvSpPr>
        <xdr:cNvPr id="99348" name="Check Box 20" hidden="1">
          <a:extLst>
            <a:ext uri="{63B3BB69-23CF-44E3-9099-C40C66FF867C}">
              <a14:compatExt xmlns:a14="http://schemas.microsoft.com/office/drawing/2010/main" spid="_x0000_s99348"/>
            </a:ext>
            <a:ext uri="{FF2B5EF4-FFF2-40B4-BE49-F238E27FC236}">
              <a16:creationId xmlns:a16="http://schemas.microsoft.com/office/drawing/2014/main" id="{00000000-0008-0000-2800-00001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26</xdr:row>
      <xdr:rowOff>19050</xdr:rowOff>
    </xdr:from>
    <xdr:to>
      <xdr:col>33</xdr:col>
      <xdr:colOff>371475</xdr:colOff>
      <xdr:row>26</xdr:row>
      <xdr:rowOff>238125</xdr:rowOff>
    </xdr:to>
    <xdr:sp macro="" textlink="">
      <xdr:nvSpPr>
        <xdr:cNvPr id="99349" name="Check Box 21" hidden="1">
          <a:extLst>
            <a:ext uri="{63B3BB69-23CF-44E3-9099-C40C66FF867C}">
              <a14:compatExt xmlns:a14="http://schemas.microsoft.com/office/drawing/2010/main" spid="_x0000_s99349"/>
            </a:ext>
            <a:ext uri="{FF2B5EF4-FFF2-40B4-BE49-F238E27FC236}">
              <a16:creationId xmlns:a16="http://schemas.microsoft.com/office/drawing/2014/main" id="{00000000-0008-0000-2800-000015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25</xdr:row>
      <xdr:rowOff>19050</xdr:rowOff>
    </xdr:from>
    <xdr:to>
      <xdr:col>33</xdr:col>
      <xdr:colOff>371475</xdr:colOff>
      <xdr:row>25</xdr:row>
      <xdr:rowOff>238125</xdr:rowOff>
    </xdr:to>
    <xdr:sp macro="" textlink="">
      <xdr:nvSpPr>
        <xdr:cNvPr id="99350" name="Check Box 22" hidden="1">
          <a:extLst>
            <a:ext uri="{63B3BB69-23CF-44E3-9099-C40C66FF867C}">
              <a14:compatExt xmlns:a14="http://schemas.microsoft.com/office/drawing/2010/main" spid="_x0000_s99350"/>
            </a:ext>
            <a:ext uri="{FF2B5EF4-FFF2-40B4-BE49-F238E27FC236}">
              <a16:creationId xmlns:a16="http://schemas.microsoft.com/office/drawing/2014/main" id="{00000000-0008-0000-2800-000016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27</xdr:row>
      <xdr:rowOff>19050</xdr:rowOff>
    </xdr:from>
    <xdr:to>
      <xdr:col>33</xdr:col>
      <xdr:colOff>371475</xdr:colOff>
      <xdr:row>27</xdr:row>
      <xdr:rowOff>238125</xdr:rowOff>
    </xdr:to>
    <xdr:sp macro="" textlink="">
      <xdr:nvSpPr>
        <xdr:cNvPr id="99351" name="Check Box 23" hidden="1">
          <a:extLst>
            <a:ext uri="{63B3BB69-23CF-44E3-9099-C40C66FF867C}">
              <a14:compatExt xmlns:a14="http://schemas.microsoft.com/office/drawing/2010/main" spid="_x0000_s99351"/>
            </a:ext>
            <a:ext uri="{FF2B5EF4-FFF2-40B4-BE49-F238E27FC236}">
              <a16:creationId xmlns:a16="http://schemas.microsoft.com/office/drawing/2014/main" id="{00000000-0008-0000-2800-000017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28</xdr:row>
      <xdr:rowOff>19050</xdr:rowOff>
    </xdr:from>
    <xdr:to>
      <xdr:col>33</xdr:col>
      <xdr:colOff>371475</xdr:colOff>
      <xdr:row>28</xdr:row>
      <xdr:rowOff>238125</xdr:rowOff>
    </xdr:to>
    <xdr:sp macro="" textlink="">
      <xdr:nvSpPr>
        <xdr:cNvPr id="99352" name="Check Box 24" hidden="1">
          <a:extLst>
            <a:ext uri="{63B3BB69-23CF-44E3-9099-C40C66FF867C}">
              <a14:compatExt xmlns:a14="http://schemas.microsoft.com/office/drawing/2010/main" spid="_x0000_s99352"/>
            </a:ext>
            <a:ext uri="{FF2B5EF4-FFF2-40B4-BE49-F238E27FC236}">
              <a16:creationId xmlns:a16="http://schemas.microsoft.com/office/drawing/2014/main" id="{00000000-0008-0000-2800-000018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30</xdr:row>
      <xdr:rowOff>9525</xdr:rowOff>
    </xdr:from>
    <xdr:to>
      <xdr:col>33</xdr:col>
      <xdr:colOff>371475</xdr:colOff>
      <xdr:row>30</xdr:row>
      <xdr:rowOff>228600</xdr:rowOff>
    </xdr:to>
    <xdr:sp macro="" textlink="">
      <xdr:nvSpPr>
        <xdr:cNvPr id="99353" name="Check Box 25" hidden="1">
          <a:extLst>
            <a:ext uri="{63B3BB69-23CF-44E3-9099-C40C66FF867C}">
              <a14:compatExt xmlns:a14="http://schemas.microsoft.com/office/drawing/2010/main" spid="_x0000_s99353"/>
            </a:ext>
            <a:ext uri="{FF2B5EF4-FFF2-40B4-BE49-F238E27FC236}">
              <a16:creationId xmlns:a16="http://schemas.microsoft.com/office/drawing/2014/main" id="{00000000-0008-0000-2800-000019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29</xdr:row>
      <xdr:rowOff>9525</xdr:rowOff>
    </xdr:from>
    <xdr:to>
      <xdr:col>33</xdr:col>
      <xdr:colOff>371475</xdr:colOff>
      <xdr:row>29</xdr:row>
      <xdr:rowOff>228600</xdr:rowOff>
    </xdr:to>
    <xdr:sp macro="" textlink="">
      <xdr:nvSpPr>
        <xdr:cNvPr id="99354" name="Check Box 26" hidden="1">
          <a:extLst>
            <a:ext uri="{63B3BB69-23CF-44E3-9099-C40C66FF867C}">
              <a14:compatExt xmlns:a14="http://schemas.microsoft.com/office/drawing/2010/main" spid="_x0000_s99354"/>
            </a:ext>
            <a:ext uri="{FF2B5EF4-FFF2-40B4-BE49-F238E27FC236}">
              <a16:creationId xmlns:a16="http://schemas.microsoft.com/office/drawing/2014/main" id="{00000000-0008-0000-2800-00001A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31</xdr:row>
      <xdr:rowOff>19050</xdr:rowOff>
    </xdr:from>
    <xdr:to>
      <xdr:col>33</xdr:col>
      <xdr:colOff>371475</xdr:colOff>
      <xdr:row>31</xdr:row>
      <xdr:rowOff>238125</xdr:rowOff>
    </xdr:to>
    <xdr:sp macro="" textlink="">
      <xdr:nvSpPr>
        <xdr:cNvPr id="99355" name="Check Box 27" hidden="1">
          <a:extLst>
            <a:ext uri="{63B3BB69-23CF-44E3-9099-C40C66FF867C}">
              <a14:compatExt xmlns:a14="http://schemas.microsoft.com/office/drawing/2010/main" spid="_x0000_s99355"/>
            </a:ext>
            <a:ext uri="{FF2B5EF4-FFF2-40B4-BE49-F238E27FC236}">
              <a16:creationId xmlns:a16="http://schemas.microsoft.com/office/drawing/2014/main" id="{00000000-0008-0000-2800-00001B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32</xdr:row>
      <xdr:rowOff>19050</xdr:rowOff>
    </xdr:from>
    <xdr:to>
      <xdr:col>33</xdr:col>
      <xdr:colOff>371475</xdr:colOff>
      <xdr:row>32</xdr:row>
      <xdr:rowOff>238125</xdr:rowOff>
    </xdr:to>
    <xdr:sp macro="" textlink="">
      <xdr:nvSpPr>
        <xdr:cNvPr id="99356" name="Check Box 28" hidden="1">
          <a:extLst>
            <a:ext uri="{63B3BB69-23CF-44E3-9099-C40C66FF867C}">
              <a14:compatExt xmlns:a14="http://schemas.microsoft.com/office/drawing/2010/main" spid="_x0000_s99356"/>
            </a:ext>
            <a:ext uri="{FF2B5EF4-FFF2-40B4-BE49-F238E27FC236}">
              <a16:creationId xmlns:a16="http://schemas.microsoft.com/office/drawing/2014/main" id="{00000000-0008-0000-2800-00001C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34</xdr:row>
      <xdr:rowOff>19050</xdr:rowOff>
    </xdr:from>
    <xdr:to>
      <xdr:col>33</xdr:col>
      <xdr:colOff>371475</xdr:colOff>
      <xdr:row>34</xdr:row>
      <xdr:rowOff>238125</xdr:rowOff>
    </xdr:to>
    <xdr:sp macro="" textlink="">
      <xdr:nvSpPr>
        <xdr:cNvPr id="99357" name="Check Box 29" hidden="1">
          <a:extLst>
            <a:ext uri="{63B3BB69-23CF-44E3-9099-C40C66FF867C}">
              <a14:compatExt xmlns:a14="http://schemas.microsoft.com/office/drawing/2010/main" spid="_x0000_s99357"/>
            </a:ext>
            <a:ext uri="{FF2B5EF4-FFF2-40B4-BE49-F238E27FC236}">
              <a16:creationId xmlns:a16="http://schemas.microsoft.com/office/drawing/2014/main" id="{00000000-0008-0000-2800-00001D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33</xdr:row>
      <xdr:rowOff>19050</xdr:rowOff>
    </xdr:from>
    <xdr:to>
      <xdr:col>33</xdr:col>
      <xdr:colOff>371475</xdr:colOff>
      <xdr:row>33</xdr:row>
      <xdr:rowOff>238125</xdr:rowOff>
    </xdr:to>
    <xdr:sp macro="" textlink="">
      <xdr:nvSpPr>
        <xdr:cNvPr id="99358" name="Check Box 30" hidden="1">
          <a:extLst>
            <a:ext uri="{63B3BB69-23CF-44E3-9099-C40C66FF867C}">
              <a14:compatExt xmlns:a14="http://schemas.microsoft.com/office/drawing/2010/main" spid="_x0000_s99358"/>
            </a:ext>
            <a:ext uri="{FF2B5EF4-FFF2-40B4-BE49-F238E27FC236}">
              <a16:creationId xmlns:a16="http://schemas.microsoft.com/office/drawing/2014/main" id="{00000000-0008-0000-2800-00001E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35</xdr:row>
      <xdr:rowOff>19050</xdr:rowOff>
    </xdr:from>
    <xdr:to>
      <xdr:col>33</xdr:col>
      <xdr:colOff>371475</xdr:colOff>
      <xdr:row>35</xdr:row>
      <xdr:rowOff>238125</xdr:rowOff>
    </xdr:to>
    <xdr:sp macro="" textlink="">
      <xdr:nvSpPr>
        <xdr:cNvPr id="99359" name="Check Box 31" hidden="1">
          <a:extLst>
            <a:ext uri="{63B3BB69-23CF-44E3-9099-C40C66FF867C}">
              <a14:compatExt xmlns:a14="http://schemas.microsoft.com/office/drawing/2010/main" spid="_x0000_s99359"/>
            </a:ext>
            <a:ext uri="{FF2B5EF4-FFF2-40B4-BE49-F238E27FC236}">
              <a16:creationId xmlns:a16="http://schemas.microsoft.com/office/drawing/2014/main" id="{00000000-0008-0000-2800-00001F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36</xdr:row>
      <xdr:rowOff>19050</xdr:rowOff>
    </xdr:from>
    <xdr:to>
      <xdr:col>33</xdr:col>
      <xdr:colOff>371475</xdr:colOff>
      <xdr:row>36</xdr:row>
      <xdr:rowOff>238125</xdr:rowOff>
    </xdr:to>
    <xdr:sp macro="" textlink="">
      <xdr:nvSpPr>
        <xdr:cNvPr id="99360" name="Check Box 32" hidden="1">
          <a:extLst>
            <a:ext uri="{63B3BB69-23CF-44E3-9099-C40C66FF867C}">
              <a14:compatExt xmlns:a14="http://schemas.microsoft.com/office/drawing/2010/main" spid="_x0000_s99360"/>
            </a:ext>
            <a:ext uri="{FF2B5EF4-FFF2-40B4-BE49-F238E27FC236}">
              <a16:creationId xmlns:a16="http://schemas.microsoft.com/office/drawing/2014/main" id="{00000000-0008-0000-2800-000020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38</xdr:row>
      <xdr:rowOff>9525</xdr:rowOff>
    </xdr:from>
    <xdr:to>
      <xdr:col>33</xdr:col>
      <xdr:colOff>371475</xdr:colOff>
      <xdr:row>38</xdr:row>
      <xdr:rowOff>228600</xdr:rowOff>
    </xdr:to>
    <xdr:sp macro="" textlink="">
      <xdr:nvSpPr>
        <xdr:cNvPr id="99361" name="Check Box 33" hidden="1">
          <a:extLst>
            <a:ext uri="{63B3BB69-23CF-44E3-9099-C40C66FF867C}">
              <a14:compatExt xmlns:a14="http://schemas.microsoft.com/office/drawing/2010/main" spid="_x0000_s99361"/>
            </a:ext>
            <a:ext uri="{FF2B5EF4-FFF2-40B4-BE49-F238E27FC236}">
              <a16:creationId xmlns:a16="http://schemas.microsoft.com/office/drawing/2014/main" id="{00000000-0008-0000-2800-00002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37</xdr:row>
      <xdr:rowOff>9525</xdr:rowOff>
    </xdr:from>
    <xdr:to>
      <xdr:col>33</xdr:col>
      <xdr:colOff>371475</xdr:colOff>
      <xdr:row>37</xdr:row>
      <xdr:rowOff>228600</xdr:rowOff>
    </xdr:to>
    <xdr:sp macro="" textlink="">
      <xdr:nvSpPr>
        <xdr:cNvPr id="99362" name="Check Box 34" hidden="1">
          <a:extLst>
            <a:ext uri="{63B3BB69-23CF-44E3-9099-C40C66FF867C}">
              <a14:compatExt xmlns:a14="http://schemas.microsoft.com/office/drawing/2010/main" spid="_x0000_s99362"/>
            </a:ext>
            <a:ext uri="{FF2B5EF4-FFF2-40B4-BE49-F238E27FC236}">
              <a16:creationId xmlns:a16="http://schemas.microsoft.com/office/drawing/2014/main" id="{00000000-0008-0000-2800-00002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xdr:row>
      <xdr:rowOff>19050</xdr:rowOff>
    </xdr:from>
    <xdr:to>
      <xdr:col>33</xdr:col>
      <xdr:colOff>371475</xdr:colOff>
      <xdr:row>3</xdr:row>
      <xdr:rowOff>238125</xdr:rowOff>
    </xdr:to>
    <xdr:sp macro="" textlink="">
      <xdr:nvSpPr>
        <xdr:cNvPr id="99363" name="Check Box 35" hidden="1">
          <a:extLst>
            <a:ext uri="{63B3BB69-23CF-44E3-9099-C40C66FF867C}">
              <a14:compatExt xmlns:a14="http://schemas.microsoft.com/office/drawing/2010/main" spid="_x0000_s99363"/>
            </a:ext>
            <a:ext uri="{FF2B5EF4-FFF2-40B4-BE49-F238E27FC236}">
              <a16:creationId xmlns:a16="http://schemas.microsoft.com/office/drawing/2014/main" id="{00000000-0008-0000-2800-00002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4</xdr:row>
      <xdr:rowOff>9525</xdr:rowOff>
    </xdr:from>
    <xdr:to>
      <xdr:col>33</xdr:col>
      <xdr:colOff>371475</xdr:colOff>
      <xdr:row>4</xdr:row>
      <xdr:rowOff>228600</xdr:rowOff>
    </xdr:to>
    <xdr:sp macro="" textlink="">
      <xdr:nvSpPr>
        <xdr:cNvPr id="99364" name="Check Box 36" hidden="1">
          <a:extLst>
            <a:ext uri="{63B3BB69-23CF-44E3-9099-C40C66FF867C}">
              <a14:compatExt xmlns:a14="http://schemas.microsoft.com/office/drawing/2010/main" spid="_x0000_s99364"/>
            </a:ext>
            <a:ext uri="{FF2B5EF4-FFF2-40B4-BE49-F238E27FC236}">
              <a16:creationId xmlns:a16="http://schemas.microsoft.com/office/drawing/2014/main" id="{00000000-0008-0000-2800-00002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47625</xdr:colOff>
      <xdr:row>0</xdr:row>
      <xdr:rowOff>142876</xdr:rowOff>
    </xdr:from>
    <xdr:to>
      <xdr:col>6</xdr:col>
      <xdr:colOff>371475</xdr:colOff>
      <xdr:row>1</xdr:row>
      <xdr:rowOff>142875</xdr:rowOff>
    </xdr:to>
    <xdr:sp macro="" textlink="">
      <xdr:nvSpPr>
        <xdr:cNvPr id="2" name="Text Box 15">
          <a:extLst>
            <a:ext uri="{FF2B5EF4-FFF2-40B4-BE49-F238E27FC236}">
              <a16:creationId xmlns:a16="http://schemas.microsoft.com/office/drawing/2014/main" id="{00000000-0008-0000-2900-000002000000}"/>
            </a:ext>
          </a:extLst>
        </xdr:cNvPr>
        <xdr:cNvSpPr txBox="1">
          <a:spLocks noChangeArrowheads="1"/>
        </xdr:cNvSpPr>
      </xdr:nvSpPr>
      <xdr:spPr bwMode="auto">
        <a:xfrm>
          <a:off x="657225" y="142876"/>
          <a:ext cx="3400425" cy="16192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nl-NL" sz="1000" b="0" i="0" u="none" strike="noStrike" baseline="0">
              <a:solidFill>
                <a:srgbClr val="FF0000"/>
              </a:solidFill>
              <a:latin typeface="Arial"/>
              <a:cs typeface="Arial"/>
            </a:rPr>
            <a:t>beweeg met de aanwijzer van de muis over de gele strook</a:t>
          </a:r>
          <a:endParaRPr lang="nl-NL"/>
        </a:p>
      </xdr:txBody>
    </xdr:sp>
    <xdr:clientData fPrintsWithSheet="0"/>
  </xdr:twoCellAnchor>
  <xdr:twoCellAnchor>
    <xdr:from>
      <xdr:col>2</xdr:col>
      <xdr:colOff>752475</xdr:colOff>
      <xdr:row>1</xdr:row>
      <xdr:rowOff>133350</xdr:rowOff>
    </xdr:from>
    <xdr:to>
      <xdr:col>2</xdr:col>
      <xdr:colOff>752475</xdr:colOff>
      <xdr:row>7</xdr:row>
      <xdr:rowOff>76200</xdr:rowOff>
    </xdr:to>
    <xdr:sp macro="" textlink="">
      <xdr:nvSpPr>
        <xdr:cNvPr id="3" name="Line 16">
          <a:extLst>
            <a:ext uri="{FF2B5EF4-FFF2-40B4-BE49-F238E27FC236}">
              <a16:creationId xmlns:a16="http://schemas.microsoft.com/office/drawing/2014/main" id="{00000000-0008-0000-2900-000003000000}"/>
            </a:ext>
          </a:extLst>
        </xdr:cNvPr>
        <xdr:cNvSpPr>
          <a:spLocks noChangeShapeType="1"/>
        </xdr:cNvSpPr>
      </xdr:nvSpPr>
      <xdr:spPr bwMode="auto">
        <a:xfrm>
          <a:off x="1628775" y="295275"/>
          <a:ext cx="0" cy="9810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fPrintsWithSheet="0"/>
  </xdr:twoCellAnchor>
  <xdr:twoCellAnchor>
    <xdr:from>
      <xdr:col>5</xdr:col>
      <xdr:colOff>66675</xdr:colOff>
      <xdr:row>2</xdr:row>
      <xdr:rowOff>190500</xdr:rowOff>
    </xdr:from>
    <xdr:to>
      <xdr:col>10</xdr:col>
      <xdr:colOff>495300</xdr:colOff>
      <xdr:row>4</xdr:row>
      <xdr:rowOff>9525</xdr:rowOff>
    </xdr:to>
    <xdr:sp macro="" textlink="">
      <xdr:nvSpPr>
        <xdr:cNvPr id="4" name="Text Box 17">
          <a:extLst>
            <a:ext uri="{FF2B5EF4-FFF2-40B4-BE49-F238E27FC236}">
              <a16:creationId xmlns:a16="http://schemas.microsoft.com/office/drawing/2014/main" id="{00000000-0008-0000-2900-000004000000}"/>
            </a:ext>
          </a:extLst>
        </xdr:cNvPr>
        <xdr:cNvSpPr txBox="1">
          <a:spLocks noChangeArrowheads="1"/>
        </xdr:cNvSpPr>
      </xdr:nvSpPr>
      <xdr:spPr bwMode="auto">
        <a:xfrm>
          <a:off x="4600575" y="514350"/>
          <a:ext cx="4000500" cy="180975"/>
        </a:xfrm>
        <a:prstGeom prst="rect">
          <a:avLst/>
        </a:prstGeom>
        <a:solidFill>
          <a:srgbClr xmlns:mc="http://schemas.openxmlformats.org/markup-compatibility/2006" xmlns:a14="http://schemas.microsoft.com/office/drawing/2010/main" val="FFFFFF" mc:Ignorable="a14" a14:legacySpreadsheetColorIndex="9"/>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27432" bIns="0" anchor="t" upright="1"/>
        <a:lstStyle/>
        <a:p>
          <a:pPr algn="ctr" rtl="0">
            <a:defRPr sz="1000"/>
          </a:pPr>
          <a:r>
            <a:rPr lang="nl-NL" sz="1000" b="0" i="0" u="none" strike="noStrike" baseline="0">
              <a:solidFill>
                <a:srgbClr val="000000"/>
              </a:solidFill>
              <a:latin typeface="Arial"/>
              <a:cs typeface="Arial"/>
            </a:rPr>
            <a:t>bedoeld als eventuele herhaling van meetmoment 2.1</a:t>
          </a:r>
          <a:endParaRPr lang="nl-NL"/>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B00-000002000000}"/>
            </a:ext>
          </a:extLst>
        </xdr:cNvPr>
        <xdr:cNvSpPr>
          <a:spLocks noChangeShapeType="1"/>
        </xdr:cNvSpPr>
      </xdr:nvSpPr>
      <xdr:spPr bwMode="auto">
        <a:xfrm>
          <a:off x="114585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B00-000003000000}"/>
            </a:ext>
          </a:extLst>
        </xdr:cNvPr>
        <xdr:cNvSpPr>
          <a:spLocks noChangeShapeType="1"/>
        </xdr:cNvSpPr>
      </xdr:nvSpPr>
      <xdr:spPr bwMode="auto">
        <a:xfrm>
          <a:off x="1583952" y="544605"/>
          <a:ext cx="114300" cy="0"/>
        </a:xfrm>
        <a:prstGeom prst="line">
          <a:avLst/>
        </a:prstGeom>
        <a:noFill/>
        <a:ln w="19050">
          <a:solidFill>
            <a:srgbClr val="000000"/>
          </a:solidFill>
          <a:round/>
          <a:headEnd/>
          <a:tailEnd/>
        </a:ln>
      </xdr:spPr>
    </xdr:sp>
    <xdr:clientData/>
  </xdr:twoCellAnchor>
  <xdr:twoCellAnchor>
    <xdr:from>
      <xdr:col>2</xdr:col>
      <xdr:colOff>11203</xdr:colOff>
      <xdr:row>3</xdr:row>
      <xdr:rowOff>717172</xdr:rowOff>
    </xdr:from>
    <xdr:to>
      <xdr:col>2</xdr:col>
      <xdr:colOff>821764</xdr:colOff>
      <xdr:row>3</xdr:row>
      <xdr:rowOff>918882</xdr:rowOff>
    </xdr:to>
    <xdr:sp macro="" textlink="">
      <xdr:nvSpPr>
        <xdr:cNvPr id="4" name="Text Box 9">
          <a:extLst>
            <a:ext uri="{FF2B5EF4-FFF2-40B4-BE49-F238E27FC236}">
              <a16:creationId xmlns:a16="http://schemas.microsoft.com/office/drawing/2014/main" id="{00000000-0008-0000-2B00-000004000000}"/>
            </a:ext>
          </a:extLst>
        </xdr:cNvPr>
        <xdr:cNvSpPr txBox="1">
          <a:spLocks noChangeArrowheads="1"/>
        </xdr:cNvSpPr>
      </xdr:nvSpPr>
      <xdr:spPr bwMode="auto">
        <a:xfrm>
          <a:off x="459438" y="1568819"/>
          <a:ext cx="810561" cy="201710"/>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B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B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B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B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B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B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B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B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B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B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B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16934</xdr:colOff>
      <xdr:row>3</xdr:row>
      <xdr:rowOff>4482</xdr:rowOff>
    </xdr:from>
    <xdr:to>
      <xdr:col>8</xdr:col>
      <xdr:colOff>375522</xdr:colOff>
      <xdr:row>40</xdr:row>
      <xdr:rowOff>6724</xdr:rowOff>
    </xdr:to>
    <xdr:sp macro="" textlink="">
      <xdr:nvSpPr>
        <xdr:cNvPr id="31" name="Rechthoek 30">
          <a:hlinkClick xmlns:r="http://schemas.openxmlformats.org/officeDocument/2006/relationships" r:id="rId1"/>
          <a:extLst>
            <a:ext uri="{FF2B5EF4-FFF2-40B4-BE49-F238E27FC236}">
              <a16:creationId xmlns:a16="http://schemas.microsoft.com/office/drawing/2014/main" id="{00000000-0008-0000-2B00-00001F000000}"/>
            </a:ext>
          </a:extLst>
        </xdr:cNvPr>
        <xdr:cNvSpPr/>
      </xdr:nvSpPr>
      <xdr:spPr bwMode="auto">
        <a:xfrm>
          <a:off x="1507067" y="859615"/>
          <a:ext cx="3034055"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22410</xdr:colOff>
      <xdr:row>25</xdr:row>
      <xdr:rowOff>11202</xdr:rowOff>
    </xdr:from>
    <xdr:to>
      <xdr:col>16</xdr:col>
      <xdr:colOff>33617</xdr:colOff>
      <xdr:row>34</xdr:row>
      <xdr:rowOff>246526</xdr:rowOff>
    </xdr:to>
    <xdr:sp macro="" textlink="">
      <xdr:nvSpPr>
        <xdr:cNvPr id="32" name="Rechthoek 31">
          <a:hlinkClick xmlns:r="http://schemas.openxmlformats.org/officeDocument/2006/relationships" r:id="rId2"/>
          <a:extLst>
            <a:ext uri="{FF2B5EF4-FFF2-40B4-BE49-F238E27FC236}">
              <a16:creationId xmlns:a16="http://schemas.microsoft.com/office/drawing/2014/main" id="{00000000-0008-0000-2B00-000020000000}"/>
            </a:ext>
          </a:extLst>
        </xdr:cNvPr>
        <xdr:cNvSpPr/>
      </xdr:nvSpPr>
      <xdr:spPr bwMode="auto">
        <a:xfrm>
          <a:off x="6241675" y="7810496"/>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2736</xdr:colOff>
      <xdr:row>13</xdr:row>
      <xdr:rowOff>243791</xdr:rowOff>
    </xdr:from>
    <xdr:to>
      <xdr:col>16</xdr:col>
      <xdr:colOff>2738</xdr:colOff>
      <xdr:row>23</xdr:row>
      <xdr:rowOff>243791</xdr:rowOff>
    </xdr:to>
    <xdr:sp macro="" textlink="">
      <xdr:nvSpPr>
        <xdr:cNvPr id="33" name="Rechthoek 32">
          <a:hlinkClick xmlns:r="http://schemas.openxmlformats.org/officeDocument/2006/relationships" r:id="rId3"/>
          <a:extLst>
            <a:ext uri="{FF2B5EF4-FFF2-40B4-BE49-F238E27FC236}">
              <a16:creationId xmlns:a16="http://schemas.microsoft.com/office/drawing/2014/main" id="{00000000-0008-0000-2B00-000021000000}"/>
            </a:ext>
          </a:extLst>
        </xdr:cNvPr>
        <xdr:cNvSpPr/>
      </xdr:nvSpPr>
      <xdr:spPr bwMode="auto">
        <a:xfrm>
          <a:off x="6572869" y="5086724"/>
          <a:ext cx="4250269" cy="245533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11206</xdr:colOff>
      <xdr:row>36</xdr:row>
      <xdr:rowOff>0</xdr:rowOff>
    </xdr:from>
    <xdr:to>
      <xdr:col>16</xdr:col>
      <xdr:colOff>0</xdr:colOff>
      <xdr:row>45</xdr:row>
      <xdr:rowOff>224119</xdr:rowOff>
    </xdr:to>
    <xdr:sp macro="" textlink="">
      <xdr:nvSpPr>
        <xdr:cNvPr id="34" name="Rechthoek 33">
          <a:hlinkClick xmlns:r="http://schemas.openxmlformats.org/officeDocument/2006/relationships" r:id="rId4"/>
          <a:extLst>
            <a:ext uri="{FF2B5EF4-FFF2-40B4-BE49-F238E27FC236}">
              <a16:creationId xmlns:a16="http://schemas.microsoft.com/office/drawing/2014/main" id="{00000000-0008-0000-2B00-000022000000}"/>
            </a:ext>
          </a:extLst>
        </xdr:cNvPr>
        <xdr:cNvSpPr/>
      </xdr:nvSpPr>
      <xdr:spPr bwMode="auto">
        <a:xfrm>
          <a:off x="6230471"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37" name="Grafiek 36">
          <a:extLst>
            <a:ext uri="{FF2B5EF4-FFF2-40B4-BE49-F238E27FC236}">
              <a16:creationId xmlns:a16="http://schemas.microsoft.com/office/drawing/2014/main" id="{00000000-0008-0000-2B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38" name="Grafiek 37">
          <a:extLst>
            <a:ext uri="{FF2B5EF4-FFF2-40B4-BE49-F238E27FC236}">
              <a16:creationId xmlns:a16="http://schemas.microsoft.com/office/drawing/2014/main" id="{00000000-0008-0000-2B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0</xdr:colOff>
      <xdr:row>3</xdr:row>
      <xdr:rowOff>582893</xdr:rowOff>
    </xdr:from>
    <xdr:to>
      <xdr:col>19</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2B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2B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1681</xdr:colOff>
      <xdr:row>47</xdr:row>
      <xdr:rowOff>9525</xdr:rowOff>
    </xdr:from>
    <xdr:to>
      <xdr:col>16</xdr:col>
      <xdr:colOff>9525</xdr:colOff>
      <xdr:row>54</xdr:row>
      <xdr:rowOff>155201</xdr:rowOff>
    </xdr:to>
    <xdr:sp macro="" textlink="" fLocksText="0">
      <xdr:nvSpPr>
        <xdr:cNvPr id="16" name="Tekstvak 15">
          <a:extLst>
            <a:ext uri="{FF2B5EF4-FFF2-40B4-BE49-F238E27FC236}">
              <a16:creationId xmlns:a16="http://schemas.microsoft.com/office/drawing/2014/main" id="{00000000-0008-0000-2B00-000010000000}"/>
            </a:ext>
          </a:extLst>
        </xdr:cNvPr>
        <xdr:cNvSpPr txBox="1"/>
      </xdr:nvSpPr>
      <xdr:spPr>
        <a:xfrm>
          <a:off x="420781" y="13201650"/>
          <a:ext cx="9837644" cy="1279151"/>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28" name="Chart 5">
          <a:extLst>
            <a:ext uri="{FF2B5EF4-FFF2-40B4-BE49-F238E27FC236}">
              <a16:creationId xmlns:a16="http://schemas.microsoft.com/office/drawing/2014/main" id="{00000000-0008-0000-2B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C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C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11204</xdr:colOff>
      <xdr:row>3</xdr:row>
      <xdr:rowOff>724643</xdr:rowOff>
    </xdr:from>
    <xdr:to>
      <xdr:col>2</xdr:col>
      <xdr:colOff>814294</xdr:colOff>
      <xdr:row>3</xdr:row>
      <xdr:rowOff>926353</xdr:rowOff>
    </xdr:to>
    <xdr:sp macro="" textlink="">
      <xdr:nvSpPr>
        <xdr:cNvPr id="4" name="Text Box 9">
          <a:extLst>
            <a:ext uri="{FF2B5EF4-FFF2-40B4-BE49-F238E27FC236}">
              <a16:creationId xmlns:a16="http://schemas.microsoft.com/office/drawing/2014/main" id="{00000000-0008-0000-2C00-000004000000}"/>
            </a:ext>
          </a:extLst>
        </xdr:cNvPr>
        <xdr:cNvSpPr txBox="1">
          <a:spLocks noChangeArrowheads="1"/>
        </xdr:cNvSpPr>
      </xdr:nvSpPr>
      <xdr:spPr bwMode="auto">
        <a:xfrm>
          <a:off x="459439" y="1576290"/>
          <a:ext cx="803090" cy="201710"/>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C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C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C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C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C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C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C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C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C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C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C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30878</xdr:colOff>
      <xdr:row>3</xdr:row>
      <xdr:rowOff>18677</xdr:rowOff>
    </xdr:from>
    <xdr:to>
      <xdr:col>8</xdr:col>
      <xdr:colOff>367052</xdr:colOff>
      <xdr:row>40</xdr:row>
      <xdr:rowOff>20919</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C00-000014000000}"/>
            </a:ext>
          </a:extLst>
        </xdr:cNvPr>
        <xdr:cNvSpPr/>
      </xdr:nvSpPr>
      <xdr:spPr bwMode="auto">
        <a:xfrm>
          <a:off x="1521011" y="873810"/>
          <a:ext cx="3011641"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324970</xdr:colOff>
      <xdr:row>25</xdr:row>
      <xdr:rowOff>11204</xdr:rowOff>
    </xdr:from>
    <xdr:to>
      <xdr:col>16</xdr:col>
      <xdr:colOff>11206</xdr:colOff>
      <xdr:row>34</xdr:row>
      <xdr:rowOff>235322</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C00-000015000000}"/>
            </a:ext>
          </a:extLst>
        </xdr:cNvPr>
        <xdr:cNvSpPr/>
      </xdr:nvSpPr>
      <xdr:spPr bwMode="auto">
        <a:xfrm>
          <a:off x="6219264" y="7810498"/>
          <a:ext cx="4056530"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335762</xdr:colOff>
      <xdr:row>14</xdr:row>
      <xdr:rowOff>11207</xdr:rowOff>
    </xdr:from>
    <xdr:to>
      <xdr:col>15</xdr:col>
      <xdr:colOff>4244541</xdr:colOff>
      <xdr:row>23</xdr:row>
      <xdr:rowOff>224119</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C00-000016000000}"/>
            </a:ext>
          </a:extLst>
        </xdr:cNvPr>
        <xdr:cNvSpPr/>
      </xdr:nvSpPr>
      <xdr:spPr bwMode="auto">
        <a:xfrm>
          <a:off x="6608151" y="5105318"/>
          <a:ext cx="4247446" cy="243541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11207</xdr:colOff>
      <xdr:row>36</xdr:row>
      <xdr:rowOff>0</xdr:rowOff>
    </xdr:from>
    <xdr:to>
      <xdr:col>16</xdr:col>
      <xdr:colOff>1</xdr:colOff>
      <xdr:row>46</xdr:row>
      <xdr:rowOff>0</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C00-000017000000}"/>
            </a:ext>
          </a:extLst>
        </xdr:cNvPr>
        <xdr:cNvSpPr/>
      </xdr:nvSpPr>
      <xdr:spPr bwMode="auto">
        <a:xfrm>
          <a:off x="6230472" y="10511118"/>
          <a:ext cx="4034117"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C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C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203572</xdr:colOff>
      <xdr:row>46</xdr:row>
      <xdr:rowOff>152212</xdr:rowOff>
    </xdr:from>
    <xdr:to>
      <xdr:col>16</xdr:col>
      <xdr:colOff>12700</xdr:colOff>
      <xdr:row>54</xdr:row>
      <xdr:rowOff>126625</xdr:rowOff>
    </xdr:to>
    <xdr:sp macro="" textlink="" fLocksText="0">
      <xdr:nvSpPr>
        <xdr:cNvPr id="26" name="Rechthoek 25">
          <a:extLst>
            <a:ext uri="{FF2B5EF4-FFF2-40B4-BE49-F238E27FC236}">
              <a16:creationId xmlns:a16="http://schemas.microsoft.com/office/drawing/2014/main" id="{00000000-0008-0000-2C00-00001A000000}"/>
            </a:ext>
          </a:extLst>
        </xdr:cNvPr>
        <xdr:cNvSpPr/>
      </xdr:nvSpPr>
      <xdr:spPr bwMode="auto">
        <a:xfrm>
          <a:off x="425822" y="13182412"/>
          <a:ext cx="10407278" cy="1244413"/>
        </a:xfrm>
        <a:prstGeom prst="rect">
          <a:avLst/>
        </a:prstGeom>
        <a:solidFill>
          <a:srgbClr val="FFFFCC"/>
        </a:solidFill>
        <a:ln w="25400"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9" name="AutoShape 48">
          <a:hlinkClick xmlns:r="http://schemas.openxmlformats.org/officeDocument/2006/relationships" r:id="rId7"/>
          <a:extLst>
            <a:ext uri="{FF2B5EF4-FFF2-40B4-BE49-F238E27FC236}">
              <a16:creationId xmlns:a16="http://schemas.microsoft.com/office/drawing/2014/main" id="{00000000-0008-0000-2C00-00001D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1" name="AutoShape 48">
          <a:hlinkClick xmlns:r="http://schemas.openxmlformats.org/officeDocument/2006/relationships" r:id="rId8"/>
          <a:extLst>
            <a:ext uri="{FF2B5EF4-FFF2-40B4-BE49-F238E27FC236}">
              <a16:creationId xmlns:a16="http://schemas.microsoft.com/office/drawing/2014/main" id="{00000000-0008-0000-2C00-00001F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9526</xdr:colOff>
      <xdr:row>3</xdr:row>
      <xdr:rowOff>19611</xdr:rowOff>
    </xdr:from>
    <xdr:to>
      <xdr:col>10</xdr:col>
      <xdr:colOff>371476</xdr:colOff>
      <xdr:row>40</xdr:row>
      <xdr:rowOff>21853</xdr:rowOff>
    </xdr:to>
    <xdr:sp macro="" textlink="">
      <xdr:nvSpPr>
        <xdr:cNvPr id="28" name="Rechthoek 27">
          <a:hlinkClick xmlns:r="http://schemas.openxmlformats.org/officeDocument/2006/relationships" r:id="rId9"/>
          <a:extLst>
            <a:ext uri="{FF2B5EF4-FFF2-40B4-BE49-F238E27FC236}">
              <a16:creationId xmlns:a16="http://schemas.microsoft.com/office/drawing/2014/main" id="{00000000-0008-0000-2C00-00001C000000}"/>
            </a:ext>
          </a:extLst>
        </xdr:cNvPr>
        <xdr:cNvSpPr/>
      </xdr:nvSpPr>
      <xdr:spPr bwMode="auto">
        <a:xfrm>
          <a:off x="4533901" y="876861"/>
          <a:ext cx="361950" cy="1068929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2C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D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D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D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D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D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D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D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D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D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D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D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D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D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203198</xdr:colOff>
      <xdr:row>3</xdr:row>
      <xdr:rowOff>16933</xdr:rowOff>
    </xdr:from>
    <xdr:to>
      <xdr:col>10</xdr:col>
      <xdr:colOff>364066</xdr:colOff>
      <xdr:row>40</xdr:row>
      <xdr:rowOff>16934</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D00-000014000000}"/>
            </a:ext>
          </a:extLst>
        </xdr:cNvPr>
        <xdr:cNvSpPr/>
      </xdr:nvSpPr>
      <xdr:spPr bwMode="auto">
        <a:xfrm>
          <a:off x="1473198" y="872066"/>
          <a:ext cx="3683001"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11204</xdr:colOff>
      <xdr:row>24</xdr:row>
      <xdr:rowOff>235320</xdr:rowOff>
    </xdr:from>
    <xdr:to>
      <xdr:col>16</xdr:col>
      <xdr:colOff>22411</xdr:colOff>
      <xdr:row>34</xdr:row>
      <xdr:rowOff>224115</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D00-000015000000}"/>
            </a:ext>
          </a:extLst>
        </xdr:cNvPr>
        <xdr:cNvSpPr/>
      </xdr:nvSpPr>
      <xdr:spPr bwMode="auto">
        <a:xfrm>
          <a:off x="6230469" y="7788085"/>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11204</xdr:colOff>
      <xdr:row>13</xdr:row>
      <xdr:rowOff>224117</xdr:rowOff>
    </xdr:from>
    <xdr:to>
      <xdr:col>16</xdr:col>
      <xdr:colOff>11206</xdr:colOff>
      <xdr:row>23</xdr:row>
      <xdr:rowOff>224117</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D00-000016000000}"/>
            </a:ext>
          </a:extLst>
        </xdr:cNvPr>
        <xdr:cNvSpPr/>
      </xdr:nvSpPr>
      <xdr:spPr bwMode="auto">
        <a:xfrm>
          <a:off x="6230469" y="5065058"/>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11206</xdr:colOff>
      <xdr:row>36</xdr:row>
      <xdr:rowOff>1</xdr:rowOff>
    </xdr:from>
    <xdr:to>
      <xdr:col>16</xdr:col>
      <xdr:colOff>0</xdr:colOff>
      <xdr:row>45</xdr:row>
      <xdr:rowOff>224120</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D00-000017000000}"/>
            </a:ext>
          </a:extLst>
        </xdr:cNvPr>
        <xdr:cNvSpPr/>
      </xdr:nvSpPr>
      <xdr:spPr bwMode="auto">
        <a:xfrm>
          <a:off x="6230471" y="10511119"/>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D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D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23657</xdr:colOff>
      <xdr:row>3</xdr:row>
      <xdr:rowOff>15186</xdr:rowOff>
    </xdr:from>
    <xdr:to>
      <xdr:col>13</xdr:col>
      <xdr:colOff>207433</xdr:colOff>
      <xdr:row>40</xdr:row>
      <xdr:rowOff>15187</xdr:rowOff>
    </xdr:to>
    <xdr:sp macro="" textlink="">
      <xdr:nvSpPr>
        <xdr:cNvPr id="28" name="Rechthoek 27">
          <a:extLst>
            <a:ext uri="{FF2B5EF4-FFF2-40B4-BE49-F238E27FC236}">
              <a16:creationId xmlns:a16="http://schemas.microsoft.com/office/drawing/2014/main" id="{00000000-0008-0000-2D00-00001C000000}"/>
            </a:ext>
          </a:extLst>
        </xdr:cNvPr>
        <xdr:cNvSpPr/>
      </xdr:nvSpPr>
      <xdr:spPr bwMode="auto">
        <a:xfrm>
          <a:off x="5628590" y="870319"/>
          <a:ext cx="59017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31" name="AutoShape 48">
          <a:hlinkClick xmlns:r="http://schemas.openxmlformats.org/officeDocument/2006/relationships" r:id="rId7"/>
          <a:extLst>
            <a:ext uri="{FF2B5EF4-FFF2-40B4-BE49-F238E27FC236}">
              <a16:creationId xmlns:a16="http://schemas.microsoft.com/office/drawing/2014/main" id="{00000000-0008-0000-2D00-00001F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2" name="AutoShape 48">
          <a:hlinkClick xmlns:r="http://schemas.openxmlformats.org/officeDocument/2006/relationships" r:id="rId8"/>
          <a:extLst>
            <a:ext uri="{FF2B5EF4-FFF2-40B4-BE49-F238E27FC236}">
              <a16:creationId xmlns:a16="http://schemas.microsoft.com/office/drawing/2014/main" id="{00000000-0008-0000-2D00-000020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D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11954</xdr:colOff>
      <xdr:row>3</xdr:row>
      <xdr:rowOff>719043</xdr:rowOff>
    </xdr:from>
    <xdr:to>
      <xdr:col>3</xdr:col>
      <xdr:colOff>749</xdr:colOff>
      <xdr:row>3</xdr:row>
      <xdr:rowOff>933635</xdr:rowOff>
    </xdr:to>
    <xdr:sp macro="" textlink="">
      <xdr:nvSpPr>
        <xdr:cNvPr id="33" name="Text Box 9">
          <a:extLst>
            <a:ext uri="{FF2B5EF4-FFF2-40B4-BE49-F238E27FC236}">
              <a16:creationId xmlns:a16="http://schemas.microsoft.com/office/drawing/2014/main" id="{00000000-0008-0000-2D00-000021000000}"/>
            </a:ext>
          </a:extLst>
        </xdr:cNvPr>
        <xdr:cNvSpPr txBox="1">
          <a:spLocks noChangeArrowheads="1"/>
        </xdr:cNvSpPr>
      </xdr:nvSpPr>
      <xdr:spPr bwMode="auto">
        <a:xfrm>
          <a:off x="460189" y="1570690"/>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2D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E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E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E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E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E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E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E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E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E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E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E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E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33867</xdr:colOff>
      <xdr:row>2</xdr:row>
      <xdr:rowOff>156881</xdr:rowOff>
    </xdr:from>
    <xdr:to>
      <xdr:col>10</xdr:col>
      <xdr:colOff>389466</xdr:colOff>
      <xdr:row>39</xdr:row>
      <xdr:rowOff>235323</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E00-000014000000}"/>
            </a:ext>
          </a:extLst>
        </xdr:cNvPr>
        <xdr:cNvSpPr/>
      </xdr:nvSpPr>
      <xdr:spPr bwMode="auto">
        <a:xfrm>
          <a:off x="1524000" y="842681"/>
          <a:ext cx="3657599"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11207</xdr:colOff>
      <xdr:row>25</xdr:row>
      <xdr:rowOff>22408</xdr:rowOff>
    </xdr:from>
    <xdr:to>
      <xdr:col>16</xdr:col>
      <xdr:colOff>22414</xdr:colOff>
      <xdr:row>35</xdr:row>
      <xdr:rowOff>11203</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E00-000015000000}"/>
            </a:ext>
          </a:extLst>
        </xdr:cNvPr>
        <xdr:cNvSpPr/>
      </xdr:nvSpPr>
      <xdr:spPr bwMode="auto">
        <a:xfrm>
          <a:off x="6230472" y="7821702"/>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4151</xdr:colOff>
      <xdr:row>13</xdr:row>
      <xdr:rowOff>239888</xdr:rowOff>
    </xdr:from>
    <xdr:to>
      <xdr:col>16</xdr:col>
      <xdr:colOff>4153</xdr:colOff>
      <xdr:row>23</xdr:row>
      <xdr:rowOff>239889</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E00-000016000000}"/>
            </a:ext>
          </a:extLst>
        </xdr:cNvPr>
        <xdr:cNvSpPr/>
      </xdr:nvSpPr>
      <xdr:spPr bwMode="auto">
        <a:xfrm>
          <a:off x="6615207" y="5087055"/>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11209</xdr:colOff>
      <xdr:row>36</xdr:row>
      <xdr:rowOff>0</xdr:rowOff>
    </xdr:from>
    <xdr:to>
      <xdr:col>16</xdr:col>
      <xdr:colOff>3</xdr:colOff>
      <xdr:row>45</xdr:row>
      <xdr:rowOff>224119</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E00-000017000000}"/>
            </a:ext>
          </a:extLst>
        </xdr:cNvPr>
        <xdr:cNvSpPr/>
      </xdr:nvSpPr>
      <xdr:spPr bwMode="auto">
        <a:xfrm>
          <a:off x="6230474"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E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E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23658</xdr:colOff>
      <xdr:row>3</xdr:row>
      <xdr:rowOff>6719</xdr:rowOff>
    </xdr:from>
    <xdr:to>
      <xdr:col>13</xdr:col>
      <xdr:colOff>207434</xdr:colOff>
      <xdr:row>40</xdr:row>
      <xdr:rowOff>6720</xdr:rowOff>
    </xdr:to>
    <xdr:sp macro="" textlink="">
      <xdr:nvSpPr>
        <xdr:cNvPr id="28" name="Rechthoek 27">
          <a:extLst>
            <a:ext uri="{FF2B5EF4-FFF2-40B4-BE49-F238E27FC236}">
              <a16:creationId xmlns:a16="http://schemas.microsoft.com/office/drawing/2014/main" id="{00000000-0008-0000-2E00-00001C000000}"/>
            </a:ext>
          </a:extLst>
        </xdr:cNvPr>
        <xdr:cNvSpPr/>
      </xdr:nvSpPr>
      <xdr:spPr bwMode="auto">
        <a:xfrm>
          <a:off x="5628591" y="861852"/>
          <a:ext cx="59017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0" name="Line 114">
          <a:extLst>
            <a:ext uri="{FF2B5EF4-FFF2-40B4-BE49-F238E27FC236}">
              <a16:creationId xmlns:a16="http://schemas.microsoft.com/office/drawing/2014/main" id="{00000000-0008-0000-2E00-00001E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32" name="AutoShape 48">
          <a:hlinkClick xmlns:r="http://schemas.openxmlformats.org/officeDocument/2006/relationships" r:id="rId7"/>
          <a:extLst>
            <a:ext uri="{FF2B5EF4-FFF2-40B4-BE49-F238E27FC236}">
              <a16:creationId xmlns:a16="http://schemas.microsoft.com/office/drawing/2014/main" id="{00000000-0008-0000-2E00-000020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3" name="AutoShape 48">
          <a:hlinkClick xmlns:r="http://schemas.openxmlformats.org/officeDocument/2006/relationships" r:id="rId8"/>
          <a:extLst>
            <a:ext uri="{FF2B5EF4-FFF2-40B4-BE49-F238E27FC236}">
              <a16:creationId xmlns:a16="http://schemas.microsoft.com/office/drawing/2014/main" id="{00000000-0008-0000-2E00-000021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E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1" name="Text Box 9">
          <a:extLst>
            <a:ext uri="{FF2B5EF4-FFF2-40B4-BE49-F238E27FC236}">
              <a16:creationId xmlns:a16="http://schemas.microsoft.com/office/drawing/2014/main" id="{00000000-0008-0000-2E00-00001F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4" name="Chart 5">
          <a:extLst>
            <a:ext uri="{FF2B5EF4-FFF2-40B4-BE49-F238E27FC236}">
              <a16:creationId xmlns:a16="http://schemas.microsoft.com/office/drawing/2014/main" id="{00000000-0008-0000-2E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F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F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F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F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F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F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F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F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F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F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F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F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F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42335</xdr:colOff>
      <xdr:row>3</xdr:row>
      <xdr:rowOff>8467</xdr:rowOff>
    </xdr:from>
    <xdr:to>
      <xdr:col>9</xdr:col>
      <xdr:colOff>169334</xdr:colOff>
      <xdr:row>40</xdr:row>
      <xdr:rowOff>8468</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2F00-000010000000}"/>
            </a:ext>
          </a:extLst>
        </xdr:cNvPr>
        <xdr:cNvSpPr/>
      </xdr:nvSpPr>
      <xdr:spPr bwMode="auto">
        <a:xfrm>
          <a:off x="1532468" y="863600"/>
          <a:ext cx="320886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22406</xdr:colOff>
      <xdr:row>24</xdr:row>
      <xdr:rowOff>235320</xdr:rowOff>
    </xdr:from>
    <xdr:to>
      <xdr:col>16</xdr:col>
      <xdr:colOff>33613</xdr:colOff>
      <xdr:row>34</xdr:row>
      <xdr:rowOff>224115</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2F00-000011000000}"/>
            </a:ext>
          </a:extLst>
        </xdr:cNvPr>
        <xdr:cNvSpPr/>
      </xdr:nvSpPr>
      <xdr:spPr bwMode="auto">
        <a:xfrm>
          <a:off x="6241671" y="7788085"/>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22406</xdr:colOff>
      <xdr:row>13</xdr:row>
      <xdr:rowOff>224117</xdr:rowOff>
    </xdr:from>
    <xdr:to>
      <xdr:col>16</xdr:col>
      <xdr:colOff>22408</xdr:colOff>
      <xdr:row>23</xdr:row>
      <xdr:rowOff>224117</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2F00-000012000000}"/>
            </a:ext>
          </a:extLst>
        </xdr:cNvPr>
        <xdr:cNvSpPr/>
      </xdr:nvSpPr>
      <xdr:spPr bwMode="auto">
        <a:xfrm>
          <a:off x="6241671" y="5065058"/>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22408</xdr:colOff>
      <xdr:row>36</xdr:row>
      <xdr:rowOff>1</xdr:rowOff>
    </xdr:from>
    <xdr:to>
      <xdr:col>16</xdr:col>
      <xdr:colOff>11202</xdr:colOff>
      <xdr:row>45</xdr:row>
      <xdr:rowOff>224120</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2F00-000013000000}"/>
            </a:ext>
          </a:extLst>
        </xdr:cNvPr>
        <xdr:cNvSpPr/>
      </xdr:nvSpPr>
      <xdr:spPr bwMode="auto">
        <a:xfrm>
          <a:off x="6241673" y="10511119"/>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2F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1" name="Grafiek 20">
          <a:extLst>
            <a:ext uri="{FF2B5EF4-FFF2-40B4-BE49-F238E27FC236}">
              <a16:creationId xmlns:a16="http://schemas.microsoft.com/office/drawing/2014/main" id="{00000000-0008-0000-2F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13074</xdr:colOff>
      <xdr:row>1</xdr:row>
      <xdr:rowOff>127370</xdr:rowOff>
    </xdr:from>
    <xdr:to>
      <xdr:col>13</xdr:col>
      <xdr:colOff>196850</xdr:colOff>
      <xdr:row>38</xdr:row>
      <xdr:rowOff>152771</xdr:rowOff>
    </xdr:to>
    <xdr:sp macro="" textlink="">
      <xdr:nvSpPr>
        <xdr:cNvPr id="24" name="Rechthoek 23">
          <a:extLst>
            <a:ext uri="{FF2B5EF4-FFF2-40B4-BE49-F238E27FC236}">
              <a16:creationId xmlns:a16="http://schemas.microsoft.com/office/drawing/2014/main" id="{00000000-0008-0000-2F00-000018000000}"/>
            </a:ext>
          </a:extLst>
        </xdr:cNvPr>
        <xdr:cNvSpPr/>
      </xdr:nvSpPr>
      <xdr:spPr bwMode="auto">
        <a:xfrm>
          <a:off x="5569324" y="508370"/>
          <a:ext cx="583826" cy="106934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2F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2F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F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0" name="Text Box 9">
          <a:extLst>
            <a:ext uri="{FF2B5EF4-FFF2-40B4-BE49-F238E27FC236}">
              <a16:creationId xmlns:a16="http://schemas.microsoft.com/office/drawing/2014/main" id="{00000000-0008-0000-2F00-00001E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1" name="Chart 5">
          <a:extLst>
            <a:ext uri="{FF2B5EF4-FFF2-40B4-BE49-F238E27FC236}">
              <a16:creationId xmlns:a16="http://schemas.microsoft.com/office/drawing/2014/main" id="{00000000-0008-0000-2F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0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0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0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0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0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0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0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0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0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0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0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0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203200</xdr:colOff>
      <xdr:row>3</xdr:row>
      <xdr:rowOff>16932</xdr:rowOff>
    </xdr:from>
    <xdr:to>
      <xdr:col>10</xdr:col>
      <xdr:colOff>372970</xdr:colOff>
      <xdr:row>40</xdr:row>
      <xdr:rowOff>16933</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000-00000F000000}"/>
            </a:ext>
          </a:extLst>
        </xdr:cNvPr>
        <xdr:cNvSpPr/>
      </xdr:nvSpPr>
      <xdr:spPr bwMode="auto">
        <a:xfrm>
          <a:off x="1473200" y="872065"/>
          <a:ext cx="3691903"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4853</xdr:colOff>
      <xdr:row>25</xdr:row>
      <xdr:rowOff>22408</xdr:rowOff>
    </xdr:from>
    <xdr:to>
      <xdr:col>16</xdr:col>
      <xdr:colOff>16060</xdr:colOff>
      <xdr:row>35</xdr:row>
      <xdr:rowOff>11203</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000-000010000000}"/>
            </a:ext>
          </a:extLst>
        </xdr:cNvPr>
        <xdr:cNvSpPr/>
      </xdr:nvSpPr>
      <xdr:spPr bwMode="auto">
        <a:xfrm>
          <a:off x="6577103" y="7851958"/>
          <a:ext cx="4259357" cy="246529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336465</xdr:colOff>
      <xdr:row>14</xdr:row>
      <xdr:rowOff>14111</xdr:rowOff>
    </xdr:from>
    <xdr:to>
      <xdr:col>15</xdr:col>
      <xdr:colOff>4245244</xdr:colOff>
      <xdr:row>24</xdr:row>
      <xdr:rowOff>14111</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000-000011000000}"/>
            </a:ext>
          </a:extLst>
        </xdr:cNvPr>
        <xdr:cNvSpPr/>
      </xdr:nvSpPr>
      <xdr:spPr bwMode="auto">
        <a:xfrm>
          <a:off x="6608854" y="5108222"/>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11205</xdr:colOff>
      <xdr:row>36</xdr:row>
      <xdr:rowOff>0</xdr:rowOff>
    </xdr:from>
    <xdr:to>
      <xdr:col>16</xdr:col>
      <xdr:colOff>12700</xdr:colOff>
      <xdr:row>45</xdr:row>
      <xdr:rowOff>224119</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000-000012000000}"/>
            </a:ext>
          </a:extLst>
        </xdr:cNvPr>
        <xdr:cNvSpPr/>
      </xdr:nvSpPr>
      <xdr:spPr bwMode="auto">
        <a:xfrm>
          <a:off x="6583455" y="10553700"/>
          <a:ext cx="4249645" cy="245296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0" name="Grafiek 19">
          <a:extLst>
            <a:ext uri="{FF2B5EF4-FFF2-40B4-BE49-F238E27FC236}">
              <a16:creationId xmlns:a16="http://schemas.microsoft.com/office/drawing/2014/main" id="{00000000-0008-0000-3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121024</xdr:colOff>
      <xdr:row>3</xdr:row>
      <xdr:rowOff>44820</xdr:rowOff>
    </xdr:from>
    <xdr:to>
      <xdr:col>14</xdr:col>
      <xdr:colOff>82550</xdr:colOff>
      <xdr:row>40</xdr:row>
      <xdr:rowOff>44821</xdr:rowOff>
    </xdr:to>
    <xdr:sp macro="" textlink="">
      <xdr:nvSpPr>
        <xdr:cNvPr id="23" name="Rechthoek 22">
          <a:extLst>
            <a:ext uri="{FF2B5EF4-FFF2-40B4-BE49-F238E27FC236}">
              <a16:creationId xmlns:a16="http://schemas.microsoft.com/office/drawing/2014/main" id="{00000000-0008-0000-3000-000017000000}"/>
            </a:ext>
          </a:extLst>
        </xdr:cNvPr>
        <xdr:cNvSpPr/>
      </xdr:nvSpPr>
      <xdr:spPr bwMode="auto">
        <a:xfrm>
          <a:off x="5728074" y="895720"/>
          <a:ext cx="590176" cy="106934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25" name="Line 114">
          <a:extLst>
            <a:ext uri="{FF2B5EF4-FFF2-40B4-BE49-F238E27FC236}">
              <a16:creationId xmlns:a16="http://schemas.microsoft.com/office/drawing/2014/main" id="{00000000-0008-0000-3000-000019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0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0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30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0" name="Text Box 9">
          <a:extLst>
            <a:ext uri="{FF2B5EF4-FFF2-40B4-BE49-F238E27FC236}">
              <a16:creationId xmlns:a16="http://schemas.microsoft.com/office/drawing/2014/main" id="{00000000-0008-0000-3000-00001E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1" name="Chart 5">
          <a:extLst>
            <a:ext uri="{FF2B5EF4-FFF2-40B4-BE49-F238E27FC236}">
              <a16:creationId xmlns:a16="http://schemas.microsoft.com/office/drawing/2014/main" id="{00000000-0008-0000-3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1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31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31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31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31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31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31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31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31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31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31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31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31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50800</xdr:colOff>
      <xdr:row>2</xdr:row>
      <xdr:rowOff>157503</xdr:rowOff>
    </xdr:from>
    <xdr:to>
      <xdr:col>13</xdr:col>
      <xdr:colOff>21166</xdr:colOff>
      <xdr:row>39</xdr:row>
      <xdr:rowOff>237066</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3100-000010000000}"/>
            </a:ext>
          </a:extLst>
        </xdr:cNvPr>
        <xdr:cNvSpPr/>
      </xdr:nvSpPr>
      <xdr:spPr bwMode="auto">
        <a:xfrm>
          <a:off x="1320800" y="843303"/>
          <a:ext cx="4711699" cy="1062056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11198</xdr:colOff>
      <xdr:row>24</xdr:row>
      <xdr:rowOff>246526</xdr:rowOff>
    </xdr:from>
    <xdr:to>
      <xdr:col>16</xdr:col>
      <xdr:colOff>22405</xdr:colOff>
      <xdr:row>34</xdr:row>
      <xdr:rowOff>235321</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3100-000011000000}"/>
            </a:ext>
          </a:extLst>
        </xdr:cNvPr>
        <xdr:cNvSpPr/>
      </xdr:nvSpPr>
      <xdr:spPr bwMode="auto">
        <a:xfrm>
          <a:off x="6230463" y="7799291"/>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2731</xdr:colOff>
      <xdr:row>14</xdr:row>
      <xdr:rowOff>23656</xdr:rowOff>
    </xdr:from>
    <xdr:to>
      <xdr:col>16</xdr:col>
      <xdr:colOff>2733</xdr:colOff>
      <xdr:row>24</xdr:row>
      <xdr:rowOff>23657</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3100-000012000000}"/>
            </a:ext>
          </a:extLst>
        </xdr:cNvPr>
        <xdr:cNvSpPr/>
      </xdr:nvSpPr>
      <xdr:spPr bwMode="auto">
        <a:xfrm>
          <a:off x="6572864" y="5112123"/>
          <a:ext cx="4250269" cy="245533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11200</xdr:colOff>
      <xdr:row>36</xdr:row>
      <xdr:rowOff>11207</xdr:rowOff>
    </xdr:from>
    <xdr:to>
      <xdr:col>15</xdr:col>
      <xdr:colOff>4045317</xdr:colOff>
      <xdr:row>45</xdr:row>
      <xdr:rowOff>235326</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3100-000013000000}"/>
            </a:ext>
          </a:extLst>
        </xdr:cNvPr>
        <xdr:cNvSpPr/>
      </xdr:nvSpPr>
      <xdr:spPr bwMode="auto">
        <a:xfrm>
          <a:off x="6230465" y="10522325"/>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3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1" name="Grafiek 20">
          <a:extLst>
            <a:ext uri="{FF2B5EF4-FFF2-40B4-BE49-F238E27FC236}">
              <a16:creationId xmlns:a16="http://schemas.microsoft.com/office/drawing/2014/main" id="{00000000-0008-0000-3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1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1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6" name="Tekstvak 25">
          <a:extLst>
            <a:ext uri="{FF2B5EF4-FFF2-40B4-BE49-F238E27FC236}">
              <a16:creationId xmlns:a16="http://schemas.microsoft.com/office/drawing/2014/main" id="{00000000-0008-0000-3100-00001A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7470</xdr:colOff>
      <xdr:row>3</xdr:row>
      <xdr:rowOff>717177</xdr:rowOff>
    </xdr:from>
    <xdr:to>
      <xdr:col>2</xdr:col>
      <xdr:colOff>818030</xdr:colOff>
      <xdr:row>3</xdr:row>
      <xdr:rowOff>931769</xdr:rowOff>
    </xdr:to>
    <xdr:sp macro="" textlink="">
      <xdr:nvSpPr>
        <xdr:cNvPr id="29" name="Text Box 9">
          <a:extLst>
            <a:ext uri="{FF2B5EF4-FFF2-40B4-BE49-F238E27FC236}">
              <a16:creationId xmlns:a16="http://schemas.microsoft.com/office/drawing/2014/main" id="{00000000-0008-0000-3100-00001D000000}"/>
            </a:ext>
          </a:extLst>
        </xdr:cNvPr>
        <xdr:cNvSpPr txBox="1">
          <a:spLocks noChangeArrowheads="1"/>
        </xdr:cNvSpPr>
      </xdr:nvSpPr>
      <xdr:spPr bwMode="auto">
        <a:xfrm>
          <a:off x="455705"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2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2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2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2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2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2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2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2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2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2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2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2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15440</xdr:colOff>
      <xdr:row>3</xdr:row>
      <xdr:rowOff>0</xdr:rowOff>
    </xdr:from>
    <xdr:to>
      <xdr:col>14</xdr:col>
      <xdr:colOff>4231</xdr:colOff>
      <xdr:row>40</xdr:row>
      <xdr:rowOff>1</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200-00000F000000}"/>
            </a:ext>
          </a:extLst>
        </xdr:cNvPr>
        <xdr:cNvSpPr/>
      </xdr:nvSpPr>
      <xdr:spPr bwMode="auto">
        <a:xfrm>
          <a:off x="1505573" y="855133"/>
          <a:ext cx="4730125"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324967</xdr:colOff>
      <xdr:row>25</xdr:row>
      <xdr:rowOff>33614</xdr:rowOff>
    </xdr:from>
    <xdr:to>
      <xdr:col>16</xdr:col>
      <xdr:colOff>11203</xdr:colOff>
      <xdr:row>35</xdr:row>
      <xdr:rowOff>22409</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200-000010000000}"/>
            </a:ext>
          </a:extLst>
        </xdr:cNvPr>
        <xdr:cNvSpPr/>
      </xdr:nvSpPr>
      <xdr:spPr bwMode="auto">
        <a:xfrm>
          <a:off x="6219261" y="7832908"/>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324967</xdr:colOff>
      <xdr:row>14</xdr:row>
      <xdr:rowOff>11206</xdr:rowOff>
    </xdr:from>
    <xdr:to>
      <xdr:col>15</xdr:col>
      <xdr:colOff>4045321</xdr:colOff>
      <xdr:row>24</xdr:row>
      <xdr:rowOff>11206</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200-000011000000}"/>
            </a:ext>
          </a:extLst>
        </xdr:cNvPr>
        <xdr:cNvSpPr/>
      </xdr:nvSpPr>
      <xdr:spPr bwMode="auto">
        <a:xfrm>
          <a:off x="6219261" y="5098677"/>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14525</xdr:colOff>
      <xdr:row>36</xdr:row>
      <xdr:rowOff>4150</xdr:rowOff>
    </xdr:from>
    <xdr:to>
      <xdr:col>16</xdr:col>
      <xdr:colOff>0</xdr:colOff>
      <xdr:row>46</xdr:row>
      <xdr:rowOff>0</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200-000012000000}"/>
            </a:ext>
          </a:extLst>
        </xdr:cNvPr>
        <xdr:cNvSpPr/>
      </xdr:nvSpPr>
      <xdr:spPr bwMode="auto">
        <a:xfrm>
          <a:off x="6625581" y="10531039"/>
          <a:ext cx="4232919"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0" name="Grafiek 19">
          <a:extLst>
            <a:ext uri="{FF2B5EF4-FFF2-40B4-BE49-F238E27FC236}">
              <a16:creationId xmlns:a16="http://schemas.microsoft.com/office/drawing/2014/main" id="{00000000-0008-0000-3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160805</xdr:colOff>
      <xdr:row>1</xdr:row>
      <xdr:rowOff>163605</xdr:rowOff>
    </xdr:from>
    <xdr:to>
      <xdr:col>4</xdr:col>
      <xdr:colOff>275105</xdr:colOff>
      <xdr:row>1</xdr:row>
      <xdr:rowOff>163605</xdr:rowOff>
    </xdr:to>
    <xdr:sp macro="" textlink="">
      <xdr:nvSpPr>
        <xdr:cNvPr id="25" name="Line 114">
          <a:extLst>
            <a:ext uri="{FF2B5EF4-FFF2-40B4-BE49-F238E27FC236}">
              <a16:creationId xmlns:a16="http://schemas.microsoft.com/office/drawing/2014/main" id="{00000000-0008-0000-3200-000019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2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2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6" name="Tekstvak 25">
          <a:extLst>
            <a:ext uri="{FF2B5EF4-FFF2-40B4-BE49-F238E27FC236}">
              <a16:creationId xmlns:a16="http://schemas.microsoft.com/office/drawing/2014/main" id="{00000000-0008-0000-3200-00001A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717170</xdr:rowOff>
    </xdr:from>
    <xdr:to>
      <xdr:col>2</xdr:col>
      <xdr:colOff>818031</xdr:colOff>
      <xdr:row>3</xdr:row>
      <xdr:rowOff>931762</xdr:rowOff>
    </xdr:to>
    <xdr:sp macro="" textlink="">
      <xdr:nvSpPr>
        <xdr:cNvPr id="29" name="Text Box 9">
          <a:extLst>
            <a:ext uri="{FF2B5EF4-FFF2-40B4-BE49-F238E27FC236}">
              <a16:creationId xmlns:a16="http://schemas.microsoft.com/office/drawing/2014/main" id="{00000000-0008-0000-3200-00001D000000}"/>
            </a:ext>
          </a:extLst>
        </xdr:cNvPr>
        <xdr:cNvSpPr txBox="1">
          <a:spLocks noChangeArrowheads="1"/>
        </xdr:cNvSpPr>
      </xdr:nvSpPr>
      <xdr:spPr bwMode="auto">
        <a:xfrm>
          <a:off x="455706" y="1568817"/>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180974</xdr:colOff>
      <xdr:row>12</xdr:row>
      <xdr:rowOff>133350</xdr:rowOff>
    </xdr:from>
    <xdr:to>
      <xdr:col>21</xdr:col>
      <xdr:colOff>104775</xdr:colOff>
      <xdr:row>37</xdr:row>
      <xdr:rowOff>9525</xdr:rowOff>
    </xdr:to>
    <xdr:sp macro="" textlink="">
      <xdr:nvSpPr>
        <xdr:cNvPr id="2" name="Toelichting met afgeronde rechthoek 3">
          <a:extLst>
            <a:ext uri="{FF2B5EF4-FFF2-40B4-BE49-F238E27FC236}">
              <a16:creationId xmlns:a16="http://schemas.microsoft.com/office/drawing/2014/main" id="{00000000-0008-0000-0400-000002000000}"/>
            </a:ext>
          </a:extLst>
        </xdr:cNvPr>
        <xdr:cNvSpPr/>
      </xdr:nvSpPr>
      <xdr:spPr bwMode="auto">
        <a:xfrm>
          <a:off x="7877174" y="2133600"/>
          <a:ext cx="5695951" cy="3844925"/>
        </a:xfrm>
        <a:prstGeom prst="wedgeRoundRectCallout">
          <a:avLst>
            <a:gd name="adj1" fmla="val -34918"/>
            <a:gd name="adj2" fmla="val 45541"/>
            <a:gd name="adj3" fmla="val 16667"/>
          </a:avLst>
        </a:prstGeom>
        <a:solidFill>
          <a:srgbClr val="99FFCC"/>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u="sng" baseline="0"/>
            <a:t>OPO</a:t>
          </a:r>
          <a:r>
            <a:rPr lang="nl-NL" sz="1100" u="none" baseline="0"/>
            <a:t> betekent Opbrengstgericht Passend Onderwijs. Uitgangpunt is de Middenmoot. Die komt met OPO in beeld.</a:t>
          </a:r>
        </a:p>
        <a:p>
          <a:pPr algn="l"/>
          <a:endParaRPr lang="nl-NL" sz="1100" u="none" baseline="0"/>
        </a:p>
        <a:p>
          <a:pPr algn="l"/>
          <a:r>
            <a:rPr lang="nl-NL" sz="1100" u="none" baseline="0"/>
            <a:t>Met het in beeld brengen van de Middenmoot (50% v.d. leerlingen) kun je de aanpak bepalen:</a:t>
          </a:r>
        </a:p>
        <a:p>
          <a:pPr algn="l"/>
          <a:endParaRPr lang="nl-NL" sz="110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400" baseline="0">
              <a:solidFill>
                <a:srgbClr val="FF0000"/>
              </a:solidFill>
              <a:effectLst/>
              <a:latin typeface="+mn-lt"/>
              <a:ea typeface="+mn-ea"/>
              <a:cs typeface="+mn-cs"/>
            </a:rPr>
            <a:t>- </a:t>
          </a:r>
          <a:r>
            <a:rPr lang="nl-NL" sz="1400" u="sng" baseline="0">
              <a:solidFill>
                <a:srgbClr val="FF0000"/>
              </a:solidFill>
              <a:effectLst/>
              <a:latin typeface="+mn-lt"/>
              <a:ea typeface="+mn-ea"/>
              <a:cs typeface="+mn-cs"/>
            </a:rPr>
            <a:t>alleen basisaanpak </a:t>
          </a:r>
          <a:r>
            <a:rPr lang="nl-NL" sz="1100" baseline="0">
              <a:solidFill>
                <a:schemeClr val="tx1"/>
              </a:solidFill>
              <a:effectLst/>
              <a:latin typeface="+mn-lt"/>
              <a:ea typeface="+mn-ea"/>
              <a:cs typeface="+mn-cs"/>
            </a:rPr>
            <a:t>(= de middenmoot zit tussen niveauwaarde 2 en 4)</a:t>
          </a:r>
          <a:endParaRPr lang="nl-NL" sz="1100" u="none" baseline="0">
            <a:solidFill>
              <a:schemeClr val="tx1"/>
            </a:solidFill>
          </a:endParaRPr>
        </a:p>
        <a:p>
          <a:pPr algn="l"/>
          <a:r>
            <a:rPr lang="nl-NL" sz="1400" u="none" baseline="0">
              <a:solidFill>
                <a:srgbClr val="FF0000"/>
              </a:solidFill>
            </a:rPr>
            <a:t>- </a:t>
          </a:r>
          <a:r>
            <a:rPr lang="nl-NL" sz="1400" u="sng" baseline="0">
              <a:solidFill>
                <a:srgbClr val="FF0000"/>
              </a:solidFill>
            </a:rPr>
            <a:t>basisaanpak + intensiveren </a:t>
          </a:r>
          <a:r>
            <a:rPr lang="nl-NL" sz="1100" u="none" baseline="0">
              <a:solidFill>
                <a:schemeClr val="tx1"/>
              </a:solidFill>
            </a:rPr>
            <a:t>(= de middenmoot schiet onder niveauwaarde 2)</a:t>
          </a:r>
        </a:p>
        <a:p>
          <a:pPr algn="l"/>
          <a:r>
            <a:rPr lang="nl-NL" sz="1400" u="none" baseline="0">
              <a:solidFill>
                <a:srgbClr val="FF0000"/>
              </a:solidFill>
            </a:rPr>
            <a:t>- </a:t>
          </a:r>
          <a:r>
            <a:rPr lang="nl-NL" sz="1400" u="sng" baseline="0">
              <a:solidFill>
                <a:srgbClr val="FF0000"/>
              </a:solidFill>
            </a:rPr>
            <a:t>basisaanpak + verrijken </a:t>
          </a:r>
          <a:r>
            <a:rPr lang="nl-NL" sz="1100" u="none" baseline="0">
              <a:solidFill>
                <a:schemeClr val="tx1"/>
              </a:solidFill>
            </a:rPr>
            <a:t>(= de middenmoot zit ook boven niveauwaarde 4)</a:t>
          </a:r>
        </a:p>
        <a:p>
          <a:pPr algn="l"/>
          <a:endParaRPr lang="nl-NL" sz="1100" u="none" baseline="0"/>
        </a:p>
        <a:p>
          <a:pPr algn="l"/>
          <a:r>
            <a:rPr lang="nl-NL" sz="1100" u="none" baseline="0"/>
            <a:t>Zie ook www.masterclassopo.nl</a:t>
          </a:r>
        </a:p>
        <a:p>
          <a:pPr algn="l"/>
          <a:endParaRPr lang="nl-NL" sz="1100" u="none" baseline="0"/>
        </a:p>
        <a:p>
          <a:pPr algn="l"/>
          <a:r>
            <a:rPr lang="nl-NL" sz="1100" u="none" baseline="0"/>
            <a:t>In dit overzicht wordt grafiek gemaakt van de niveauwaarden van:</a:t>
          </a:r>
        </a:p>
        <a:p>
          <a:pPr algn="l"/>
          <a:r>
            <a:rPr lang="nl-NL" sz="1100" u="none" baseline="0"/>
            <a:t>- het vorige jaar</a:t>
          </a:r>
        </a:p>
        <a:p>
          <a:pPr algn="l"/>
          <a:r>
            <a:rPr lang="nl-NL" sz="1100" u="none" baseline="0"/>
            <a:t>- de 1e toetsperiode</a:t>
          </a:r>
        </a:p>
        <a:p>
          <a:pPr algn="l"/>
          <a:r>
            <a:rPr lang="nl-NL" sz="1100" u="none" baseline="0"/>
            <a:t>- de 2e toetsperiode</a:t>
          </a:r>
          <a:endParaRPr lang="nl-NL" sz="1100" baseline="0"/>
        </a:p>
      </xdr:txBody>
    </xdr:sp>
    <xdr:clientData/>
  </xdr:twoCellAnchor>
  <xdr:twoCellAnchor>
    <xdr:from>
      <xdr:col>12</xdr:col>
      <xdr:colOff>428625</xdr:colOff>
      <xdr:row>3</xdr:row>
      <xdr:rowOff>38100</xdr:rowOff>
    </xdr:from>
    <xdr:to>
      <xdr:col>15</xdr:col>
      <xdr:colOff>276225</xdr:colOff>
      <xdr:row>10</xdr:row>
      <xdr:rowOff>123825</xdr:rowOff>
    </xdr:to>
    <xdr:sp macro="" textlink="">
      <xdr:nvSpPr>
        <xdr:cNvPr id="3" name="Pijl: links 7">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bwMode="auto">
        <a:xfrm flipH="1">
          <a:off x="8124825" y="609600"/>
          <a:ext cx="1771650" cy="1196975"/>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628650</xdr:colOff>
      <xdr:row>2</xdr:row>
      <xdr:rowOff>82550</xdr:rowOff>
    </xdr:from>
    <xdr:to>
      <xdr:col>11</xdr:col>
      <xdr:colOff>368300</xdr:colOff>
      <xdr:row>52</xdr:row>
      <xdr:rowOff>33966</xdr:rowOff>
    </xdr:to>
    <xdr:pic>
      <xdr:nvPicPr>
        <xdr:cNvPr id="5" name="Afbeelding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95300"/>
          <a:ext cx="6794500" cy="7888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xdr:row>
      <xdr:rowOff>50800</xdr:rowOff>
    </xdr:from>
    <xdr:to>
      <xdr:col>11</xdr:col>
      <xdr:colOff>228600</xdr:colOff>
      <xdr:row>19</xdr:row>
      <xdr:rowOff>69850</xdr:rowOff>
    </xdr:to>
    <xdr:sp macro="" textlink="">
      <xdr:nvSpPr>
        <xdr:cNvPr id="6" name="Pijl: links 5">
          <a:extLst>
            <a:ext uri="{FF2B5EF4-FFF2-40B4-BE49-F238E27FC236}">
              <a16:creationId xmlns:a16="http://schemas.microsoft.com/office/drawing/2014/main" id="{00000000-0008-0000-0400-000006000000}"/>
            </a:ext>
          </a:extLst>
        </xdr:cNvPr>
        <xdr:cNvSpPr/>
      </xdr:nvSpPr>
      <xdr:spPr bwMode="auto">
        <a:xfrm>
          <a:off x="2565400" y="2686050"/>
          <a:ext cx="4718050" cy="495300"/>
        </a:xfrm>
        <a:prstGeom prst="leftArrow">
          <a:avLst/>
        </a:prstGeom>
        <a:solidFill>
          <a:srgbClr val="00B0F0"/>
        </a:solid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algn="l"/>
          <a:r>
            <a:rPr lang="nl-NL" sz="1100">
              <a:solidFill>
                <a:schemeClr val="bg1"/>
              </a:solidFill>
            </a:rPr>
            <a:t>op</a:t>
          </a:r>
          <a:r>
            <a:rPr lang="nl-NL" sz="1100" baseline="0">
              <a:solidFill>
                <a:schemeClr val="bg1"/>
              </a:solidFill>
            </a:rPr>
            <a:t> basis van de schoolweging wordt een gemiddelde niveauwaarde berekend</a:t>
          </a:r>
          <a:endParaRPr lang="nl-NL" sz="1100">
            <a:solidFill>
              <a:schemeClr val="bg1"/>
            </a:solidFill>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21</xdr:col>
      <xdr:colOff>342900</xdr:colOff>
      <xdr:row>0</xdr:row>
      <xdr:rowOff>0</xdr:rowOff>
    </xdr:from>
    <xdr:to>
      <xdr:col>22</xdr:col>
      <xdr:colOff>9525</xdr:colOff>
      <xdr:row>0</xdr:row>
      <xdr:rowOff>0</xdr:rowOff>
    </xdr:to>
    <xdr:sp macro="" textlink="">
      <xdr:nvSpPr>
        <xdr:cNvPr id="2" name="Line 41">
          <a:extLst>
            <a:ext uri="{FF2B5EF4-FFF2-40B4-BE49-F238E27FC236}">
              <a16:creationId xmlns:a16="http://schemas.microsoft.com/office/drawing/2014/main" id="{00000000-0008-0000-33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33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33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33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33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33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33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33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33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33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33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33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33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28140</xdr:colOff>
      <xdr:row>3</xdr:row>
      <xdr:rowOff>16935</xdr:rowOff>
    </xdr:from>
    <xdr:to>
      <xdr:col>9</xdr:col>
      <xdr:colOff>207433</xdr:colOff>
      <xdr:row>40</xdr:row>
      <xdr:rowOff>16936</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3300-000010000000}"/>
            </a:ext>
          </a:extLst>
        </xdr:cNvPr>
        <xdr:cNvSpPr/>
      </xdr:nvSpPr>
      <xdr:spPr bwMode="auto">
        <a:xfrm>
          <a:off x="1518273" y="872068"/>
          <a:ext cx="3261160"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11196</xdr:colOff>
      <xdr:row>24</xdr:row>
      <xdr:rowOff>246526</xdr:rowOff>
    </xdr:from>
    <xdr:to>
      <xdr:col>20</xdr:col>
      <xdr:colOff>22403</xdr:colOff>
      <xdr:row>34</xdr:row>
      <xdr:rowOff>235321</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3300-000011000000}"/>
            </a:ext>
          </a:extLst>
        </xdr:cNvPr>
        <xdr:cNvSpPr/>
      </xdr:nvSpPr>
      <xdr:spPr bwMode="auto">
        <a:xfrm>
          <a:off x="6230461" y="7799291"/>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11196</xdr:colOff>
      <xdr:row>13</xdr:row>
      <xdr:rowOff>235323</xdr:rowOff>
    </xdr:from>
    <xdr:to>
      <xdr:col>20</xdr:col>
      <xdr:colOff>11198</xdr:colOff>
      <xdr:row>23</xdr:row>
      <xdr:rowOff>235323</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3300-000012000000}"/>
            </a:ext>
          </a:extLst>
        </xdr:cNvPr>
        <xdr:cNvSpPr/>
      </xdr:nvSpPr>
      <xdr:spPr bwMode="auto">
        <a:xfrm>
          <a:off x="6230461" y="5076264"/>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11198</xdr:colOff>
      <xdr:row>36</xdr:row>
      <xdr:rowOff>11207</xdr:rowOff>
    </xdr:from>
    <xdr:to>
      <xdr:col>19</xdr:col>
      <xdr:colOff>4045315</xdr:colOff>
      <xdr:row>45</xdr:row>
      <xdr:rowOff>235326</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3300-000013000000}"/>
            </a:ext>
          </a:extLst>
        </xdr:cNvPr>
        <xdr:cNvSpPr/>
      </xdr:nvSpPr>
      <xdr:spPr bwMode="auto">
        <a:xfrm>
          <a:off x="6230463" y="10522325"/>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0</xdr:colOff>
      <xdr:row>65</xdr:row>
      <xdr:rowOff>0</xdr:rowOff>
    </xdr:from>
    <xdr:to>
      <xdr:col>19</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3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22413</xdr:colOff>
      <xdr:row>7</xdr:row>
      <xdr:rowOff>235323</xdr:rowOff>
    </xdr:from>
    <xdr:to>
      <xdr:col>20</xdr:col>
      <xdr:colOff>11206</xdr:colOff>
      <xdr:row>13</xdr:row>
      <xdr:rowOff>0</xdr:rowOff>
    </xdr:to>
    <xdr:graphicFrame macro="">
      <xdr:nvGraphicFramePr>
        <xdr:cNvPr id="21" name="Grafiek 20">
          <a:extLst>
            <a:ext uri="{FF2B5EF4-FFF2-40B4-BE49-F238E27FC236}">
              <a16:creationId xmlns:a16="http://schemas.microsoft.com/office/drawing/2014/main" id="{00000000-0008-0000-3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0</xdr:colOff>
      <xdr:row>3</xdr:row>
      <xdr:rowOff>582893</xdr:rowOff>
    </xdr:from>
    <xdr:to>
      <xdr:col>23</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33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21</xdr:col>
      <xdr:colOff>0</xdr:colOff>
      <xdr:row>3</xdr:row>
      <xdr:rowOff>0</xdr:rowOff>
    </xdr:from>
    <xdr:to>
      <xdr:col>23</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33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20</xdr:col>
      <xdr:colOff>11206</xdr:colOff>
      <xdr:row>54</xdr:row>
      <xdr:rowOff>145676</xdr:rowOff>
    </xdr:to>
    <xdr:sp macro="" textlink="" fLocksText="0">
      <xdr:nvSpPr>
        <xdr:cNvPr id="28" name="Tekstvak 27">
          <a:extLst>
            <a:ext uri="{FF2B5EF4-FFF2-40B4-BE49-F238E27FC236}">
              <a16:creationId xmlns:a16="http://schemas.microsoft.com/office/drawing/2014/main" id="{00000000-0008-0000-3300-00001C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717170</xdr:rowOff>
    </xdr:from>
    <xdr:to>
      <xdr:col>2</xdr:col>
      <xdr:colOff>818031</xdr:colOff>
      <xdr:row>3</xdr:row>
      <xdr:rowOff>931762</xdr:rowOff>
    </xdr:to>
    <xdr:sp macro="" textlink="">
      <xdr:nvSpPr>
        <xdr:cNvPr id="30" name="Text Box 9">
          <a:extLst>
            <a:ext uri="{FF2B5EF4-FFF2-40B4-BE49-F238E27FC236}">
              <a16:creationId xmlns:a16="http://schemas.microsoft.com/office/drawing/2014/main" id="{00000000-0008-0000-3300-00001E000000}"/>
            </a:ext>
          </a:extLst>
        </xdr:cNvPr>
        <xdr:cNvSpPr txBox="1">
          <a:spLocks noChangeArrowheads="1"/>
        </xdr:cNvSpPr>
      </xdr:nvSpPr>
      <xdr:spPr bwMode="auto">
        <a:xfrm>
          <a:off x="455706" y="1568817"/>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18</xdr:col>
      <xdr:colOff>0</xdr:colOff>
      <xdr:row>3</xdr:row>
      <xdr:rowOff>0</xdr:rowOff>
    </xdr:from>
    <xdr:to>
      <xdr:col>19</xdr:col>
      <xdr:colOff>4229099</xdr:colOff>
      <xdr:row>6</xdr:row>
      <xdr:rowOff>241300</xdr:rowOff>
    </xdr:to>
    <xdr:graphicFrame macro="">
      <xdr:nvGraphicFramePr>
        <xdr:cNvPr id="29" name="Chart 5">
          <a:extLst>
            <a:ext uri="{FF2B5EF4-FFF2-40B4-BE49-F238E27FC236}">
              <a16:creationId xmlns:a16="http://schemas.microsoft.com/office/drawing/2014/main" id="{00000000-0008-0000-3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21</xdr:col>
      <xdr:colOff>342900</xdr:colOff>
      <xdr:row>0</xdr:row>
      <xdr:rowOff>0</xdr:rowOff>
    </xdr:from>
    <xdr:to>
      <xdr:col>22</xdr:col>
      <xdr:colOff>9525</xdr:colOff>
      <xdr:row>0</xdr:row>
      <xdr:rowOff>0</xdr:rowOff>
    </xdr:to>
    <xdr:sp macro="" textlink="">
      <xdr:nvSpPr>
        <xdr:cNvPr id="2" name="Line 41">
          <a:extLst>
            <a:ext uri="{FF2B5EF4-FFF2-40B4-BE49-F238E27FC236}">
              <a16:creationId xmlns:a16="http://schemas.microsoft.com/office/drawing/2014/main" id="{00000000-0008-0000-34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4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4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4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4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4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4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4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4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4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4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4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198967</xdr:colOff>
      <xdr:row>2</xdr:row>
      <xdr:rowOff>168082</xdr:rowOff>
    </xdr:from>
    <xdr:to>
      <xdr:col>9</xdr:col>
      <xdr:colOff>198966</xdr:colOff>
      <xdr:row>40</xdr:row>
      <xdr:rowOff>991</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400-00000F000000}"/>
            </a:ext>
          </a:extLst>
        </xdr:cNvPr>
        <xdr:cNvSpPr/>
      </xdr:nvSpPr>
      <xdr:spPr bwMode="auto">
        <a:xfrm>
          <a:off x="1468967" y="853882"/>
          <a:ext cx="3301999"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11202</xdr:colOff>
      <xdr:row>25</xdr:row>
      <xdr:rowOff>22408</xdr:rowOff>
    </xdr:from>
    <xdr:to>
      <xdr:col>20</xdr:col>
      <xdr:colOff>22409</xdr:colOff>
      <xdr:row>35</xdr:row>
      <xdr:rowOff>11203</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400-000010000000}"/>
            </a:ext>
          </a:extLst>
        </xdr:cNvPr>
        <xdr:cNvSpPr/>
      </xdr:nvSpPr>
      <xdr:spPr bwMode="auto">
        <a:xfrm>
          <a:off x="6230467" y="7821702"/>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18</xdr:col>
      <xdr:colOff>335757</xdr:colOff>
      <xdr:row>14</xdr:row>
      <xdr:rowOff>7056</xdr:rowOff>
    </xdr:from>
    <xdr:to>
      <xdr:col>19</xdr:col>
      <xdr:colOff>4244536</xdr:colOff>
      <xdr:row>24</xdr:row>
      <xdr:rowOff>7056</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400-000011000000}"/>
            </a:ext>
          </a:extLst>
        </xdr:cNvPr>
        <xdr:cNvSpPr/>
      </xdr:nvSpPr>
      <xdr:spPr bwMode="auto">
        <a:xfrm>
          <a:off x="6763368" y="5101167"/>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11204</xdr:colOff>
      <xdr:row>36</xdr:row>
      <xdr:rowOff>0</xdr:rowOff>
    </xdr:from>
    <xdr:to>
      <xdr:col>19</xdr:col>
      <xdr:colOff>4045321</xdr:colOff>
      <xdr:row>45</xdr:row>
      <xdr:rowOff>224119</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400-000012000000}"/>
            </a:ext>
          </a:extLst>
        </xdr:cNvPr>
        <xdr:cNvSpPr/>
      </xdr:nvSpPr>
      <xdr:spPr bwMode="auto">
        <a:xfrm>
          <a:off x="6230469"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0</xdr:colOff>
      <xdr:row>65</xdr:row>
      <xdr:rowOff>0</xdr:rowOff>
    </xdr:from>
    <xdr:to>
      <xdr:col>19</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22413</xdr:colOff>
      <xdr:row>7</xdr:row>
      <xdr:rowOff>235323</xdr:rowOff>
    </xdr:from>
    <xdr:to>
      <xdr:col>20</xdr:col>
      <xdr:colOff>11206</xdr:colOff>
      <xdr:row>13</xdr:row>
      <xdr:rowOff>0</xdr:rowOff>
    </xdr:to>
    <xdr:graphicFrame macro="">
      <xdr:nvGraphicFramePr>
        <xdr:cNvPr id="20" name="Grafiek 19">
          <a:extLst>
            <a:ext uri="{FF2B5EF4-FFF2-40B4-BE49-F238E27FC236}">
              <a16:creationId xmlns:a16="http://schemas.microsoft.com/office/drawing/2014/main" id="{00000000-0008-0000-3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160805</xdr:colOff>
      <xdr:row>1</xdr:row>
      <xdr:rowOff>163605</xdr:rowOff>
    </xdr:from>
    <xdr:to>
      <xdr:col>4</xdr:col>
      <xdr:colOff>275105</xdr:colOff>
      <xdr:row>1</xdr:row>
      <xdr:rowOff>163605</xdr:rowOff>
    </xdr:to>
    <xdr:sp macro="" textlink="">
      <xdr:nvSpPr>
        <xdr:cNvPr id="24" name="Line 114">
          <a:extLst>
            <a:ext uri="{FF2B5EF4-FFF2-40B4-BE49-F238E27FC236}">
              <a16:creationId xmlns:a16="http://schemas.microsoft.com/office/drawing/2014/main" id="{00000000-0008-0000-3400-000018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21</xdr:col>
      <xdr:colOff>0</xdr:colOff>
      <xdr:row>3</xdr:row>
      <xdr:rowOff>582893</xdr:rowOff>
    </xdr:from>
    <xdr:to>
      <xdr:col>23</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34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21</xdr:col>
      <xdr:colOff>0</xdr:colOff>
      <xdr:row>3</xdr:row>
      <xdr:rowOff>0</xdr:rowOff>
    </xdr:from>
    <xdr:to>
      <xdr:col>23</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34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20</xdr:col>
      <xdr:colOff>11206</xdr:colOff>
      <xdr:row>54</xdr:row>
      <xdr:rowOff>145676</xdr:rowOff>
    </xdr:to>
    <xdr:sp macro="" textlink="" fLocksText="0">
      <xdr:nvSpPr>
        <xdr:cNvPr id="28" name="Tekstvak 27">
          <a:extLst>
            <a:ext uri="{FF2B5EF4-FFF2-40B4-BE49-F238E27FC236}">
              <a16:creationId xmlns:a16="http://schemas.microsoft.com/office/drawing/2014/main" id="{00000000-0008-0000-3400-00001C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717183</xdr:rowOff>
    </xdr:from>
    <xdr:to>
      <xdr:col>2</xdr:col>
      <xdr:colOff>818031</xdr:colOff>
      <xdr:row>3</xdr:row>
      <xdr:rowOff>931775</xdr:rowOff>
    </xdr:to>
    <xdr:sp macro="" textlink="">
      <xdr:nvSpPr>
        <xdr:cNvPr id="29" name="Text Box 9">
          <a:extLst>
            <a:ext uri="{FF2B5EF4-FFF2-40B4-BE49-F238E27FC236}">
              <a16:creationId xmlns:a16="http://schemas.microsoft.com/office/drawing/2014/main" id="{00000000-0008-0000-3400-00001D000000}"/>
            </a:ext>
          </a:extLst>
        </xdr:cNvPr>
        <xdr:cNvSpPr txBox="1">
          <a:spLocks noChangeArrowheads="1"/>
        </xdr:cNvSpPr>
      </xdr:nvSpPr>
      <xdr:spPr bwMode="auto">
        <a:xfrm>
          <a:off x="455706" y="1568830"/>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18</xdr:col>
      <xdr:colOff>0</xdr:colOff>
      <xdr:row>3</xdr:row>
      <xdr:rowOff>0</xdr:rowOff>
    </xdr:from>
    <xdr:to>
      <xdr:col>19</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4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28</xdr:col>
      <xdr:colOff>9524</xdr:colOff>
      <xdr:row>19</xdr:row>
      <xdr:rowOff>25400</xdr:rowOff>
    </xdr:from>
    <xdr:to>
      <xdr:col>34</xdr:col>
      <xdr:colOff>609599</xdr:colOff>
      <xdr:row>51</xdr:row>
      <xdr:rowOff>215900</xdr:rowOff>
    </xdr:to>
    <xdr:graphicFrame macro="">
      <xdr:nvGraphicFramePr>
        <xdr:cNvPr id="2" name="Grafiek 17">
          <a:extLst>
            <a:ext uri="{FF2B5EF4-FFF2-40B4-BE49-F238E27FC236}">
              <a16:creationId xmlns:a16="http://schemas.microsoft.com/office/drawing/2014/main"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17</xdr:col>
          <xdr:colOff>228600</xdr:colOff>
          <xdr:row>7</xdr:row>
          <xdr:rowOff>19050</xdr:rowOff>
        </xdr:from>
        <xdr:to>
          <xdr:col>17</xdr:col>
          <xdr:colOff>584200</xdr:colOff>
          <xdr:row>7</xdr:row>
          <xdr:rowOff>228600</xdr:rowOff>
        </xdr:to>
        <xdr:sp macro="" textlink="">
          <xdr:nvSpPr>
            <xdr:cNvPr id="86017" name="Option Button 1" hidden="1">
              <a:extLst>
                <a:ext uri="{63B3BB69-23CF-44E3-9099-C40C66FF867C}">
                  <a14:compatExt spid="_x0000_s86017"/>
                </a:ext>
                <a:ext uri="{FF2B5EF4-FFF2-40B4-BE49-F238E27FC236}">
                  <a16:creationId xmlns:a16="http://schemas.microsoft.com/office/drawing/2014/main" id="{00000000-0008-0000-35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8</xdr:row>
          <xdr:rowOff>19050</xdr:rowOff>
        </xdr:from>
        <xdr:to>
          <xdr:col>17</xdr:col>
          <xdr:colOff>584200</xdr:colOff>
          <xdr:row>8</xdr:row>
          <xdr:rowOff>228600</xdr:rowOff>
        </xdr:to>
        <xdr:sp macro="" textlink="">
          <xdr:nvSpPr>
            <xdr:cNvPr id="86018" name="Option Button 2" hidden="1">
              <a:extLst>
                <a:ext uri="{63B3BB69-23CF-44E3-9099-C40C66FF867C}">
                  <a14:compatExt spid="_x0000_s86018"/>
                </a:ext>
                <a:ext uri="{FF2B5EF4-FFF2-40B4-BE49-F238E27FC236}">
                  <a16:creationId xmlns:a16="http://schemas.microsoft.com/office/drawing/2014/main" id="{00000000-0008-0000-35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9</xdr:row>
          <xdr:rowOff>12700</xdr:rowOff>
        </xdr:from>
        <xdr:to>
          <xdr:col>17</xdr:col>
          <xdr:colOff>584200</xdr:colOff>
          <xdr:row>9</xdr:row>
          <xdr:rowOff>228600</xdr:rowOff>
        </xdr:to>
        <xdr:sp macro="" textlink="">
          <xdr:nvSpPr>
            <xdr:cNvPr id="86019" name="Option Button 3" hidden="1">
              <a:extLst>
                <a:ext uri="{63B3BB69-23CF-44E3-9099-C40C66FF867C}">
                  <a14:compatExt spid="_x0000_s86019"/>
                </a:ext>
                <a:ext uri="{FF2B5EF4-FFF2-40B4-BE49-F238E27FC236}">
                  <a16:creationId xmlns:a16="http://schemas.microsoft.com/office/drawing/2014/main" id="{00000000-0008-0000-35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10</xdr:row>
          <xdr:rowOff>12700</xdr:rowOff>
        </xdr:from>
        <xdr:to>
          <xdr:col>17</xdr:col>
          <xdr:colOff>584200</xdr:colOff>
          <xdr:row>10</xdr:row>
          <xdr:rowOff>228600</xdr:rowOff>
        </xdr:to>
        <xdr:sp macro="" textlink="">
          <xdr:nvSpPr>
            <xdr:cNvPr id="86020" name="Option Button 4" hidden="1">
              <a:extLst>
                <a:ext uri="{63B3BB69-23CF-44E3-9099-C40C66FF867C}">
                  <a14:compatExt spid="_x0000_s86020"/>
                </a:ext>
                <a:ext uri="{FF2B5EF4-FFF2-40B4-BE49-F238E27FC236}">
                  <a16:creationId xmlns:a16="http://schemas.microsoft.com/office/drawing/2014/main" id="{00000000-0008-0000-35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13</xdr:row>
          <xdr:rowOff>19050</xdr:rowOff>
        </xdr:from>
        <xdr:to>
          <xdr:col>3</xdr:col>
          <xdr:colOff>412750</xdr:colOff>
          <xdr:row>13</xdr:row>
          <xdr:rowOff>228600</xdr:rowOff>
        </xdr:to>
        <xdr:sp macro="" textlink="">
          <xdr:nvSpPr>
            <xdr:cNvPr id="86021" name="Option Button 5" hidden="1">
              <a:extLst>
                <a:ext uri="{63B3BB69-23CF-44E3-9099-C40C66FF867C}">
                  <a14:compatExt spid="_x0000_s86021"/>
                </a:ext>
                <a:ext uri="{FF2B5EF4-FFF2-40B4-BE49-F238E27FC236}">
                  <a16:creationId xmlns:a16="http://schemas.microsoft.com/office/drawing/2014/main" id="{00000000-0008-0000-35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247650</xdr:rowOff>
        </xdr:from>
        <xdr:to>
          <xdr:col>27</xdr:col>
          <xdr:colOff>0</xdr:colOff>
          <xdr:row>11</xdr:row>
          <xdr:rowOff>0</xdr:rowOff>
        </xdr:to>
        <xdr:sp macro="" textlink="">
          <xdr:nvSpPr>
            <xdr:cNvPr id="86022" name="Group Box 6" hidden="1">
              <a:extLst>
                <a:ext uri="{63B3BB69-23CF-44E3-9099-C40C66FF867C}">
                  <a14:compatExt spid="_x0000_s86022"/>
                </a:ext>
                <a:ext uri="{FF2B5EF4-FFF2-40B4-BE49-F238E27FC236}">
                  <a16:creationId xmlns:a16="http://schemas.microsoft.com/office/drawing/2014/main" id="{00000000-0008-0000-3500-00000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13</xdr:row>
          <xdr:rowOff>19050</xdr:rowOff>
        </xdr:from>
        <xdr:to>
          <xdr:col>4</xdr:col>
          <xdr:colOff>412750</xdr:colOff>
          <xdr:row>13</xdr:row>
          <xdr:rowOff>228600</xdr:rowOff>
        </xdr:to>
        <xdr:sp macro="" textlink="">
          <xdr:nvSpPr>
            <xdr:cNvPr id="86023" name="Option Button 7" hidden="1">
              <a:extLst>
                <a:ext uri="{63B3BB69-23CF-44E3-9099-C40C66FF867C}">
                  <a14:compatExt spid="_x0000_s86023"/>
                </a:ext>
                <a:ext uri="{FF2B5EF4-FFF2-40B4-BE49-F238E27FC236}">
                  <a16:creationId xmlns:a16="http://schemas.microsoft.com/office/drawing/2014/main" id="{00000000-0008-0000-35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13</xdr:row>
          <xdr:rowOff>19050</xdr:rowOff>
        </xdr:from>
        <xdr:to>
          <xdr:col>5</xdr:col>
          <xdr:colOff>412750</xdr:colOff>
          <xdr:row>13</xdr:row>
          <xdr:rowOff>228600</xdr:rowOff>
        </xdr:to>
        <xdr:sp macro="" textlink="">
          <xdr:nvSpPr>
            <xdr:cNvPr id="86024" name="Option Button 8" hidden="1">
              <a:extLst>
                <a:ext uri="{63B3BB69-23CF-44E3-9099-C40C66FF867C}">
                  <a14:compatExt spid="_x0000_s86024"/>
                </a:ext>
                <a:ext uri="{FF2B5EF4-FFF2-40B4-BE49-F238E27FC236}">
                  <a16:creationId xmlns:a16="http://schemas.microsoft.com/office/drawing/2014/main" id="{00000000-0008-0000-35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13</xdr:row>
          <xdr:rowOff>19050</xdr:rowOff>
        </xdr:from>
        <xdr:to>
          <xdr:col>6</xdr:col>
          <xdr:colOff>412750</xdr:colOff>
          <xdr:row>13</xdr:row>
          <xdr:rowOff>228600</xdr:rowOff>
        </xdr:to>
        <xdr:sp macro="" textlink="">
          <xdr:nvSpPr>
            <xdr:cNvPr id="86025" name="Option Button 9" hidden="1">
              <a:extLst>
                <a:ext uri="{63B3BB69-23CF-44E3-9099-C40C66FF867C}">
                  <a14:compatExt spid="_x0000_s86025"/>
                </a:ext>
                <a:ext uri="{FF2B5EF4-FFF2-40B4-BE49-F238E27FC236}">
                  <a16:creationId xmlns:a16="http://schemas.microsoft.com/office/drawing/2014/main" id="{00000000-0008-0000-35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14</xdr:row>
          <xdr:rowOff>19050</xdr:rowOff>
        </xdr:from>
        <xdr:to>
          <xdr:col>3</xdr:col>
          <xdr:colOff>412750</xdr:colOff>
          <xdr:row>14</xdr:row>
          <xdr:rowOff>228600</xdr:rowOff>
        </xdr:to>
        <xdr:sp macro="" textlink="">
          <xdr:nvSpPr>
            <xdr:cNvPr id="86026" name="Option Button 10" hidden="1">
              <a:extLst>
                <a:ext uri="{63B3BB69-23CF-44E3-9099-C40C66FF867C}">
                  <a14:compatExt spid="_x0000_s86026"/>
                </a:ext>
                <a:ext uri="{FF2B5EF4-FFF2-40B4-BE49-F238E27FC236}">
                  <a16:creationId xmlns:a16="http://schemas.microsoft.com/office/drawing/2014/main" id="{00000000-0008-0000-35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14</xdr:row>
          <xdr:rowOff>19050</xdr:rowOff>
        </xdr:from>
        <xdr:to>
          <xdr:col>4</xdr:col>
          <xdr:colOff>412750</xdr:colOff>
          <xdr:row>14</xdr:row>
          <xdr:rowOff>228600</xdr:rowOff>
        </xdr:to>
        <xdr:sp macro="" textlink="">
          <xdr:nvSpPr>
            <xdr:cNvPr id="86027" name="Option Button 11" hidden="1">
              <a:extLst>
                <a:ext uri="{63B3BB69-23CF-44E3-9099-C40C66FF867C}">
                  <a14:compatExt spid="_x0000_s86027"/>
                </a:ext>
                <a:ext uri="{FF2B5EF4-FFF2-40B4-BE49-F238E27FC236}">
                  <a16:creationId xmlns:a16="http://schemas.microsoft.com/office/drawing/2014/main" id="{00000000-0008-0000-35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14</xdr:row>
          <xdr:rowOff>19050</xdr:rowOff>
        </xdr:from>
        <xdr:to>
          <xdr:col>5</xdr:col>
          <xdr:colOff>412750</xdr:colOff>
          <xdr:row>14</xdr:row>
          <xdr:rowOff>228600</xdr:rowOff>
        </xdr:to>
        <xdr:sp macro="" textlink="">
          <xdr:nvSpPr>
            <xdr:cNvPr id="86028" name="Option Button 12" hidden="1">
              <a:extLst>
                <a:ext uri="{63B3BB69-23CF-44E3-9099-C40C66FF867C}">
                  <a14:compatExt spid="_x0000_s86028"/>
                </a:ext>
                <a:ext uri="{FF2B5EF4-FFF2-40B4-BE49-F238E27FC236}">
                  <a16:creationId xmlns:a16="http://schemas.microsoft.com/office/drawing/2014/main" id="{00000000-0008-0000-35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14</xdr:row>
          <xdr:rowOff>19050</xdr:rowOff>
        </xdr:from>
        <xdr:to>
          <xdr:col>6</xdr:col>
          <xdr:colOff>412750</xdr:colOff>
          <xdr:row>14</xdr:row>
          <xdr:rowOff>228600</xdr:rowOff>
        </xdr:to>
        <xdr:sp macro="" textlink="">
          <xdr:nvSpPr>
            <xdr:cNvPr id="86029" name="Option Button 13" hidden="1">
              <a:extLst>
                <a:ext uri="{63B3BB69-23CF-44E3-9099-C40C66FF867C}">
                  <a14:compatExt spid="_x0000_s86029"/>
                </a:ext>
                <a:ext uri="{FF2B5EF4-FFF2-40B4-BE49-F238E27FC236}">
                  <a16:creationId xmlns:a16="http://schemas.microsoft.com/office/drawing/2014/main" id="{00000000-0008-0000-35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15</xdr:row>
          <xdr:rowOff>19050</xdr:rowOff>
        </xdr:from>
        <xdr:to>
          <xdr:col>3</xdr:col>
          <xdr:colOff>412750</xdr:colOff>
          <xdr:row>15</xdr:row>
          <xdr:rowOff>228600</xdr:rowOff>
        </xdr:to>
        <xdr:sp macro="" textlink="">
          <xdr:nvSpPr>
            <xdr:cNvPr id="86030" name="Option Button 14" hidden="1">
              <a:extLst>
                <a:ext uri="{63B3BB69-23CF-44E3-9099-C40C66FF867C}">
                  <a14:compatExt spid="_x0000_s86030"/>
                </a:ext>
                <a:ext uri="{FF2B5EF4-FFF2-40B4-BE49-F238E27FC236}">
                  <a16:creationId xmlns:a16="http://schemas.microsoft.com/office/drawing/2014/main" id="{00000000-0008-0000-35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15</xdr:row>
          <xdr:rowOff>19050</xdr:rowOff>
        </xdr:from>
        <xdr:to>
          <xdr:col>4</xdr:col>
          <xdr:colOff>412750</xdr:colOff>
          <xdr:row>15</xdr:row>
          <xdr:rowOff>228600</xdr:rowOff>
        </xdr:to>
        <xdr:sp macro="" textlink="">
          <xdr:nvSpPr>
            <xdr:cNvPr id="86031" name="Option Button 15" hidden="1">
              <a:extLst>
                <a:ext uri="{63B3BB69-23CF-44E3-9099-C40C66FF867C}">
                  <a14:compatExt spid="_x0000_s86031"/>
                </a:ext>
                <a:ext uri="{FF2B5EF4-FFF2-40B4-BE49-F238E27FC236}">
                  <a16:creationId xmlns:a16="http://schemas.microsoft.com/office/drawing/2014/main" id="{00000000-0008-0000-35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15</xdr:row>
          <xdr:rowOff>19050</xdr:rowOff>
        </xdr:from>
        <xdr:to>
          <xdr:col>5</xdr:col>
          <xdr:colOff>412750</xdr:colOff>
          <xdr:row>15</xdr:row>
          <xdr:rowOff>228600</xdr:rowOff>
        </xdr:to>
        <xdr:sp macro="" textlink="">
          <xdr:nvSpPr>
            <xdr:cNvPr id="86032" name="Option Button 16" hidden="1">
              <a:extLst>
                <a:ext uri="{63B3BB69-23CF-44E3-9099-C40C66FF867C}">
                  <a14:compatExt spid="_x0000_s86032"/>
                </a:ext>
                <a:ext uri="{FF2B5EF4-FFF2-40B4-BE49-F238E27FC236}">
                  <a16:creationId xmlns:a16="http://schemas.microsoft.com/office/drawing/2014/main" id="{00000000-0008-0000-35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15</xdr:row>
          <xdr:rowOff>19050</xdr:rowOff>
        </xdr:from>
        <xdr:to>
          <xdr:col>6</xdr:col>
          <xdr:colOff>412750</xdr:colOff>
          <xdr:row>15</xdr:row>
          <xdr:rowOff>228600</xdr:rowOff>
        </xdr:to>
        <xdr:sp macro="" textlink="">
          <xdr:nvSpPr>
            <xdr:cNvPr id="86033" name="Option Button 17" hidden="1">
              <a:extLst>
                <a:ext uri="{63B3BB69-23CF-44E3-9099-C40C66FF867C}">
                  <a14:compatExt spid="_x0000_s86033"/>
                </a:ext>
                <a:ext uri="{FF2B5EF4-FFF2-40B4-BE49-F238E27FC236}">
                  <a16:creationId xmlns:a16="http://schemas.microsoft.com/office/drawing/2014/main" id="{00000000-0008-0000-35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16</xdr:row>
          <xdr:rowOff>19050</xdr:rowOff>
        </xdr:from>
        <xdr:to>
          <xdr:col>3</xdr:col>
          <xdr:colOff>412750</xdr:colOff>
          <xdr:row>16</xdr:row>
          <xdr:rowOff>228600</xdr:rowOff>
        </xdr:to>
        <xdr:sp macro="" textlink="">
          <xdr:nvSpPr>
            <xdr:cNvPr id="86034" name="Option Button 18" hidden="1">
              <a:extLst>
                <a:ext uri="{63B3BB69-23CF-44E3-9099-C40C66FF867C}">
                  <a14:compatExt spid="_x0000_s86034"/>
                </a:ext>
                <a:ext uri="{FF2B5EF4-FFF2-40B4-BE49-F238E27FC236}">
                  <a16:creationId xmlns:a16="http://schemas.microsoft.com/office/drawing/2014/main" id="{00000000-0008-0000-35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16</xdr:row>
          <xdr:rowOff>19050</xdr:rowOff>
        </xdr:from>
        <xdr:to>
          <xdr:col>4</xdr:col>
          <xdr:colOff>412750</xdr:colOff>
          <xdr:row>16</xdr:row>
          <xdr:rowOff>228600</xdr:rowOff>
        </xdr:to>
        <xdr:sp macro="" textlink="">
          <xdr:nvSpPr>
            <xdr:cNvPr id="86035" name="Option Button 19" hidden="1">
              <a:extLst>
                <a:ext uri="{63B3BB69-23CF-44E3-9099-C40C66FF867C}">
                  <a14:compatExt spid="_x0000_s86035"/>
                </a:ext>
                <a:ext uri="{FF2B5EF4-FFF2-40B4-BE49-F238E27FC236}">
                  <a16:creationId xmlns:a16="http://schemas.microsoft.com/office/drawing/2014/main" id="{00000000-0008-0000-35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16</xdr:row>
          <xdr:rowOff>19050</xdr:rowOff>
        </xdr:from>
        <xdr:to>
          <xdr:col>5</xdr:col>
          <xdr:colOff>412750</xdr:colOff>
          <xdr:row>16</xdr:row>
          <xdr:rowOff>228600</xdr:rowOff>
        </xdr:to>
        <xdr:sp macro="" textlink="">
          <xdr:nvSpPr>
            <xdr:cNvPr id="86036" name="Option Button 20" hidden="1">
              <a:extLst>
                <a:ext uri="{63B3BB69-23CF-44E3-9099-C40C66FF867C}">
                  <a14:compatExt spid="_x0000_s86036"/>
                </a:ext>
                <a:ext uri="{FF2B5EF4-FFF2-40B4-BE49-F238E27FC236}">
                  <a16:creationId xmlns:a16="http://schemas.microsoft.com/office/drawing/2014/main" id="{00000000-0008-0000-35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16</xdr:row>
          <xdr:rowOff>19050</xdr:rowOff>
        </xdr:from>
        <xdr:to>
          <xdr:col>6</xdr:col>
          <xdr:colOff>412750</xdr:colOff>
          <xdr:row>16</xdr:row>
          <xdr:rowOff>228600</xdr:rowOff>
        </xdr:to>
        <xdr:sp macro="" textlink="">
          <xdr:nvSpPr>
            <xdr:cNvPr id="86037" name="Option Button 21" hidden="1">
              <a:extLst>
                <a:ext uri="{63B3BB69-23CF-44E3-9099-C40C66FF867C}">
                  <a14:compatExt spid="_x0000_s86037"/>
                </a:ext>
                <a:ext uri="{FF2B5EF4-FFF2-40B4-BE49-F238E27FC236}">
                  <a16:creationId xmlns:a16="http://schemas.microsoft.com/office/drawing/2014/main" id="{00000000-0008-0000-35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17</xdr:row>
          <xdr:rowOff>19050</xdr:rowOff>
        </xdr:from>
        <xdr:to>
          <xdr:col>3</xdr:col>
          <xdr:colOff>412750</xdr:colOff>
          <xdr:row>17</xdr:row>
          <xdr:rowOff>228600</xdr:rowOff>
        </xdr:to>
        <xdr:sp macro="" textlink="">
          <xdr:nvSpPr>
            <xdr:cNvPr id="86038" name="Option Button 22" hidden="1">
              <a:extLst>
                <a:ext uri="{63B3BB69-23CF-44E3-9099-C40C66FF867C}">
                  <a14:compatExt spid="_x0000_s86038"/>
                </a:ext>
                <a:ext uri="{FF2B5EF4-FFF2-40B4-BE49-F238E27FC236}">
                  <a16:creationId xmlns:a16="http://schemas.microsoft.com/office/drawing/2014/main" id="{00000000-0008-0000-35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17</xdr:row>
          <xdr:rowOff>19050</xdr:rowOff>
        </xdr:from>
        <xdr:to>
          <xdr:col>4</xdr:col>
          <xdr:colOff>412750</xdr:colOff>
          <xdr:row>17</xdr:row>
          <xdr:rowOff>228600</xdr:rowOff>
        </xdr:to>
        <xdr:sp macro="" textlink="">
          <xdr:nvSpPr>
            <xdr:cNvPr id="86039" name="Option Button 23" hidden="1">
              <a:extLst>
                <a:ext uri="{63B3BB69-23CF-44E3-9099-C40C66FF867C}">
                  <a14:compatExt spid="_x0000_s86039"/>
                </a:ext>
                <a:ext uri="{FF2B5EF4-FFF2-40B4-BE49-F238E27FC236}">
                  <a16:creationId xmlns:a16="http://schemas.microsoft.com/office/drawing/2014/main" id="{00000000-0008-0000-35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17</xdr:row>
          <xdr:rowOff>19050</xdr:rowOff>
        </xdr:from>
        <xdr:to>
          <xdr:col>5</xdr:col>
          <xdr:colOff>412750</xdr:colOff>
          <xdr:row>17</xdr:row>
          <xdr:rowOff>228600</xdr:rowOff>
        </xdr:to>
        <xdr:sp macro="" textlink="">
          <xdr:nvSpPr>
            <xdr:cNvPr id="86040" name="Option Button 24" hidden="1">
              <a:extLst>
                <a:ext uri="{63B3BB69-23CF-44E3-9099-C40C66FF867C}">
                  <a14:compatExt spid="_x0000_s86040"/>
                </a:ext>
                <a:ext uri="{FF2B5EF4-FFF2-40B4-BE49-F238E27FC236}">
                  <a16:creationId xmlns:a16="http://schemas.microsoft.com/office/drawing/2014/main" id="{00000000-0008-0000-35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17</xdr:row>
          <xdr:rowOff>19050</xdr:rowOff>
        </xdr:from>
        <xdr:to>
          <xdr:col>6</xdr:col>
          <xdr:colOff>412750</xdr:colOff>
          <xdr:row>17</xdr:row>
          <xdr:rowOff>228600</xdr:rowOff>
        </xdr:to>
        <xdr:sp macro="" textlink="">
          <xdr:nvSpPr>
            <xdr:cNvPr id="86041" name="Option Button 25" hidden="1">
              <a:extLst>
                <a:ext uri="{63B3BB69-23CF-44E3-9099-C40C66FF867C}">
                  <a14:compatExt spid="_x0000_s86041"/>
                </a:ext>
                <a:ext uri="{FF2B5EF4-FFF2-40B4-BE49-F238E27FC236}">
                  <a16:creationId xmlns:a16="http://schemas.microsoft.com/office/drawing/2014/main" id="{00000000-0008-0000-3500-00001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xdr:row>
          <xdr:rowOff>19050</xdr:rowOff>
        </xdr:from>
        <xdr:to>
          <xdr:col>3</xdr:col>
          <xdr:colOff>412750</xdr:colOff>
          <xdr:row>18</xdr:row>
          <xdr:rowOff>228600</xdr:rowOff>
        </xdr:to>
        <xdr:sp macro="" textlink="">
          <xdr:nvSpPr>
            <xdr:cNvPr id="86042" name="Option Button 26" hidden="1">
              <a:extLst>
                <a:ext uri="{63B3BB69-23CF-44E3-9099-C40C66FF867C}">
                  <a14:compatExt spid="_x0000_s86042"/>
                </a:ext>
                <a:ext uri="{FF2B5EF4-FFF2-40B4-BE49-F238E27FC236}">
                  <a16:creationId xmlns:a16="http://schemas.microsoft.com/office/drawing/2014/main" id="{00000000-0008-0000-3500-00001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18</xdr:row>
          <xdr:rowOff>19050</xdr:rowOff>
        </xdr:from>
        <xdr:to>
          <xdr:col>4</xdr:col>
          <xdr:colOff>412750</xdr:colOff>
          <xdr:row>18</xdr:row>
          <xdr:rowOff>228600</xdr:rowOff>
        </xdr:to>
        <xdr:sp macro="" textlink="">
          <xdr:nvSpPr>
            <xdr:cNvPr id="86043" name="Option Button 27" hidden="1">
              <a:extLst>
                <a:ext uri="{63B3BB69-23CF-44E3-9099-C40C66FF867C}">
                  <a14:compatExt spid="_x0000_s86043"/>
                </a:ext>
                <a:ext uri="{FF2B5EF4-FFF2-40B4-BE49-F238E27FC236}">
                  <a16:creationId xmlns:a16="http://schemas.microsoft.com/office/drawing/2014/main" id="{00000000-0008-0000-3500-00001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18</xdr:row>
          <xdr:rowOff>19050</xdr:rowOff>
        </xdr:from>
        <xdr:to>
          <xdr:col>5</xdr:col>
          <xdr:colOff>412750</xdr:colOff>
          <xdr:row>18</xdr:row>
          <xdr:rowOff>228600</xdr:rowOff>
        </xdr:to>
        <xdr:sp macro="" textlink="">
          <xdr:nvSpPr>
            <xdr:cNvPr id="86044" name="Option Button 28" hidden="1">
              <a:extLst>
                <a:ext uri="{63B3BB69-23CF-44E3-9099-C40C66FF867C}">
                  <a14:compatExt spid="_x0000_s86044"/>
                </a:ext>
                <a:ext uri="{FF2B5EF4-FFF2-40B4-BE49-F238E27FC236}">
                  <a16:creationId xmlns:a16="http://schemas.microsoft.com/office/drawing/2014/main" id="{00000000-0008-0000-3500-00001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18</xdr:row>
          <xdr:rowOff>19050</xdr:rowOff>
        </xdr:from>
        <xdr:to>
          <xdr:col>6</xdr:col>
          <xdr:colOff>412750</xdr:colOff>
          <xdr:row>18</xdr:row>
          <xdr:rowOff>228600</xdr:rowOff>
        </xdr:to>
        <xdr:sp macro="" textlink="">
          <xdr:nvSpPr>
            <xdr:cNvPr id="86045" name="Option Button 29" hidden="1">
              <a:extLst>
                <a:ext uri="{63B3BB69-23CF-44E3-9099-C40C66FF867C}">
                  <a14:compatExt spid="_x0000_s86045"/>
                </a:ext>
                <a:ext uri="{FF2B5EF4-FFF2-40B4-BE49-F238E27FC236}">
                  <a16:creationId xmlns:a16="http://schemas.microsoft.com/office/drawing/2014/main" id="{00000000-0008-0000-3500-00001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19</xdr:row>
          <xdr:rowOff>19050</xdr:rowOff>
        </xdr:from>
        <xdr:to>
          <xdr:col>3</xdr:col>
          <xdr:colOff>412750</xdr:colOff>
          <xdr:row>19</xdr:row>
          <xdr:rowOff>228600</xdr:rowOff>
        </xdr:to>
        <xdr:sp macro="" textlink="">
          <xdr:nvSpPr>
            <xdr:cNvPr id="86046" name="Option Button 30" hidden="1">
              <a:extLst>
                <a:ext uri="{63B3BB69-23CF-44E3-9099-C40C66FF867C}">
                  <a14:compatExt spid="_x0000_s86046"/>
                </a:ext>
                <a:ext uri="{FF2B5EF4-FFF2-40B4-BE49-F238E27FC236}">
                  <a16:creationId xmlns:a16="http://schemas.microsoft.com/office/drawing/2014/main" id="{00000000-0008-0000-3500-00001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19</xdr:row>
          <xdr:rowOff>19050</xdr:rowOff>
        </xdr:from>
        <xdr:to>
          <xdr:col>4</xdr:col>
          <xdr:colOff>412750</xdr:colOff>
          <xdr:row>19</xdr:row>
          <xdr:rowOff>228600</xdr:rowOff>
        </xdr:to>
        <xdr:sp macro="" textlink="">
          <xdr:nvSpPr>
            <xdr:cNvPr id="86047" name="Option Button 31" hidden="1">
              <a:extLst>
                <a:ext uri="{63B3BB69-23CF-44E3-9099-C40C66FF867C}">
                  <a14:compatExt spid="_x0000_s86047"/>
                </a:ext>
                <a:ext uri="{FF2B5EF4-FFF2-40B4-BE49-F238E27FC236}">
                  <a16:creationId xmlns:a16="http://schemas.microsoft.com/office/drawing/2014/main" id="{00000000-0008-0000-3500-00001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19</xdr:row>
          <xdr:rowOff>19050</xdr:rowOff>
        </xdr:from>
        <xdr:to>
          <xdr:col>5</xdr:col>
          <xdr:colOff>412750</xdr:colOff>
          <xdr:row>19</xdr:row>
          <xdr:rowOff>228600</xdr:rowOff>
        </xdr:to>
        <xdr:sp macro="" textlink="">
          <xdr:nvSpPr>
            <xdr:cNvPr id="86048" name="Option Button 32" hidden="1">
              <a:extLst>
                <a:ext uri="{63B3BB69-23CF-44E3-9099-C40C66FF867C}">
                  <a14:compatExt spid="_x0000_s86048"/>
                </a:ext>
                <a:ext uri="{FF2B5EF4-FFF2-40B4-BE49-F238E27FC236}">
                  <a16:creationId xmlns:a16="http://schemas.microsoft.com/office/drawing/2014/main" id="{00000000-0008-0000-3500-00002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19</xdr:row>
          <xdr:rowOff>19050</xdr:rowOff>
        </xdr:from>
        <xdr:to>
          <xdr:col>6</xdr:col>
          <xdr:colOff>412750</xdr:colOff>
          <xdr:row>19</xdr:row>
          <xdr:rowOff>228600</xdr:rowOff>
        </xdr:to>
        <xdr:sp macro="" textlink="">
          <xdr:nvSpPr>
            <xdr:cNvPr id="86049" name="Option Button 33" hidden="1">
              <a:extLst>
                <a:ext uri="{63B3BB69-23CF-44E3-9099-C40C66FF867C}">
                  <a14:compatExt spid="_x0000_s86049"/>
                </a:ext>
                <a:ext uri="{FF2B5EF4-FFF2-40B4-BE49-F238E27FC236}">
                  <a16:creationId xmlns:a16="http://schemas.microsoft.com/office/drawing/2014/main" id="{00000000-0008-0000-3500-00002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20</xdr:row>
          <xdr:rowOff>19050</xdr:rowOff>
        </xdr:from>
        <xdr:to>
          <xdr:col>3</xdr:col>
          <xdr:colOff>412750</xdr:colOff>
          <xdr:row>20</xdr:row>
          <xdr:rowOff>228600</xdr:rowOff>
        </xdr:to>
        <xdr:sp macro="" textlink="">
          <xdr:nvSpPr>
            <xdr:cNvPr id="86050" name="Option Button 34" hidden="1">
              <a:extLst>
                <a:ext uri="{63B3BB69-23CF-44E3-9099-C40C66FF867C}">
                  <a14:compatExt spid="_x0000_s86050"/>
                </a:ext>
                <a:ext uri="{FF2B5EF4-FFF2-40B4-BE49-F238E27FC236}">
                  <a16:creationId xmlns:a16="http://schemas.microsoft.com/office/drawing/2014/main" id="{00000000-0008-0000-3500-00002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20</xdr:row>
          <xdr:rowOff>19050</xdr:rowOff>
        </xdr:from>
        <xdr:to>
          <xdr:col>4</xdr:col>
          <xdr:colOff>412750</xdr:colOff>
          <xdr:row>20</xdr:row>
          <xdr:rowOff>228600</xdr:rowOff>
        </xdr:to>
        <xdr:sp macro="" textlink="">
          <xdr:nvSpPr>
            <xdr:cNvPr id="86051" name="Option Button 35" hidden="1">
              <a:extLst>
                <a:ext uri="{63B3BB69-23CF-44E3-9099-C40C66FF867C}">
                  <a14:compatExt spid="_x0000_s86051"/>
                </a:ext>
                <a:ext uri="{FF2B5EF4-FFF2-40B4-BE49-F238E27FC236}">
                  <a16:creationId xmlns:a16="http://schemas.microsoft.com/office/drawing/2014/main" id="{00000000-0008-0000-3500-00002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20</xdr:row>
          <xdr:rowOff>19050</xdr:rowOff>
        </xdr:from>
        <xdr:to>
          <xdr:col>5</xdr:col>
          <xdr:colOff>412750</xdr:colOff>
          <xdr:row>20</xdr:row>
          <xdr:rowOff>228600</xdr:rowOff>
        </xdr:to>
        <xdr:sp macro="" textlink="">
          <xdr:nvSpPr>
            <xdr:cNvPr id="86052" name="Option Button 36" hidden="1">
              <a:extLst>
                <a:ext uri="{63B3BB69-23CF-44E3-9099-C40C66FF867C}">
                  <a14:compatExt spid="_x0000_s86052"/>
                </a:ext>
                <a:ext uri="{FF2B5EF4-FFF2-40B4-BE49-F238E27FC236}">
                  <a16:creationId xmlns:a16="http://schemas.microsoft.com/office/drawing/2014/main" id="{00000000-0008-0000-3500-00002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20</xdr:row>
          <xdr:rowOff>19050</xdr:rowOff>
        </xdr:from>
        <xdr:to>
          <xdr:col>6</xdr:col>
          <xdr:colOff>412750</xdr:colOff>
          <xdr:row>20</xdr:row>
          <xdr:rowOff>228600</xdr:rowOff>
        </xdr:to>
        <xdr:sp macro="" textlink="">
          <xdr:nvSpPr>
            <xdr:cNvPr id="86053" name="Option Button 37" hidden="1">
              <a:extLst>
                <a:ext uri="{63B3BB69-23CF-44E3-9099-C40C66FF867C}">
                  <a14:compatExt spid="_x0000_s86053"/>
                </a:ext>
                <a:ext uri="{FF2B5EF4-FFF2-40B4-BE49-F238E27FC236}">
                  <a16:creationId xmlns:a16="http://schemas.microsoft.com/office/drawing/2014/main" id="{00000000-0008-0000-3500-00002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21</xdr:row>
          <xdr:rowOff>19050</xdr:rowOff>
        </xdr:from>
        <xdr:to>
          <xdr:col>3</xdr:col>
          <xdr:colOff>412750</xdr:colOff>
          <xdr:row>21</xdr:row>
          <xdr:rowOff>228600</xdr:rowOff>
        </xdr:to>
        <xdr:sp macro="" textlink="">
          <xdr:nvSpPr>
            <xdr:cNvPr id="86054" name="Option Button 38" hidden="1">
              <a:extLst>
                <a:ext uri="{63B3BB69-23CF-44E3-9099-C40C66FF867C}">
                  <a14:compatExt spid="_x0000_s86054"/>
                </a:ext>
                <a:ext uri="{FF2B5EF4-FFF2-40B4-BE49-F238E27FC236}">
                  <a16:creationId xmlns:a16="http://schemas.microsoft.com/office/drawing/2014/main" id="{00000000-0008-0000-3500-00002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21</xdr:row>
          <xdr:rowOff>19050</xdr:rowOff>
        </xdr:from>
        <xdr:to>
          <xdr:col>4</xdr:col>
          <xdr:colOff>412750</xdr:colOff>
          <xdr:row>21</xdr:row>
          <xdr:rowOff>228600</xdr:rowOff>
        </xdr:to>
        <xdr:sp macro="" textlink="">
          <xdr:nvSpPr>
            <xdr:cNvPr id="86055" name="Option Button 39" hidden="1">
              <a:extLst>
                <a:ext uri="{63B3BB69-23CF-44E3-9099-C40C66FF867C}">
                  <a14:compatExt spid="_x0000_s86055"/>
                </a:ext>
                <a:ext uri="{FF2B5EF4-FFF2-40B4-BE49-F238E27FC236}">
                  <a16:creationId xmlns:a16="http://schemas.microsoft.com/office/drawing/2014/main" id="{00000000-0008-0000-3500-00002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21</xdr:row>
          <xdr:rowOff>19050</xdr:rowOff>
        </xdr:from>
        <xdr:to>
          <xdr:col>5</xdr:col>
          <xdr:colOff>412750</xdr:colOff>
          <xdr:row>21</xdr:row>
          <xdr:rowOff>228600</xdr:rowOff>
        </xdr:to>
        <xdr:sp macro="" textlink="">
          <xdr:nvSpPr>
            <xdr:cNvPr id="86056" name="Option Button 40" hidden="1">
              <a:extLst>
                <a:ext uri="{63B3BB69-23CF-44E3-9099-C40C66FF867C}">
                  <a14:compatExt spid="_x0000_s86056"/>
                </a:ext>
                <a:ext uri="{FF2B5EF4-FFF2-40B4-BE49-F238E27FC236}">
                  <a16:creationId xmlns:a16="http://schemas.microsoft.com/office/drawing/2014/main" id="{00000000-0008-0000-3500-00002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21</xdr:row>
          <xdr:rowOff>19050</xdr:rowOff>
        </xdr:from>
        <xdr:to>
          <xdr:col>6</xdr:col>
          <xdr:colOff>412750</xdr:colOff>
          <xdr:row>21</xdr:row>
          <xdr:rowOff>228600</xdr:rowOff>
        </xdr:to>
        <xdr:sp macro="" textlink="">
          <xdr:nvSpPr>
            <xdr:cNvPr id="86057" name="Option Button 41" hidden="1">
              <a:extLst>
                <a:ext uri="{63B3BB69-23CF-44E3-9099-C40C66FF867C}">
                  <a14:compatExt spid="_x0000_s86057"/>
                </a:ext>
                <a:ext uri="{FF2B5EF4-FFF2-40B4-BE49-F238E27FC236}">
                  <a16:creationId xmlns:a16="http://schemas.microsoft.com/office/drawing/2014/main" id="{00000000-0008-0000-3500-00002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22</xdr:row>
          <xdr:rowOff>19050</xdr:rowOff>
        </xdr:from>
        <xdr:to>
          <xdr:col>3</xdr:col>
          <xdr:colOff>412750</xdr:colOff>
          <xdr:row>22</xdr:row>
          <xdr:rowOff>228600</xdr:rowOff>
        </xdr:to>
        <xdr:sp macro="" textlink="">
          <xdr:nvSpPr>
            <xdr:cNvPr id="86058" name="Option Button 42" hidden="1">
              <a:extLst>
                <a:ext uri="{63B3BB69-23CF-44E3-9099-C40C66FF867C}">
                  <a14:compatExt spid="_x0000_s86058"/>
                </a:ext>
                <a:ext uri="{FF2B5EF4-FFF2-40B4-BE49-F238E27FC236}">
                  <a16:creationId xmlns:a16="http://schemas.microsoft.com/office/drawing/2014/main" id="{00000000-0008-0000-3500-00002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22</xdr:row>
          <xdr:rowOff>19050</xdr:rowOff>
        </xdr:from>
        <xdr:to>
          <xdr:col>4</xdr:col>
          <xdr:colOff>412750</xdr:colOff>
          <xdr:row>22</xdr:row>
          <xdr:rowOff>228600</xdr:rowOff>
        </xdr:to>
        <xdr:sp macro="" textlink="">
          <xdr:nvSpPr>
            <xdr:cNvPr id="86059" name="Option Button 43" hidden="1">
              <a:extLst>
                <a:ext uri="{63B3BB69-23CF-44E3-9099-C40C66FF867C}">
                  <a14:compatExt spid="_x0000_s86059"/>
                </a:ext>
                <a:ext uri="{FF2B5EF4-FFF2-40B4-BE49-F238E27FC236}">
                  <a16:creationId xmlns:a16="http://schemas.microsoft.com/office/drawing/2014/main" id="{00000000-0008-0000-3500-00002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22</xdr:row>
          <xdr:rowOff>19050</xdr:rowOff>
        </xdr:from>
        <xdr:to>
          <xdr:col>5</xdr:col>
          <xdr:colOff>412750</xdr:colOff>
          <xdr:row>22</xdr:row>
          <xdr:rowOff>228600</xdr:rowOff>
        </xdr:to>
        <xdr:sp macro="" textlink="">
          <xdr:nvSpPr>
            <xdr:cNvPr id="86060" name="Option Button 44" hidden="1">
              <a:extLst>
                <a:ext uri="{63B3BB69-23CF-44E3-9099-C40C66FF867C}">
                  <a14:compatExt spid="_x0000_s86060"/>
                </a:ext>
                <a:ext uri="{FF2B5EF4-FFF2-40B4-BE49-F238E27FC236}">
                  <a16:creationId xmlns:a16="http://schemas.microsoft.com/office/drawing/2014/main" id="{00000000-0008-0000-3500-00002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22</xdr:row>
          <xdr:rowOff>19050</xdr:rowOff>
        </xdr:from>
        <xdr:to>
          <xdr:col>6</xdr:col>
          <xdr:colOff>412750</xdr:colOff>
          <xdr:row>22</xdr:row>
          <xdr:rowOff>228600</xdr:rowOff>
        </xdr:to>
        <xdr:sp macro="" textlink="">
          <xdr:nvSpPr>
            <xdr:cNvPr id="86061" name="Option Button 45" hidden="1">
              <a:extLst>
                <a:ext uri="{63B3BB69-23CF-44E3-9099-C40C66FF867C}">
                  <a14:compatExt spid="_x0000_s86061"/>
                </a:ext>
                <a:ext uri="{FF2B5EF4-FFF2-40B4-BE49-F238E27FC236}">
                  <a16:creationId xmlns:a16="http://schemas.microsoft.com/office/drawing/2014/main" id="{00000000-0008-0000-3500-00002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23</xdr:row>
          <xdr:rowOff>19050</xdr:rowOff>
        </xdr:from>
        <xdr:to>
          <xdr:col>3</xdr:col>
          <xdr:colOff>412750</xdr:colOff>
          <xdr:row>23</xdr:row>
          <xdr:rowOff>228600</xdr:rowOff>
        </xdr:to>
        <xdr:sp macro="" textlink="">
          <xdr:nvSpPr>
            <xdr:cNvPr id="86062" name="Option Button 46" hidden="1">
              <a:extLst>
                <a:ext uri="{63B3BB69-23CF-44E3-9099-C40C66FF867C}">
                  <a14:compatExt spid="_x0000_s86062"/>
                </a:ext>
                <a:ext uri="{FF2B5EF4-FFF2-40B4-BE49-F238E27FC236}">
                  <a16:creationId xmlns:a16="http://schemas.microsoft.com/office/drawing/2014/main" id="{00000000-0008-0000-3500-00002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23</xdr:row>
          <xdr:rowOff>19050</xdr:rowOff>
        </xdr:from>
        <xdr:to>
          <xdr:col>4</xdr:col>
          <xdr:colOff>412750</xdr:colOff>
          <xdr:row>23</xdr:row>
          <xdr:rowOff>228600</xdr:rowOff>
        </xdr:to>
        <xdr:sp macro="" textlink="">
          <xdr:nvSpPr>
            <xdr:cNvPr id="86063" name="Option Button 47" hidden="1">
              <a:extLst>
                <a:ext uri="{63B3BB69-23CF-44E3-9099-C40C66FF867C}">
                  <a14:compatExt spid="_x0000_s86063"/>
                </a:ext>
                <a:ext uri="{FF2B5EF4-FFF2-40B4-BE49-F238E27FC236}">
                  <a16:creationId xmlns:a16="http://schemas.microsoft.com/office/drawing/2014/main" id="{00000000-0008-0000-3500-00002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23</xdr:row>
          <xdr:rowOff>19050</xdr:rowOff>
        </xdr:from>
        <xdr:to>
          <xdr:col>5</xdr:col>
          <xdr:colOff>412750</xdr:colOff>
          <xdr:row>23</xdr:row>
          <xdr:rowOff>228600</xdr:rowOff>
        </xdr:to>
        <xdr:sp macro="" textlink="">
          <xdr:nvSpPr>
            <xdr:cNvPr id="86064" name="Option Button 48" hidden="1">
              <a:extLst>
                <a:ext uri="{63B3BB69-23CF-44E3-9099-C40C66FF867C}">
                  <a14:compatExt spid="_x0000_s86064"/>
                </a:ext>
                <a:ext uri="{FF2B5EF4-FFF2-40B4-BE49-F238E27FC236}">
                  <a16:creationId xmlns:a16="http://schemas.microsoft.com/office/drawing/2014/main" id="{00000000-0008-0000-3500-00003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23</xdr:row>
          <xdr:rowOff>19050</xdr:rowOff>
        </xdr:from>
        <xdr:to>
          <xdr:col>6</xdr:col>
          <xdr:colOff>412750</xdr:colOff>
          <xdr:row>23</xdr:row>
          <xdr:rowOff>228600</xdr:rowOff>
        </xdr:to>
        <xdr:sp macro="" textlink="">
          <xdr:nvSpPr>
            <xdr:cNvPr id="86065" name="Option Button 49" hidden="1">
              <a:extLst>
                <a:ext uri="{63B3BB69-23CF-44E3-9099-C40C66FF867C}">
                  <a14:compatExt spid="_x0000_s86065"/>
                </a:ext>
                <a:ext uri="{FF2B5EF4-FFF2-40B4-BE49-F238E27FC236}">
                  <a16:creationId xmlns:a16="http://schemas.microsoft.com/office/drawing/2014/main" id="{00000000-0008-0000-3500-00003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24</xdr:row>
          <xdr:rowOff>19050</xdr:rowOff>
        </xdr:from>
        <xdr:to>
          <xdr:col>3</xdr:col>
          <xdr:colOff>412750</xdr:colOff>
          <xdr:row>24</xdr:row>
          <xdr:rowOff>228600</xdr:rowOff>
        </xdr:to>
        <xdr:sp macro="" textlink="">
          <xdr:nvSpPr>
            <xdr:cNvPr id="86066" name="Option Button 50" hidden="1">
              <a:extLst>
                <a:ext uri="{63B3BB69-23CF-44E3-9099-C40C66FF867C}">
                  <a14:compatExt spid="_x0000_s86066"/>
                </a:ext>
                <a:ext uri="{FF2B5EF4-FFF2-40B4-BE49-F238E27FC236}">
                  <a16:creationId xmlns:a16="http://schemas.microsoft.com/office/drawing/2014/main" id="{00000000-0008-0000-3500-00003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24</xdr:row>
          <xdr:rowOff>19050</xdr:rowOff>
        </xdr:from>
        <xdr:to>
          <xdr:col>4</xdr:col>
          <xdr:colOff>412750</xdr:colOff>
          <xdr:row>24</xdr:row>
          <xdr:rowOff>228600</xdr:rowOff>
        </xdr:to>
        <xdr:sp macro="" textlink="">
          <xdr:nvSpPr>
            <xdr:cNvPr id="86067" name="Option Button 51" hidden="1">
              <a:extLst>
                <a:ext uri="{63B3BB69-23CF-44E3-9099-C40C66FF867C}">
                  <a14:compatExt spid="_x0000_s86067"/>
                </a:ext>
                <a:ext uri="{FF2B5EF4-FFF2-40B4-BE49-F238E27FC236}">
                  <a16:creationId xmlns:a16="http://schemas.microsoft.com/office/drawing/2014/main" id="{00000000-0008-0000-3500-00003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24</xdr:row>
          <xdr:rowOff>19050</xdr:rowOff>
        </xdr:from>
        <xdr:to>
          <xdr:col>5</xdr:col>
          <xdr:colOff>412750</xdr:colOff>
          <xdr:row>24</xdr:row>
          <xdr:rowOff>228600</xdr:rowOff>
        </xdr:to>
        <xdr:sp macro="" textlink="">
          <xdr:nvSpPr>
            <xdr:cNvPr id="86068" name="Option Button 52" hidden="1">
              <a:extLst>
                <a:ext uri="{63B3BB69-23CF-44E3-9099-C40C66FF867C}">
                  <a14:compatExt spid="_x0000_s86068"/>
                </a:ext>
                <a:ext uri="{FF2B5EF4-FFF2-40B4-BE49-F238E27FC236}">
                  <a16:creationId xmlns:a16="http://schemas.microsoft.com/office/drawing/2014/main" id="{00000000-0008-0000-3500-00003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24</xdr:row>
          <xdr:rowOff>19050</xdr:rowOff>
        </xdr:from>
        <xdr:to>
          <xdr:col>6</xdr:col>
          <xdr:colOff>412750</xdr:colOff>
          <xdr:row>24</xdr:row>
          <xdr:rowOff>228600</xdr:rowOff>
        </xdr:to>
        <xdr:sp macro="" textlink="">
          <xdr:nvSpPr>
            <xdr:cNvPr id="86069" name="Option Button 53" hidden="1">
              <a:extLst>
                <a:ext uri="{63B3BB69-23CF-44E3-9099-C40C66FF867C}">
                  <a14:compatExt spid="_x0000_s86069"/>
                </a:ext>
                <a:ext uri="{FF2B5EF4-FFF2-40B4-BE49-F238E27FC236}">
                  <a16:creationId xmlns:a16="http://schemas.microsoft.com/office/drawing/2014/main" id="{00000000-0008-0000-3500-00003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25</xdr:row>
          <xdr:rowOff>19050</xdr:rowOff>
        </xdr:from>
        <xdr:to>
          <xdr:col>3</xdr:col>
          <xdr:colOff>412750</xdr:colOff>
          <xdr:row>25</xdr:row>
          <xdr:rowOff>228600</xdr:rowOff>
        </xdr:to>
        <xdr:sp macro="" textlink="">
          <xdr:nvSpPr>
            <xdr:cNvPr id="86070" name="Option Button 54" hidden="1">
              <a:extLst>
                <a:ext uri="{63B3BB69-23CF-44E3-9099-C40C66FF867C}">
                  <a14:compatExt spid="_x0000_s86070"/>
                </a:ext>
                <a:ext uri="{FF2B5EF4-FFF2-40B4-BE49-F238E27FC236}">
                  <a16:creationId xmlns:a16="http://schemas.microsoft.com/office/drawing/2014/main" id="{00000000-0008-0000-3500-00003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25</xdr:row>
          <xdr:rowOff>19050</xdr:rowOff>
        </xdr:from>
        <xdr:to>
          <xdr:col>4</xdr:col>
          <xdr:colOff>412750</xdr:colOff>
          <xdr:row>25</xdr:row>
          <xdr:rowOff>228600</xdr:rowOff>
        </xdr:to>
        <xdr:sp macro="" textlink="">
          <xdr:nvSpPr>
            <xdr:cNvPr id="86071" name="Option Button 55" hidden="1">
              <a:extLst>
                <a:ext uri="{63B3BB69-23CF-44E3-9099-C40C66FF867C}">
                  <a14:compatExt spid="_x0000_s86071"/>
                </a:ext>
                <a:ext uri="{FF2B5EF4-FFF2-40B4-BE49-F238E27FC236}">
                  <a16:creationId xmlns:a16="http://schemas.microsoft.com/office/drawing/2014/main" id="{00000000-0008-0000-3500-00003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25</xdr:row>
          <xdr:rowOff>19050</xdr:rowOff>
        </xdr:from>
        <xdr:to>
          <xdr:col>5</xdr:col>
          <xdr:colOff>412750</xdr:colOff>
          <xdr:row>25</xdr:row>
          <xdr:rowOff>228600</xdr:rowOff>
        </xdr:to>
        <xdr:sp macro="" textlink="">
          <xdr:nvSpPr>
            <xdr:cNvPr id="86072" name="Option Button 56" hidden="1">
              <a:extLst>
                <a:ext uri="{63B3BB69-23CF-44E3-9099-C40C66FF867C}">
                  <a14:compatExt spid="_x0000_s86072"/>
                </a:ext>
                <a:ext uri="{FF2B5EF4-FFF2-40B4-BE49-F238E27FC236}">
                  <a16:creationId xmlns:a16="http://schemas.microsoft.com/office/drawing/2014/main" id="{00000000-0008-0000-3500-00003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25</xdr:row>
          <xdr:rowOff>19050</xdr:rowOff>
        </xdr:from>
        <xdr:to>
          <xdr:col>6</xdr:col>
          <xdr:colOff>412750</xdr:colOff>
          <xdr:row>25</xdr:row>
          <xdr:rowOff>228600</xdr:rowOff>
        </xdr:to>
        <xdr:sp macro="" textlink="">
          <xdr:nvSpPr>
            <xdr:cNvPr id="86073" name="Option Button 57" hidden="1">
              <a:extLst>
                <a:ext uri="{63B3BB69-23CF-44E3-9099-C40C66FF867C}">
                  <a14:compatExt spid="_x0000_s86073"/>
                </a:ext>
                <a:ext uri="{FF2B5EF4-FFF2-40B4-BE49-F238E27FC236}">
                  <a16:creationId xmlns:a16="http://schemas.microsoft.com/office/drawing/2014/main" id="{00000000-0008-0000-3500-00003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26</xdr:row>
          <xdr:rowOff>19050</xdr:rowOff>
        </xdr:from>
        <xdr:to>
          <xdr:col>3</xdr:col>
          <xdr:colOff>412750</xdr:colOff>
          <xdr:row>26</xdr:row>
          <xdr:rowOff>228600</xdr:rowOff>
        </xdr:to>
        <xdr:sp macro="" textlink="">
          <xdr:nvSpPr>
            <xdr:cNvPr id="86074" name="Option Button 58" hidden="1">
              <a:extLst>
                <a:ext uri="{63B3BB69-23CF-44E3-9099-C40C66FF867C}">
                  <a14:compatExt spid="_x0000_s86074"/>
                </a:ext>
                <a:ext uri="{FF2B5EF4-FFF2-40B4-BE49-F238E27FC236}">
                  <a16:creationId xmlns:a16="http://schemas.microsoft.com/office/drawing/2014/main" id="{00000000-0008-0000-3500-00003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26</xdr:row>
          <xdr:rowOff>19050</xdr:rowOff>
        </xdr:from>
        <xdr:to>
          <xdr:col>4</xdr:col>
          <xdr:colOff>412750</xdr:colOff>
          <xdr:row>26</xdr:row>
          <xdr:rowOff>228600</xdr:rowOff>
        </xdr:to>
        <xdr:sp macro="" textlink="">
          <xdr:nvSpPr>
            <xdr:cNvPr id="86075" name="Option Button 59" hidden="1">
              <a:extLst>
                <a:ext uri="{63B3BB69-23CF-44E3-9099-C40C66FF867C}">
                  <a14:compatExt spid="_x0000_s86075"/>
                </a:ext>
                <a:ext uri="{FF2B5EF4-FFF2-40B4-BE49-F238E27FC236}">
                  <a16:creationId xmlns:a16="http://schemas.microsoft.com/office/drawing/2014/main" id="{00000000-0008-0000-3500-00003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26</xdr:row>
          <xdr:rowOff>19050</xdr:rowOff>
        </xdr:from>
        <xdr:to>
          <xdr:col>5</xdr:col>
          <xdr:colOff>412750</xdr:colOff>
          <xdr:row>26</xdr:row>
          <xdr:rowOff>228600</xdr:rowOff>
        </xdr:to>
        <xdr:sp macro="" textlink="">
          <xdr:nvSpPr>
            <xdr:cNvPr id="86076" name="Option Button 60" hidden="1">
              <a:extLst>
                <a:ext uri="{63B3BB69-23CF-44E3-9099-C40C66FF867C}">
                  <a14:compatExt spid="_x0000_s86076"/>
                </a:ext>
                <a:ext uri="{FF2B5EF4-FFF2-40B4-BE49-F238E27FC236}">
                  <a16:creationId xmlns:a16="http://schemas.microsoft.com/office/drawing/2014/main" id="{00000000-0008-0000-3500-00003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26</xdr:row>
          <xdr:rowOff>19050</xdr:rowOff>
        </xdr:from>
        <xdr:to>
          <xdr:col>6</xdr:col>
          <xdr:colOff>412750</xdr:colOff>
          <xdr:row>26</xdr:row>
          <xdr:rowOff>228600</xdr:rowOff>
        </xdr:to>
        <xdr:sp macro="" textlink="">
          <xdr:nvSpPr>
            <xdr:cNvPr id="86077" name="Option Button 61" hidden="1">
              <a:extLst>
                <a:ext uri="{63B3BB69-23CF-44E3-9099-C40C66FF867C}">
                  <a14:compatExt spid="_x0000_s86077"/>
                </a:ext>
                <a:ext uri="{FF2B5EF4-FFF2-40B4-BE49-F238E27FC236}">
                  <a16:creationId xmlns:a16="http://schemas.microsoft.com/office/drawing/2014/main" id="{00000000-0008-0000-3500-00003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27</xdr:row>
          <xdr:rowOff>19050</xdr:rowOff>
        </xdr:from>
        <xdr:to>
          <xdr:col>3</xdr:col>
          <xdr:colOff>412750</xdr:colOff>
          <xdr:row>27</xdr:row>
          <xdr:rowOff>228600</xdr:rowOff>
        </xdr:to>
        <xdr:sp macro="" textlink="">
          <xdr:nvSpPr>
            <xdr:cNvPr id="86078" name="Option Button 62" hidden="1">
              <a:extLst>
                <a:ext uri="{63B3BB69-23CF-44E3-9099-C40C66FF867C}">
                  <a14:compatExt spid="_x0000_s86078"/>
                </a:ext>
                <a:ext uri="{FF2B5EF4-FFF2-40B4-BE49-F238E27FC236}">
                  <a16:creationId xmlns:a16="http://schemas.microsoft.com/office/drawing/2014/main" id="{00000000-0008-0000-3500-00003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27</xdr:row>
          <xdr:rowOff>19050</xdr:rowOff>
        </xdr:from>
        <xdr:to>
          <xdr:col>4</xdr:col>
          <xdr:colOff>412750</xdr:colOff>
          <xdr:row>27</xdr:row>
          <xdr:rowOff>228600</xdr:rowOff>
        </xdr:to>
        <xdr:sp macro="" textlink="">
          <xdr:nvSpPr>
            <xdr:cNvPr id="86079" name="Option Button 63" hidden="1">
              <a:extLst>
                <a:ext uri="{63B3BB69-23CF-44E3-9099-C40C66FF867C}">
                  <a14:compatExt spid="_x0000_s86079"/>
                </a:ext>
                <a:ext uri="{FF2B5EF4-FFF2-40B4-BE49-F238E27FC236}">
                  <a16:creationId xmlns:a16="http://schemas.microsoft.com/office/drawing/2014/main" id="{00000000-0008-0000-3500-00003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27</xdr:row>
          <xdr:rowOff>19050</xdr:rowOff>
        </xdr:from>
        <xdr:to>
          <xdr:col>5</xdr:col>
          <xdr:colOff>412750</xdr:colOff>
          <xdr:row>27</xdr:row>
          <xdr:rowOff>228600</xdr:rowOff>
        </xdr:to>
        <xdr:sp macro="" textlink="">
          <xdr:nvSpPr>
            <xdr:cNvPr id="86080" name="Option Button 64" hidden="1">
              <a:extLst>
                <a:ext uri="{63B3BB69-23CF-44E3-9099-C40C66FF867C}">
                  <a14:compatExt spid="_x0000_s86080"/>
                </a:ext>
                <a:ext uri="{FF2B5EF4-FFF2-40B4-BE49-F238E27FC236}">
                  <a16:creationId xmlns:a16="http://schemas.microsoft.com/office/drawing/2014/main" id="{00000000-0008-0000-3500-00004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27</xdr:row>
          <xdr:rowOff>19050</xdr:rowOff>
        </xdr:from>
        <xdr:to>
          <xdr:col>6</xdr:col>
          <xdr:colOff>412750</xdr:colOff>
          <xdr:row>27</xdr:row>
          <xdr:rowOff>228600</xdr:rowOff>
        </xdr:to>
        <xdr:sp macro="" textlink="">
          <xdr:nvSpPr>
            <xdr:cNvPr id="86081" name="Option Button 65" hidden="1">
              <a:extLst>
                <a:ext uri="{63B3BB69-23CF-44E3-9099-C40C66FF867C}">
                  <a14:compatExt spid="_x0000_s86081"/>
                </a:ext>
                <a:ext uri="{FF2B5EF4-FFF2-40B4-BE49-F238E27FC236}">
                  <a16:creationId xmlns:a16="http://schemas.microsoft.com/office/drawing/2014/main" id="{00000000-0008-0000-3500-00004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28</xdr:row>
          <xdr:rowOff>19050</xdr:rowOff>
        </xdr:from>
        <xdr:to>
          <xdr:col>3</xdr:col>
          <xdr:colOff>412750</xdr:colOff>
          <xdr:row>28</xdr:row>
          <xdr:rowOff>228600</xdr:rowOff>
        </xdr:to>
        <xdr:sp macro="" textlink="">
          <xdr:nvSpPr>
            <xdr:cNvPr id="86082" name="Option Button 66" hidden="1">
              <a:extLst>
                <a:ext uri="{63B3BB69-23CF-44E3-9099-C40C66FF867C}">
                  <a14:compatExt spid="_x0000_s86082"/>
                </a:ext>
                <a:ext uri="{FF2B5EF4-FFF2-40B4-BE49-F238E27FC236}">
                  <a16:creationId xmlns:a16="http://schemas.microsoft.com/office/drawing/2014/main" id="{00000000-0008-0000-3500-00004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28</xdr:row>
          <xdr:rowOff>19050</xdr:rowOff>
        </xdr:from>
        <xdr:to>
          <xdr:col>4</xdr:col>
          <xdr:colOff>412750</xdr:colOff>
          <xdr:row>28</xdr:row>
          <xdr:rowOff>228600</xdr:rowOff>
        </xdr:to>
        <xdr:sp macro="" textlink="">
          <xdr:nvSpPr>
            <xdr:cNvPr id="86083" name="Option Button 67" hidden="1">
              <a:extLst>
                <a:ext uri="{63B3BB69-23CF-44E3-9099-C40C66FF867C}">
                  <a14:compatExt spid="_x0000_s86083"/>
                </a:ext>
                <a:ext uri="{FF2B5EF4-FFF2-40B4-BE49-F238E27FC236}">
                  <a16:creationId xmlns:a16="http://schemas.microsoft.com/office/drawing/2014/main" id="{00000000-0008-0000-3500-00004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28</xdr:row>
          <xdr:rowOff>19050</xdr:rowOff>
        </xdr:from>
        <xdr:to>
          <xdr:col>5</xdr:col>
          <xdr:colOff>412750</xdr:colOff>
          <xdr:row>28</xdr:row>
          <xdr:rowOff>228600</xdr:rowOff>
        </xdr:to>
        <xdr:sp macro="" textlink="">
          <xdr:nvSpPr>
            <xdr:cNvPr id="86084" name="Option Button 68" hidden="1">
              <a:extLst>
                <a:ext uri="{63B3BB69-23CF-44E3-9099-C40C66FF867C}">
                  <a14:compatExt spid="_x0000_s86084"/>
                </a:ext>
                <a:ext uri="{FF2B5EF4-FFF2-40B4-BE49-F238E27FC236}">
                  <a16:creationId xmlns:a16="http://schemas.microsoft.com/office/drawing/2014/main" id="{00000000-0008-0000-3500-00004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28</xdr:row>
          <xdr:rowOff>19050</xdr:rowOff>
        </xdr:from>
        <xdr:to>
          <xdr:col>6</xdr:col>
          <xdr:colOff>412750</xdr:colOff>
          <xdr:row>28</xdr:row>
          <xdr:rowOff>228600</xdr:rowOff>
        </xdr:to>
        <xdr:sp macro="" textlink="">
          <xdr:nvSpPr>
            <xdr:cNvPr id="86085" name="Option Button 69" hidden="1">
              <a:extLst>
                <a:ext uri="{63B3BB69-23CF-44E3-9099-C40C66FF867C}">
                  <a14:compatExt spid="_x0000_s86085"/>
                </a:ext>
                <a:ext uri="{FF2B5EF4-FFF2-40B4-BE49-F238E27FC236}">
                  <a16:creationId xmlns:a16="http://schemas.microsoft.com/office/drawing/2014/main" id="{00000000-0008-0000-3500-00004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29</xdr:row>
          <xdr:rowOff>19050</xdr:rowOff>
        </xdr:from>
        <xdr:to>
          <xdr:col>3</xdr:col>
          <xdr:colOff>412750</xdr:colOff>
          <xdr:row>29</xdr:row>
          <xdr:rowOff>228600</xdr:rowOff>
        </xdr:to>
        <xdr:sp macro="" textlink="">
          <xdr:nvSpPr>
            <xdr:cNvPr id="86086" name="Option Button 70" hidden="1">
              <a:extLst>
                <a:ext uri="{63B3BB69-23CF-44E3-9099-C40C66FF867C}">
                  <a14:compatExt spid="_x0000_s86086"/>
                </a:ext>
                <a:ext uri="{FF2B5EF4-FFF2-40B4-BE49-F238E27FC236}">
                  <a16:creationId xmlns:a16="http://schemas.microsoft.com/office/drawing/2014/main" id="{00000000-0008-0000-3500-00004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29</xdr:row>
          <xdr:rowOff>19050</xdr:rowOff>
        </xdr:from>
        <xdr:to>
          <xdr:col>4</xdr:col>
          <xdr:colOff>412750</xdr:colOff>
          <xdr:row>29</xdr:row>
          <xdr:rowOff>228600</xdr:rowOff>
        </xdr:to>
        <xdr:sp macro="" textlink="">
          <xdr:nvSpPr>
            <xdr:cNvPr id="86087" name="Option Button 71" hidden="1">
              <a:extLst>
                <a:ext uri="{63B3BB69-23CF-44E3-9099-C40C66FF867C}">
                  <a14:compatExt spid="_x0000_s86087"/>
                </a:ext>
                <a:ext uri="{FF2B5EF4-FFF2-40B4-BE49-F238E27FC236}">
                  <a16:creationId xmlns:a16="http://schemas.microsoft.com/office/drawing/2014/main" id="{00000000-0008-0000-3500-00004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29</xdr:row>
          <xdr:rowOff>19050</xdr:rowOff>
        </xdr:from>
        <xdr:to>
          <xdr:col>5</xdr:col>
          <xdr:colOff>412750</xdr:colOff>
          <xdr:row>29</xdr:row>
          <xdr:rowOff>228600</xdr:rowOff>
        </xdr:to>
        <xdr:sp macro="" textlink="">
          <xdr:nvSpPr>
            <xdr:cNvPr id="86088" name="Option Button 72" hidden="1">
              <a:extLst>
                <a:ext uri="{63B3BB69-23CF-44E3-9099-C40C66FF867C}">
                  <a14:compatExt spid="_x0000_s86088"/>
                </a:ext>
                <a:ext uri="{FF2B5EF4-FFF2-40B4-BE49-F238E27FC236}">
                  <a16:creationId xmlns:a16="http://schemas.microsoft.com/office/drawing/2014/main" id="{00000000-0008-0000-3500-00004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29</xdr:row>
          <xdr:rowOff>19050</xdr:rowOff>
        </xdr:from>
        <xdr:to>
          <xdr:col>6</xdr:col>
          <xdr:colOff>412750</xdr:colOff>
          <xdr:row>29</xdr:row>
          <xdr:rowOff>228600</xdr:rowOff>
        </xdr:to>
        <xdr:sp macro="" textlink="">
          <xdr:nvSpPr>
            <xdr:cNvPr id="86089" name="Option Button 73" hidden="1">
              <a:extLst>
                <a:ext uri="{63B3BB69-23CF-44E3-9099-C40C66FF867C}">
                  <a14:compatExt spid="_x0000_s86089"/>
                </a:ext>
                <a:ext uri="{FF2B5EF4-FFF2-40B4-BE49-F238E27FC236}">
                  <a16:creationId xmlns:a16="http://schemas.microsoft.com/office/drawing/2014/main" id="{00000000-0008-0000-3500-00004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30</xdr:row>
          <xdr:rowOff>19050</xdr:rowOff>
        </xdr:from>
        <xdr:to>
          <xdr:col>3</xdr:col>
          <xdr:colOff>412750</xdr:colOff>
          <xdr:row>30</xdr:row>
          <xdr:rowOff>228600</xdr:rowOff>
        </xdr:to>
        <xdr:sp macro="" textlink="">
          <xdr:nvSpPr>
            <xdr:cNvPr id="86090" name="Option Button 74" hidden="1">
              <a:extLst>
                <a:ext uri="{63B3BB69-23CF-44E3-9099-C40C66FF867C}">
                  <a14:compatExt spid="_x0000_s86090"/>
                </a:ext>
                <a:ext uri="{FF2B5EF4-FFF2-40B4-BE49-F238E27FC236}">
                  <a16:creationId xmlns:a16="http://schemas.microsoft.com/office/drawing/2014/main" id="{00000000-0008-0000-3500-00004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30</xdr:row>
          <xdr:rowOff>19050</xdr:rowOff>
        </xdr:from>
        <xdr:to>
          <xdr:col>4</xdr:col>
          <xdr:colOff>412750</xdr:colOff>
          <xdr:row>30</xdr:row>
          <xdr:rowOff>228600</xdr:rowOff>
        </xdr:to>
        <xdr:sp macro="" textlink="">
          <xdr:nvSpPr>
            <xdr:cNvPr id="86091" name="Option Button 75" hidden="1">
              <a:extLst>
                <a:ext uri="{63B3BB69-23CF-44E3-9099-C40C66FF867C}">
                  <a14:compatExt spid="_x0000_s86091"/>
                </a:ext>
                <a:ext uri="{FF2B5EF4-FFF2-40B4-BE49-F238E27FC236}">
                  <a16:creationId xmlns:a16="http://schemas.microsoft.com/office/drawing/2014/main" id="{00000000-0008-0000-3500-00004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30</xdr:row>
          <xdr:rowOff>19050</xdr:rowOff>
        </xdr:from>
        <xdr:to>
          <xdr:col>5</xdr:col>
          <xdr:colOff>412750</xdr:colOff>
          <xdr:row>30</xdr:row>
          <xdr:rowOff>228600</xdr:rowOff>
        </xdr:to>
        <xdr:sp macro="" textlink="">
          <xdr:nvSpPr>
            <xdr:cNvPr id="86092" name="Option Button 76" hidden="1">
              <a:extLst>
                <a:ext uri="{63B3BB69-23CF-44E3-9099-C40C66FF867C}">
                  <a14:compatExt spid="_x0000_s86092"/>
                </a:ext>
                <a:ext uri="{FF2B5EF4-FFF2-40B4-BE49-F238E27FC236}">
                  <a16:creationId xmlns:a16="http://schemas.microsoft.com/office/drawing/2014/main" id="{00000000-0008-0000-3500-00004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30</xdr:row>
          <xdr:rowOff>19050</xdr:rowOff>
        </xdr:from>
        <xdr:to>
          <xdr:col>6</xdr:col>
          <xdr:colOff>412750</xdr:colOff>
          <xdr:row>30</xdr:row>
          <xdr:rowOff>228600</xdr:rowOff>
        </xdr:to>
        <xdr:sp macro="" textlink="">
          <xdr:nvSpPr>
            <xdr:cNvPr id="86093" name="Option Button 77" hidden="1">
              <a:extLst>
                <a:ext uri="{63B3BB69-23CF-44E3-9099-C40C66FF867C}">
                  <a14:compatExt spid="_x0000_s86093"/>
                </a:ext>
                <a:ext uri="{FF2B5EF4-FFF2-40B4-BE49-F238E27FC236}">
                  <a16:creationId xmlns:a16="http://schemas.microsoft.com/office/drawing/2014/main" id="{00000000-0008-0000-3500-00004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31</xdr:row>
          <xdr:rowOff>19050</xdr:rowOff>
        </xdr:from>
        <xdr:to>
          <xdr:col>3</xdr:col>
          <xdr:colOff>412750</xdr:colOff>
          <xdr:row>31</xdr:row>
          <xdr:rowOff>228600</xdr:rowOff>
        </xdr:to>
        <xdr:sp macro="" textlink="">
          <xdr:nvSpPr>
            <xdr:cNvPr id="86094" name="Option Button 78" hidden="1">
              <a:extLst>
                <a:ext uri="{63B3BB69-23CF-44E3-9099-C40C66FF867C}">
                  <a14:compatExt spid="_x0000_s86094"/>
                </a:ext>
                <a:ext uri="{FF2B5EF4-FFF2-40B4-BE49-F238E27FC236}">
                  <a16:creationId xmlns:a16="http://schemas.microsoft.com/office/drawing/2014/main" id="{00000000-0008-0000-3500-00004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31</xdr:row>
          <xdr:rowOff>19050</xdr:rowOff>
        </xdr:from>
        <xdr:to>
          <xdr:col>4</xdr:col>
          <xdr:colOff>412750</xdr:colOff>
          <xdr:row>31</xdr:row>
          <xdr:rowOff>228600</xdr:rowOff>
        </xdr:to>
        <xdr:sp macro="" textlink="">
          <xdr:nvSpPr>
            <xdr:cNvPr id="86095" name="Option Button 79" hidden="1">
              <a:extLst>
                <a:ext uri="{63B3BB69-23CF-44E3-9099-C40C66FF867C}">
                  <a14:compatExt spid="_x0000_s86095"/>
                </a:ext>
                <a:ext uri="{FF2B5EF4-FFF2-40B4-BE49-F238E27FC236}">
                  <a16:creationId xmlns:a16="http://schemas.microsoft.com/office/drawing/2014/main" id="{00000000-0008-0000-3500-00004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31</xdr:row>
          <xdr:rowOff>19050</xdr:rowOff>
        </xdr:from>
        <xdr:to>
          <xdr:col>5</xdr:col>
          <xdr:colOff>412750</xdr:colOff>
          <xdr:row>31</xdr:row>
          <xdr:rowOff>228600</xdr:rowOff>
        </xdr:to>
        <xdr:sp macro="" textlink="">
          <xdr:nvSpPr>
            <xdr:cNvPr id="86096" name="Option Button 80" hidden="1">
              <a:extLst>
                <a:ext uri="{63B3BB69-23CF-44E3-9099-C40C66FF867C}">
                  <a14:compatExt spid="_x0000_s86096"/>
                </a:ext>
                <a:ext uri="{FF2B5EF4-FFF2-40B4-BE49-F238E27FC236}">
                  <a16:creationId xmlns:a16="http://schemas.microsoft.com/office/drawing/2014/main" id="{00000000-0008-0000-3500-00005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31</xdr:row>
          <xdr:rowOff>19050</xdr:rowOff>
        </xdr:from>
        <xdr:to>
          <xdr:col>6</xdr:col>
          <xdr:colOff>412750</xdr:colOff>
          <xdr:row>31</xdr:row>
          <xdr:rowOff>228600</xdr:rowOff>
        </xdr:to>
        <xdr:sp macro="" textlink="">
          <xdr:nvSpPr>
            <xdr:cNvPr id="86097" name="Option Button 81" hidden="1">
              <a:extLst>
                <a:ext uri="{63B3BB69-23CF-44E3-9099-C40C66FF867C}">
                  <a14:compatExt spid="_x0000_s86097"/>
                </a:ext>
                <a:ext uri="{FF2B5EF4-FFF2-40B4-BE49-F238E27FC236}">
                  <a16:creationId xmlns:a16="http://schemas.microsoft.com/office/drawing/2014/main" id="{00000000-0008-0000-3500-00005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32</xdr:row>
          <xdr:rowOff>19050</xdr:rowOff>
        </xdr:from>
        <xdr:to>
          <xdr:col>3</xdr:col>
          <xdr:colOff>412750</xdr:colOff>
          <xdr:row>32</xdr:row>
          <xdr:rowOff>228600</xdr:rowOff>
        </xdr:to>
        <xdr:sp macro="" textlink="">
          <xdr:nvSpPr>
            <xdr:cNvPr id="86098" name="Option Button 82" hidden="1">
              <a:extLst>
                <a:ext uri="{63B3BB69-23CF-44E3-9099-C40C66FF867C}">
                  <a14:compatExt spid="_x0000_s86098"/>
                </a:ext>
                <a:ext uri="{FF2B5EF4-FFF2-40B4-BE49-F238E27FC236}">
                  <a16:creationId xmlns:a16="http://schemas.microsoft.com/office/drawing/2014/main" id="{00000000-0008-0000-3500-00005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32</xdr:row>
          <xdr:rowOff>19050</xdr:rowOff>
        </xdr:from>
        <xdr:to>
          <xdr:col>4</xdr:col>
          <xdr:colOff>412750</xdr:colOff>
          <xdr:row>32</xdr:row>
          <xdr:rowOff>228600</xdr:rowOff>
        </xdr:to>
        <xdr:sp macro="" textlink="">
          <xdr:nvSpPr>
            <xdr:cNvPr id="86099" name="Option Button 83" hidden="1">
              <a:extLst>
                <a:ext uri="{63B3BB69-23CF-44E3-9099-C40C66FF867C}">
                  <a14:compatExt spid="_x0000_s86099"/>
                </a:ext>
                <a:ext uri="{FF2B5EF4-FFF2-40B4-BE49-F238E27FC236}">
                  <a16:creationId xmlns:a16="http://schemas.microsoft.com/office/drawing/2014/main" id="{00000000-0008-0000-3500-00005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32</xdr:row>
          <xdr:rowOff>19050</xdr:rowOff>
        </xdr:from>
        <xdr:to>
          <xdr:col>5</xdr:col>
          <xdr:colOff>412750</xdr:colOff>
          <xdr:row>32</xdr:row>
          <xdr:rowOff>228600</xdr:rowOff>
        </xdr:to>
        <xdr:sp macro="" textlink="">
          <xdr:nvSpPr>
            <xdr:cNvPr id="86100" name="Option Button 84" hidden="1">
              <a:extLst>
                <a:ext uri="{63B3BB69-23CF-44E3-9099-C40C66FF867C}">
                  <a14:compatExt spid="_x0000_s86100"/>
                </a:ext>
                <a:ext uri="{FF2B5EF4-FFF2-40B4-BE49-F238E27FC236}">
                  <a16:creationId xmlns:a16="http://schemas.microsoft.com/office/drawing/2014/main" id="{00000000-0008-0000-3500-00005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32</xdr:row>
          <xdr:rowOff>19050</xdr:rowOff>
        </xdr:from>
        <xdr:to>
          <xdr:col>6</xdr:col>
          <xdr:colOff>412750</xdr:colOff>
          <xdr:row>32</xdr:row>
          <xdr:rowOff>228600</xdr:rowOff>
        </xdr:to>
        <xdr:sp macro="" textlink="">
          <xdr:nvSpPr>
            <xdr:cNvPr id="86101" name="Option Button 85" hidden="1">
              <a:extLst>
                <a:ext uri="{63B3BB69-23CF-44E3-9099-C40C66FF867C}">
                  <a14:compatExt spid="_x0000_s86101"/>
                </a:ext>
                <a:ext uri="{FF2B5EF4-FFF2-40B4-BE49-F238E27FC236}">
                  <a16:creationId xmlns:a16="http://schemas.microsoft.com/office/drawing/2014/main" id="{00000000-0008-0000-3500-00005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33</xdr:row>
          <xdr:rowOff>19050</xdr:rowOff>
        </xdr:from>
        <xdr:to>
          <xdr:col>3</xdr:col>
          <xdr:colOff>412750</xdr:colOff>
          <xdr:row>33</xdr:row>
          <xdr:rowOff>228600</xdr:rowOff>
        </xdr:to>
        <xdr:sp macro="" textlink="">
          <xdr:nvSpPr>
            <xdr:cNvPr id="86102" name="Option Button 86" hidden="1">
              <a:extLst>
                <a:ext uri="{63B3BB69-23CF-44E3-9099-C40C66FF867C}">
                  <a14:compatExt spid="_x0000_s86102"/>
                </a:ext>
                <a:ext uri="{FF2B5EF4-FFF2-40B4-BE49-F238E27FC236}">
                  <a16:creationId xmlns:a16="http://schemas.microsoft.com/office/drawing/2014/main" id="{00000000-0008-0000-3500-00005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33</xdr:row>
          <xdr:rowOff>19050</xdr:rowOff>
        </xdr:from>
        <xdr:to>
          <xdr:col>4</xdr:col>
          <xdr:colOff>412750</xdr:colOff>
          <xdr:row>33</xdr:row>
          <xdr:rowOff>228600</xdr:rowOff>
        </xdr:to>
        <xdr:sp macro="" textlink="">
          <xdr:nvSpPr>
            <xdr:cNvPr id="86103" name="Option Button 87" hidden="1">
              <a:extLst>
                <a:ext uri="{63B3BB69-23CF-44E3-9099-C40C66FF867C}">
                  <a14:compatExt spid="_x0000_s86103"/>
                </a:ext>
                <a:ext uri="{FF2B5EF4-FFF2-40B4-BE49-F238E27FC236}">
                  <a16:creationId xmlns:a16="http://schemas.microsoft.com/office/drawing/2014/main" id="{00000000-0008-0000-3500-00005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33</xdr:row>
          <xdr:rowOff>19050</xdr:rowOff>
        </xdr:from>
        <xdr:to>
          <xdr:col>5</xdr:col>
          <xdr:colOff>412750</xdr:colOff>
          <xdr:row>33</xdr:row>
          <xdr:rowOff>228600</xdr:rowOff>
        </xdr:to>
        <xdr:sp macro="" textlink="">
          <xdr:nvSpPr>
            <xdr:cNvPr id="86104" name="Option Button 88" hidden="1">
              <a:extLst>
                <a:ext uri="{63B3BB69-23CF-44E3-9099-C40C66FF867C}">
                  <a14:compatExt spid="_x0000_s86104"/>
                </a:ext>
                <a:ext uri="{FF2B5EF4-FFF2-40B4-BE49-F238E27FC236}">
                  <a16:creationId xmlns:a16="http://schemas.microsoft.com/office/drawing/2014/main" id="{00000000-0008-0000-3500-00005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33</xdr:row>
          <xdr:rowOff>19050</xdr:rowOff>
        </xdr:from>
        <xdr:to>
          <xdr:col>6</xdr:col>
          <xdr:colOff>412750</xdr:colOff>
          <xdr:row>33</xdr:row>
          <xdr:rowOff>228600</xdr:rowOff>
        </xdr:to>
        <xdr:sp macro="" textlink="">
          <xdr:nvSpPr>
            <xdr:cNvPr id="86105" name="Option Button 89" hidden="1">
              <a:extLst>
                <a:ext uri="{63B3BB69-23CF-44E3-9099-C40C66FF867C}">
                  <a14:compatExt spid="_x0000_s86105"/>
                </a:ext>
                <a:ext uri="{FF2B5EF4-FFF2-40B4-BE49-F238E27FC236}">
                  <a16:creationId xmlns:a16="http://schemas.microsoft.com/office/drawing/2014/main" id="{00000000-0008-0000-3500-00005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34</xdr:row>
          <xdr:rowOff>19050</xdr:rowOff>
        </xdr:from>
        <xdr:to>
          <xdr:col>3</xdr:col>
          <xdr:colOff>412750</xdr:colOff>
          <xdr:row>34</xdr:row>
          <xdr:rowOff>228600</xdr:rowOff>
        </xdr:to>
        <xdr:sp macro="" textlink="">
          <xdr:nvSpPr>
            <xdr:cNvPr id="86106" name="Option Button 90" hidden="1">
              <a:extLst>
                <a:ext uri="{63B3BB69-23CF-44E3-9099-C40C66FF867C}">
                  <a14:compatExt spid="_x0000_s86106"/>
                </a:ext>
                <a:ext uri="{FF2B5EF4-FFF2-40B4-BE49-F238E27FC236}">
                  <a16:creationId xmlns:a16="http://schemas.microsoft.com/office/drawing/2014/main" id="{00000000-0008-0000-3500-00005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34</xdr:row>
          <xdr:rowOff>19050</xdr:rowOff>
        </xdr:from>
        <xdr:to>
          <xdr:col>4</xdr:col>
          <xdr:colOff>412750</xdr:colOff>
          <xdr:row>34</xdr:row>
          <xdr:rowOff>228600</xdr:rowOff>
        </xdr:to>
        <xdr:sp macro="" textlink="">
          <xdr:nvSpPr>
            <xdr:cNvPr id="86107" name="Option Button 91" hidden="1">
              <a:extLst>
                <a:ext uri="{63B3BB69-23CF-44E3-9099-C40C66FF867C}">
                  <a14:compatExt spid="_x0000_s86107"/>
                </a:ext>
                <a:ext uri="{FF2B5EF4-FFF2-40B4-BE49-F238E27FC236}">
                  <a16:creationId xmlns:a16="http://schemas.microsoft.com/office/drawing/2014/main" id="{00000000-0008-0000-3500-00005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34</xdr:row>
          <xdr:rowOff>19050</xdr:rowOff>
        </xdr:from>
        <xdr:to>
          <xdr:col>5</xdr:col>
          <xdr:colOff>412750</xdr:colOff>
          <xdr:row>34</xdr:row>
          <xdr:rowOff>228600</xdr:rowOff>
        </xdr:to>
        <xdr:sp macro="" textlink="">
          <xdr:nvSpPr>
            <xdr:cNvPr id="86108" name="Option Button 92" hidden="1">
              <a:extLst>
                <a:ext uri="{63B3BB69-23CF-44E3-9099-C40C66FF867C}">
                  <a14:compatExt spid="_x0000_s86108"/>
                </a:ext>
                <a:ext uri="{FF2B5EF4-FFF2-40B4-BE49-F238E27FC236}">
                  <a16:creationId xmlns:a16="http://schemas.microsoft.com/office/drawing/2014/main" id="{00000000-0008-0000-3500-00005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34</xdr:row>
          <xdr:rowOff>19050</xdr:rowOff>
        </xdr:from>
        <xdr:to>
          <xdr:col>6</xdr:col>
          <xdr:colOff>412750</xdr:colOff>
          <xdr:row>34</xdr:row>
          <xdr:rowOff>228600</xdr:rowOff>
        </xdr:to>
        <xdr:sp macro="" textlink="">
          <xdr:nvSpPr>
            <xdr:cNvPr id="86109" name="Option Button 93" hidden="1">
              <a:extLst>
                <a:ext uri="{63B3BB69-23CF-44E3-9099-C40C66FF867C}">
                  <a14:compatExt spid="_x0000_s86109"/>
                </a:ext>
                <a:ext uri="{FF2B5EF4-FFF2-40B4-BE49-F238E27FC236}">
                  <a16:creationId xmlns:a16="http://schemas.microsoft.com/office/drawing/2014/main" id="{00000000-0008-0000-3500-00005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35</xdr:row>
          <xdr:rowOff>19050</xdr:rowOff>
        </xdr:from>
        <xdr:to>
          <xdr:col>3</xdr:col>
          <xdr:colOff>412750</xdr:colOff>
          <xdr:row>35</xdr:row>
          <xdr:rowOff>228600</xdr:rowOff>
        </xdr:to>
        <xdr:sp macro="" textlink="">
          <xdr:nvSpPr>
            <xdr:cNvPr id="86110" name="Option Button 94" hidden="1">
              <a:extLst>
                <a:ext uri="{63B3BB69-23CF-44E3-9099-C40C66FF867C}">
                  <a14:compatExt spid="_x0000_s86110"/>
                </a:ext>
                <a:ext uri="{FF2B5EF4-FFF2-40B4-BE49-F238E27FC236}">
                  <a16:creationId xmlns:a16="http://schemas.microsoft.com/office/drawing/2014/main" id="{00000000-0008-0000-3500-00005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35</xdr:row>
          <xdr:rowOff>19050</xdr:rowOff>
        </xdr:from>
        <xdr:to>
          <xdr:col>4</xdr:col>
          <xdr:colOff>412750</xdr:colOff>
          <xdr:row>35</xdr:row>
          <xdr:rowOff>228600</xdr:rowOff>
        </xdr:to>
        <xdr:sp macro="" textlink="">
          <xdr:nvSpPr>
            <xdr:cNvPr id="86111" name="Option Button 95" hidden="1">
              <a:extLst>
                <a:ext uri="{63B3BB69-23CF-44E3-9099-C40C66FF867C}">
                  <a14:compatExt spid="_x0000_s86111"/>
                </a:ext>
                <a:ext uri="{FF2B5EF4-FFF2-40B4-BE49-F238E27FC236}">
                  <a16:creationId xmlns:a16="http://schemas.microsoft.com/office/drawing/2014/main" id="{00000000-0008-0000-3500-00005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35</xdr:row>
          <xdr:rowOff>19050</xdr:rowOff>
        </xdr:from>
        <xdr:to>
          <xdr:col>5</xdr:col>
          <xdr:colOff>412750</xdr:colOff>
          <xdr:row>35</xdr:row>
          <xdr:rowOff>228600</xdr:rowOff>
        </xdr:to>
        <xdr:sp macro="" textlink="">
          <xdr:nvSpPr>
            <xdr:cNvPr id="86112" name="Option Button 96" hidden="1">
              <a:extLst>
                <a:ext uri="{63B3BB69-23CF-44E3-9099-C40C66FF867C}">
                  <a14:compatExt spid="_x0000_s86112"/>
                </a:ext>
                <a:ext uri="{FF2B5EF4-FFF2-40B4-BE49-F238E27FC236}">
                  <a16:creationId xmlns:a16="http://schemas.microsoft.com/office/drawing/2014/main" id="{00000000-0008-0000-3500-00006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35</xdr:row>
          <xdr:rowOff>19050</xdr:rowOff>
        </xdr:from>
        <xdr:to>
          <xdr:col>6</xdr:col>
          <xdr:colOff>412750</xdr:colOff>
          <xdr:row>35</xdr:row>
          <xdr:rowOff>228600</xdr:rowOff>
        </xdr:to>
        <xdr:sp macro="" textlink="">
          <xdr:nvSpPr>
            <xdr:cNvPr id="86113" name="Option Button 97" hidden="1">
              <a:extLst>
                <a:ext uri="{63B3BB69-23CF-44E3-9099-C40C66FF867C}">
                  <a14:compatExt spid="_x0000_s86113"/>
                </a:ext>
                <a:ext uri="{FF2B5EF4-FFF2-40B4-BE49-F238E27FC236}">
                  <a16:creationId xmlns:a16="http://schemas.microsoft.com/office/drawing/2014/main" id="{00000000-0008-0000-3500-00006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36</xdr:row>
          <xdr:rowOff>19050</xdr:rowOff>
        </xdr:from>
        <xdr:to>
          <xdr:col>3</xdr:col>
          <xdr:colOff>412750</xdr:colOff>
          <xdr:row>36</xdr:row>
          <xdr:rowOff>228600</xdr:rowOff>
        </xdr:to>
        <xdr:sp macro="" textlink="">
          <xdr:nvSpPr>
            <xdr:cNvPr id="86114" name="Option Button 98" hidden="1">
              <a:extLst>
                <a:ext uri="{63B3BB69-23CF-44E3-9099-C40C66FF867C}">
                  <a14:compatExt spid="_x0000_s86114"/>
                </a:ext>
                <a:ext uri="{FF2B5EF4-FFF2-40B4-BE49-F238E27FC236}">
                  <a16:creationId xmlns:a16="http://schemas.microsoft.com/office/drawing/2014/main" id="{00000000-0008-0000-3500-00006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36</xdr:row>
          <xdr:rowOff>19050</xdr:rowOff>
        </xdr:from>
        <xdr:to>
          <xdr:col>4</xdr:col>
          <xdr:colOff>412750</xdr:colOff>
          <xdr:row>36</xdr:row>
          <xdr:rowOff>228600</xdr:rowOff>
        </xdr:to>
        <xdr:sp macro="" textlink="">
          <xdr:nvSpPr>
            <xdr:cNvPr id="86115" name="Option Button 99" hidden="1">
              <a:extLst>
                <a:ext uri="{63B3BB69-23CF-44E3-9099-C40C66FF867C}">
                  <a14:compatExt spid="_x0000_s86115"/>
                </a:ext>
                <a:ext uri="{FF2B5EF4-FFF2-40B4-BE49-F238E27FC236}">
                  <a16:creationId xmlns:a16="http://schemas.microsoft.com/office/drawing/2014/main" id="{00000000-0008-0000-3500-00006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36</xdr:row>
          <xdr:rowOff>19050</xdr:rowOff>
        </xdr:from>
        <xdr:to>
          <xdr:col>5</xdr:col>
          <xdr:colOff>412750</xdr:colOff>
          <xdr:row>36</xdr:row>
          <xdr:rowOff>228600</xdr:rowOff>
        </xdr:to>
        <xdr:sp macro="" textlink="">
          <xdr:nvSpPr>
            <xdr:cNvPr id="86116" name="Option Button 100" hidden="1">
              <a:extLst>
                <a:ext uri="{63B3BB69-23CF-44E3-9099-C40C66FF867C}">
                  <a14:compatExt spid="_x0000_s86116"/>
                </a:ext>
                <a:ext uri="{FF2B5EF4-FFF2-40B4-BE49-F238E27FC236}">
                  <a16:creationId xmlns:a16="http://schemas.microsoft.com/office/drawing/2014/main" id="{00000000-0008-0000-3500-00006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36</xdr:row>
          <xdr:rowOff>19050</xdr:rowOff>
        </xdr:from>
        <xdr:to>
          <xdr:col>6</xdr:col>
          <xdr:colOff>412750</xdr:colOff>
          <xdr:row>36</xdr:row>
          <xdr:rowOff>228600</xdr:rowOff>
        </xdr:to>
        <xdr:sp macro="" textlink="">
          <xdr:nvSpPr>
            <xdr:cNvPr id="86117" name="Option Button 101" hidden="1">
              <a:extLst>
                <a:ext uri="{63B3BB69-23CF-44E3-9099-C40C66FF867C}">
                  <a14:compatExt spid="_x0000_s86117"/>
                </a:ext>
                <a:ext uri="{FF2B5EF4-FFF2-40B4-BE49-F238E27FC236}">
                  <a16:creationId xmlns:a16="http://schemas.microsoft.com/office/drawing/2014/main" id="{00000000-0008-0000-3500-00006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37</xdr:row>
          <xdr:rowOff>19050</xdr:rowOff>
        </xdr:from>
        <xdr:to>
          <xdr:col>3</xdr:col>
          <xdr:colOff>412750</xdr:colOff>
          <xdr:row>37</xdr:row>
          <xdr:rowOff>228600</xdr:rowOff>
        </xdr:to>
        <xdr:sp macro="" textlink="">
          <xdr:nvSpPr>
            <xdr:cNvPr id="86118" name="Option Button 102" hidden="1">
              <a:extLst>
                <a:ext uri="{63B3BB69-23CF-44E3-9099-C40C66FF867C}">
                  <a14:compatExt spid="_x0000_s86118"/>
                </a:ext>
                <a:ext uri="{FF2B5EF4-FFF2-40B4-BE49-F238E27FC236}">
                  <a16:creationId xmlns:a16="http://schemas.microsoft.com/office/drawing/2014/main" id="{00000000-0008-0000-3500-00006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37</xdr:row>
          <xdr:rowOff>19050</xdr:rowOff>
        </xdr:from>
        <xdr:to>
          <xdr:col>4</xdr:col>
          <xdr:colOff>412750</xdr:colOff>
          <xdr:row>37</xdr:row>
          <xdr:rowOff>228600</xdr:rowOff>
        </xdr:to>
        <xdr:sp macro="" textlink="">
          <xdr:nvSpPr>
            <xdr:cNvPr id="86119" name="Option Button 103" hidden="1">
              <a:extLst>
                <a:ext uri="{63B3BB69-23CF-44E3-9099-C40C66FF867C}">
                  <a14:compatExt spid="_x0000_s86119"/>
                </a:ext>
                <a:ext uri="{FF2B5EF4-FFF2-40B4-BE49-F238E27FC236}">
                  <a16:creationId xmlns:a16="http://schemas.microsoft.com/office/drawing/2014/main" id="{00000000-0008-0000-3500-00006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37</xdr:row>
          <xdr:rowOff>19050</xdr:rowOff>
        </xdr:from>
        <xdr:to>
          <xdr:col>5</xdr:col>
          <xdr:colOff>412750</xdr:colOff>
          <xdr:row>37</xdr:row>
          <xdr:rowOff>228600</xdr:rowOff>
        </xdr:to>
        <xdr:sp macro="" textlink="">
          <xdr:nvSpPr>
            <xdr:cNvPr id="86120" name="Option Button 104" hidden="1">
              <a:extLst>
                <a:ext uri="{63B3BB69-23CF-44E3-9099-C40C66FF867C}">
                  <a14:compatExt spid="_x0000_s86120"/>
                </a:ext>
                <a:ext uri="{FF2B5EF4-FFF2-40B4-BE49-F238E27FC236}">
                  <a16:creationId xmlns:a16="http://schemas.microsoft.com/office/drawing/2014/main" id="{00000000-0008-0000-3500-00006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37</xdr:row>
          <xdr:rowOff>19050</xdr:rowOff>
        </xdr:from>
        <xdr:to>
          <xdr:col>6</xdr:col>
          <xdr:colOff>412750</xdr:colOff>
          <xdr:row>37</xdr:row>
          <xdr:rowOff>228600</xdr:rowOff>
        </xdr:to>
        <xdr:sp macro="" textlink="">
          <xdr:nvSpPr>
            <xdr:cNvPr id="86121" name="Option Button 105" hidden="1">
              <a:extLst>
                <a:ext uri="{63B3BB69-23CF-44E3-9099-C40C66FF867C}">
                  <a14:compatExt spid="_x0000_s86121"/>
                </a:ext>
                <a:ext uri="{FF2B5EF4-FFF2-40B4-BE49-F238E27FC236}">
                  <a16:creationId xmlns:a16="http://schemas.microsoft.com/office/drawing/2014/main" id="{00000000-0008-0000-3500-00006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38</xdr:row>
          <xdr:rowOff>19050</xdr:rowOff>
        </xdr:from>
        <xdr:to>
          <xdr:col>3</xdr:col>
          <xdr:colOff>412750</xdr:colOff>
          <xdr:row>38</xdr:row>
          <xdr:rowOff>228600</xdr:rowOff>
        </xdr:to>
        <xdr:sp macro="" textlink="">
          <xdr:nvSpPr>
            <xdr:cNvPr id="86122" name="Option Button 106" hidden="1">
              <a:extLst>
                <a:ext uri="{63B3BB69-23CF-44E3-9099-C40C66FF867C}">
                  <a14:compatExt spid="_x0000_s86122"/>
                </a:ext>
                <a:ext uri="{FF2B5EF4-FFF2-40B4-BE49-F238E27FC236}">
                  <a16:creationId xmlns:a16="http://schemas.microsoft.com/office/drawing/2014/main" id="{00000000-0008-0000-3500-00006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38</xdr:row>
          <xdr:rowOff>19050</xdr:rowOff>
        </xdr:from>
        <xdr:to>
          <xdr:col>4</xdr:col>
          <xdr:colOff>412750</xdr:colOff>
          <xdr:row>38</xdr:row>
          <xdr:rowOff>228600</xdr:rowOff>
        </xdr:to>
        <xdr:sp macro="" textlink="">
          <xdr:nvSpPr>
            <xdr:cNvPr id="86123" name="Option Button 107" hidden="1">
              <a:extLst>
                <a:ext uri="{63B3BB69-23CF-44E3-9099-C40C66FF867C}">
                  <a14:compatExt spid="_x0000_s86123"/>
                </a:ext>
                <a:ext uri="{FF2B5EF4-FFF2-40B4-BE49-F238E27FC236}">
                  <a16:creationId xmlns:a16="http://schemas.microsoft.com/office/drawing/2014/main" id="{00000000-0008-0000-3500-00006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38</xdr:row>
          <xdr:rowOff>19050</xdr:rowOff>
        </xdr:from>
        <xdr:to>
          <xdr:col>5</xdr:col>
          <xdr:colOff>412750</xdr:colOff>
          <xdr:row>38</xdr:row>
          <xdr:rowOff>228600</xdr:rowOff>
        </xdr:to>
        <xdr:sp macro="" textlink="">
          <xdr:nvSpPr>
            <xdr:cNvPr id="86124" name="Option Button 108" hidden="1">
              <a:extLst>
                <a:ext uri="{63B3BB69-23CF-44E3-9099-C40C66FF867C}">
                  <a14:compatExt spid="_x0000_s86124"/>
                </a:ext>
                <a:ext uri="{FF2B5EF4-FFF2-40B4-BE49-F238E27FC236}">
                  <a16:creationId xmlns:a16="http://schemas.microsoft.com/office/drawing/2014/main" id="{00000000-0008-0000-3500-00006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38</xdr:row>
          <xdr:rowOff>19050</xdr:rowOff>
        </xdr:from>
        <xdr:to>
          <xdr:col>6</xdr:col>
          <xdr:colOff>412750</xdr:colOff>
          <xdr:row>38</xdr:row>
          <xdr:rowOff>228600</xdr:rowOff>
        </xdr:to>
        <xdr:sp macro="" textlink="">
          <xdr:nvSpPr>
            <xdr:cNvPr id="86125" name="Option Button 109" hidden="1">
              <a:extLst>
                <a:ext uri="{63B3BB69-23CF-44E3-9099-C40C66FF867C}">
                  <a14:compatExt spid="_x0000_s86125"/>
                </a:ext>
                <a:ext uri="{FF2B5EF4-FFF2-40B4-BE49-F238E27FC236}">
                  <a16:creationId xmlns:a16="http://schemas.microsoft.com/office/drawing/2014/main" id="{00000000-0008-0000-3500-00006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xdr:row>
          <xdr:rowOff>19050</xdr:rowOff>
        </xdr:from>
        <xdr:to>
          <xdr:col>3</xdr:col>
          <xdr:colOff>412750</xdr:colOff>
          <xdr:row>39</xdr:row>
          <xdr:rowOff>228600</xdr:rowOff>
        </xdr:to>
        <xdr:sp macro="" textlink="">
          <xdr:nvSpPr>
            <xdr:cNvPr id="86126" name="Option Button 110" hidden="1">
              <a:extLst>
                <a:ext uri="{63B3BB69-23CF-44E3-9099-C40C66FF867C}">
                  <a14:compatExt spid="_x0000_s86126"/>
                </a:ext>
                <a:ext uri="{FF2B5EF4-FFF2-40B4-BE49-F238E27FC236}">
                  <a16:creationId xmlns:a16="http://schemas.microsoft.com/office/drawing/2014/main" id="{00000000-0008-0000-3500-00006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39</xdr:row>
          <xdr:rowOff>19050</xdr:rowOff>
        </xdr:from>
        <xdr:to>
          <xdr:col>4</xdr:col>
          <xdr:colOff>412750</xdr:colOff>
          <xdr:row>39</xdr:row>
          <xdr:rowOff>228600</xdr:rowOff>
        </xdr:to>
        <xdr:sp macro="" textlink="">
          <xdr:nvSpPr>
            <xdr:cNvPr id="86127" name="Option Button 111" hidden="1">
              <a:extLst>
                <a:ext uri="{63B3BB69-23CF-44E3-9099-C40C66FF867C}">
                  <a14:compatExt spid="_x0000_s86127"/>
                </a:ext>
                <a:ext uri="{FF2B5EF4-FFF2-40B4-BE49-F238E27FC236}">
                  <a16:creationId xmlns:a16="http://schemas.microsoft.com/office/drawing/2014/main" id="{00000000-0008-0000-3500-00006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39</xdr:row>
          <xdr:rowOff>19050</xdr:rowOff>
        </xdr:from>
        <xdr:to>
          <xdr:col>5</xdr:col>
          <xdr:colOff>412750</xdr:colOff>
          <xdr:row>39</xdr:row>
          <xdr:rowOff>228600</xdr:rowOff>
        </xdr:to>
        <xdr:sp macro="" textlink="">
          <xdr:nvSpPr>
            <xdr:cNvPr id="86128" name="Option Button 112" hidden="1">
              <a:extLst>
                <a:ext uri="{63B3BB69-23CF-44E3-9099-C40C66FF867C}">
                  <a14:compatExt spid="_x0000_s86128"/>
                </a:ext>
                <a:ext uri="{FF2B5EF4-FFF2-40B4-BE49-F238E27FC236}">
                  <a16:creationId xmlns:a16="http://schemas.microsoft.com/office/drawing/2014/main" id="{00000000-0008-0000-3500-00007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39</xdr:row>
          <xdr:rowOff>19050</xdr:rowOff>
        </xdr:from>
        <xdr:to>
          <xdr:col>6</xdr:col>
          <xdr:colOff>412750</xdr:colOff>
          <xdr:row>39</xdr:row>
          <xdr:rowOff>228600</xdr:rowOff>
        </xdr:to>
        <xdr:sp macro="" textlink="">
          <xdr:nvSpPr>
            <xdr:cNvPr id="86129" name="Option Button 113" hidden="1">
              <a:extLst>
                <a:ext uri="{63B3BB69-23CF-44E3-9099-C40C66FF867C}">
                  <a14:compatExt spid="_x0000_s86129"/>
                </a:ext>
                <a:ext uri="{FF2B5EF4-FFF2-40B4-BE49-F238E27FC236}">
                  <a16:creationId xmlns:a16="http://schemas.microsoft.com/office/drawing/2014/main" id="{00000000-0008-0000-3500-00007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40</xdr:row>
          <xdr:rowOff>19050</xdr:rowOff>
        </xdr:from>
        <xdr:to>
          <xdr:col>3</xdr:col>
          <xdr:colOff>412750</xdr:colOff>
          <xdr:row>40</xdr:row>
          <xdr:rowOff>228600</xdr:rowOff>
        </xdr:to>
        <xdr:sp macro="" textlink="">
          <xdr:nvSpPr>
            <xdr:cNvPr id="86130" name="Option Button 114" hidden="1">
              <a:extLst>
                <a:ext uri="{63B3BB69-23CF-44E3-9099-C40C66FF867C}">
                  <a14:compatExt spid="_x0000_s86130"/>
                </a:ext>
                <a:ext uri="{FF2B5EF4-FFF2-40B4-BE49-F238E27FC236}">
                  <a16:creationId xmlns:a16="http://schemas.microsoft.com/office/drawing/2014/main" id="{00000000-0008-0000-3500-00007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40</xdr:row>
          <xdr:rowOff>19050</xdr:rowOff>
        </xdr:from>
        <xdr:to>
          <xdr:col>4</xdr:col>
          <xdr:colOff>412750</xdr:colOff>
          <xdr:row>40</xdr:row>
          <xdr:rowOff>228600</xdr:rowOff>
        </xdr:to>
        <xdr:sp macro="" textlink="">
          <xdr:nvSpPr>
            <xdr:cNvPr id="86131" name="Option Button 115" hidden="1">
              <a:extLst>
                <a:ext uri="{63B3BB69-23CF-44E3-9099-C40C66FF867C}">
                  <a14:compatExt spid="_x0000_s86131"/>
                </a:ext>
                <a:ext uri="{FF2B5EF4-FFF2-40B4-BE49-F238E27FC236}">
                  <a16:creationId xmlns:a16="http://schemas.microsoft.com/office/drawing/2014/main" id="{00000000-0008-0000-3500-00007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40</xdr:row>
          <xdr:rowOff>19050</xdr:rowOff>
        </xdr:from>
        <xdr:to>
          <xdr:col>5</xdr:col>
          <xdr:colOff>412750</xdr:colOff>
          <xdr:row>40</xdr:row>
          <xdr:rowOff>228600</xdr:rowOff>
        </xdr:to>
        <xdr:sp macro="" textlink="">
          <xdr:nvSpPr>
            <xdr:cNvPr id="86132" name="Option Button 116" hidden="1">
              <a:extLst>
                <a:ext uri="{63B3BB69-23CF-44E3-9099-C40C66FF867C}">
                  <a14:compatExt spid="_x0000_s86132"/>
                </a:ext>
                <a:ext uri="{FF2B5EF4-FFF2-40B4-BE49-F238E27FC236}">
                  <a16:creationId xmlns:a16="http://schemas.microsoft.com/office/drawing/2014/main" id="{00000000-0008-0000-3500-00007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40</xdr:row>
          <xdr:rowOff>19050</xdr:rowOff>
        </xdr:from>
        <xdr:to>
          <xdr:col>6</xdr:col>
          <xdr:colOff>412750</xdr:colOff>
          <xdr:row>40</xdr:row>
          <xdr:rowOff>228600</xdr:rowOff>
        </xdr:to>
        <xdr:sp macro="" textlink="">
          <xdr:nvSpPr>
            <xdr:cNvPr id="86133" name="Option Button 117" hidden="1">
              <a:extLst>
                <a:ext uri="{63B3BB69-23CF-44E3-9099-C40C66FF867C}">
                  <a14:compatExt spid="_x0000_s86133"/>
                </a:ext>
                <a:ext uri="{FF2B5EF4-FFF2-40B4-BE49-F238E27FC236}">
                  <a16:creationId xmlns:a16="http://schemas.microsoft.com/office/drawing/2014/main" id="{00000000-0008-0000-3500-00007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xdr:row>
          <xdr:rowOff>19050</xdr:rowOff>
        </xdr:from>
        <xdr:to>
          <xdr:col>3</xdr:col>
          <xdr:colOff>412750</xdr:colOff>
          <xdr:row>41</xdr:row>
          <xdr:rowOff>228600</xdr:rowOff>
        </xdr:to>
        <xdr:sp macro="" textlink="">
          <xdr:nvSpPr>
            <xdr:cNvPr id="86134" name="Option Button 118" hidden="1">
              <a:extLst>
                <a:ext uri="{63B3BB69-23CF-44E3-9099-C40C66FF867C}">
                  <a14:compatExt spid="_x0000_s86134"/>
                </a:ext>
                <a:ext uri="{FF2B5EF4-FFF2-40B4-BE49-F238E27FC236}">
                  <a16:creationId xmlns:a16="http://schemas.microsoft.com/office/drawing/2014/main" id="{00000000-0008-0000-3500-00007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41</xdr:row>
          <xdr:rowOff>19050</xdr:rowOff>
        </xdr:from>
        <xdr:to>
          <xdr:col>4</xdr:col>
          <xdr:colOff>412750</xdr:colOff>
          <xdr:row>41</xdr:row>
          <xdr:rowOff>228600</xdr:rowOff>
        </xdr:to>
        <xdr:sp macro="" textlink="">
          <xdr:nvSpPr>
            <xdr:cNvPr id="86135" name="Option Button 119" hidden="1">
              <a:extLst>
                <a:ext uri="{63B3BB69-23CF-44E3-9099-C40C66FF867C}">
                  <a14:compatExt spid="_x0000_s86135"/>
                </a:ext>
                <a:ext uri="{FF2B5EF4-FFF2-40B4-BE49-F238E27FC236}">
                  <a16:creationId xmlns:a16="http://schemas.microsoft.com/office/drawing/2014/main" id="{00000000-0008-0000-3500-00007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41</xdr:row>
          <xdr:rowOff>19050</xdr:rowOff>
        </xdr:from>
        <xdr:to>
          <xdr:col>5</xdr:col>
          <xdr:colOff>412750</xdr:colOff>
          <xdr:row>41</xdr:row>
          <xdr:rowOff>228600</xdr:rowOff>
        </xdr:to>
        <xdr:sp macro="" textlink="">
          <xdr:nvSpPr>
            <xdr:cNvPr id="86136" name="Option Button 120" hidden="1">
              <a:extLst>
                <a:ext uri="{63B3BB69-23CF-44E3-9099-C40C66FF867C}">
                  <a14:compatExt spid="_x0000_s86136"/>
                </a:ext>
                <a:ext uri="{FF2B5EF4-FFF2-40B4-BE49-F238E27FC236}">
                  <a16:creationId xmlns:a16="http://schemas.microsoft.com/office/drawing/2014/main" id="{00000000-0008-0000-3500-00007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41</xdr:row>
          <xdr:rowOff>19050</xdr:rowOff>
        </xdr:from>
        <xdr:to>
          <xdr:col>6</xdr:col>
          <xdr:colOff>412750</xdr:colOff>
          <xdr:row>41</xdr:row>
          <xdr:rowOff>228600</xdr:rowOff>
        </xdr:to>
        <xdr:sp macro="" textlink="">
          <xdr:nvSpPr>
            <xdr:cNvPr id="86137" name="Option Button 121" hidden="1">
              <a:extLst>
                <a:ext uri="{63B3BB69-23CF-44E3-9099-C40C66FF867C}">
                  <a14:compatExt spid="_x0000_s86137"/>
                </a:ext>
                <a:ext uri="{FF2B5EF4-FFF2-40B4-BE49-F238E27FC236}">
                  <a16:creationId xmlns:a16="http://schemas.microsoft.com/office/drawing/2014/main" id="{00000000-0008-0000-3500-00007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42</xdr:row>
          <xdr:rowOff>19050</xdr:rowOff>
        </xdr:from>
        <xdr:to>
          <xdr:col>3</xdr:col>
          <xdr:colOff>412750</xdr:colOff>
          <xdr:row>42</xdr:row>
          <xdr:rowOff>228600</xdr:rowOff>
        </xdr:to>
        <xdr:sp macro="" textlink="">
          <xdr:nvSpPr>
            <xdr:cNvPr id="86138" name="Option Button 122" hidden="1">
              <a:extLst>
                <a:ext uri="{63B3BB69-23CF-44E3-9099-C40C66FF867C}">
                  <a14:compatExt spid="_x0000_s86138"/>
                </a:ext>
                <a:ext uri="{FF2B5EF4-FFF2-40B4-BE49-F238E27FC236}">
                  <a16:creationId xmlns:a16="http://schemas.microsoft.com/office/drawing/2014/main" id="{00000000-0008-0000-3500-00007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42</xdr:row>
          <xdr:rowOff>19050</xdr:rowOff>
        </xdr:from>
        <xdr:to>
          <xdr:col>4</xdr:col>
          <xdr:colOff>412750</xdr:colOff>
          <xdr:row>42</xdr:row>
          <xdr:rowOff>228600</xdr:rowOff>
        </xdr:to>
        <xdr:sp macro="" textlink="">
          <xdr:nvSpPr>
            <xdr:cNvPr id="86139" name="Option Button 123" hidden="1">
              <a:extLst>
                <a:ext uri="{63B3BB69-23CF-44E3-9099-C40C66FF867C}">
                  <a14:compatExt spid="_x0000_s86139"/>
                </a:ext>
                <a:ext uri="{FF2B5EF4-FFF2-40B4-BE49-F238E27FC236}">
                  <a16:creationId xmlns:a16="http://schemas.microsoft.com/office/drawing/2014/main" id="{00000000-0008-0000-3500-00007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42</xdr:row>
          <xdr:rowOff>19050</xdr:rowOff>
        </xdr:from>
        <xdr:to>
          <xdr:col>5</xdr:col>
          <xdr:colOff>412750</xdr:colOff>
          <xdr:row>42</xdr:row>
          <xdr:rowOff>228600</xdr:rowOff>
        </xdr:to>
        <xdr:sp macro="" textlink="">
          <xdr:nvSpPr>
            <xdr:cNvPr id="86140" name="Option Button 124" hidden="1">
              <a:extLst>
                <a:ext uri="{63B3BB69-23CF-44E3-9099-C40C66FF867C}">
                  <a14:compatExt spid="_x0000_s86140"/>
                </a:ext>
                <a:ext uri="{FF2B5EF4-FFF2-40B4-BE49-F238E27FC236}">
                  <a16:creationId xmlns:a16="http://schemas.microsoft.com/office/drawing/2014/main" id="{00000000-0008-0000-3500-00007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xdr:row>
          <xdr:rowOff>19050</xdr:rowOff>
        </xdr:from>
        <xdr:to>
          <xdr:col>6</xdr:col>
          <xdr:colOff>412750</xdr:colOff>
          <xdr:row>42</xdr:row>
          <xdr:rowOff>228600</xdr:rowOff>
        </xdr:to>
        <xdr:sp macro="" textlink="">
          <xdr:nvSpPr>
            <xdr:cNvPr id="86141" name="Option Button 125" hidden="1">
              <a:extLst>
                <a:ext uri="{63B3BB69-23CF-44E3-9099-C40C66FF867C}">
                  <a14:compatExt spid="_x0000_s86141"/>
                </a:ext>
                <a:ext uri="{FF2B5EF4-FFF2-40B4-BE49-F238E27FC236}">
                  <a16:creationId xmlns:a16="http://schemas.microsoft.com/office/drawing/2014/main" id="{00000000-0008-0000-3500-00007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43</xdr:row>
          <xdr:rowOff>19050</xdr:rowOff>
        </xdr:from>
        <xdr:to>
          <xdr:col>3</xdr:col>
          <xdr:colOff>412750</xdr:colOff>
          <xdr:row>43</xdr:row>
          <xdr:rowOff>228600</xdr:rowOff>
        </xdr:to>
        <xdr:sp macro="" textlink="">
          <xdr:nvSpPr>
            <xdr:cNvPr id="86142" name="Option Button 126" hidden="1">
              <a:extLst>
                <a:ext uri="{63B3BB69-23CF-44E3-9099-C40C66FF867C}">
                  <a14:compatExt spid="_x0000_s86142"/>
                </a:ext>
                <a:ext uri="{FF2B5EF4-FFF2-40B4-BE49-F238E27FC236}">
                  <a16:creationId xmlns:a16="http://schemas.microsoft.com/office/drawing/2014/main" id="{00000000-0008-0000-3500-00007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43</xdr:row>
          <xdr:rowOff>19050</xdr:rowOff>
        </xdr:from>
        <xdr:to>
          <xdr:col>4</xdr:col>
          <xdr:colOff>412750</xdr:colOff>
          <xdr:row>43</xdr:row>
          <xdr:rowOff>228600</xdr:rowOff>
        </xdr:to>
        <xdr:sp macro="" textlink="">
          <xdr:nvSpPr>
            <xdr:cNvPr id="86143" name="Option Button 127" hidden="1">
              <a:extLst>
                <a:ext uri="{63B3BB69-23CF-44E3-9099-C40C66FF867C}">
                  <a14:compatExt spid="_x0000_s86143"/>
                </a:ext>
                <a:ext uri="{FF2B5EF4-FFF2-40B4-BE49-F238E27FC236}">
                  <a16:creationId xmlns:a16="http://schemas.microsoft.com/office/drawing/2014/main" id="{00000000-0008-0000-3500-00007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43</xdr:row>
          <xdr:rowOff>19050</xdr:rowOff>
        </xdr:from>
        <xdr:to>
          <xdr:col>5</xdr:col>
          <xdr:colOff>412750</xdr:colOff>
          <xdr:row>43</xdr:row>
          <xdr:rowOff>228600</xdr:rowOff>
        </xdr:to>
        <xdr:sp macro="" textlink="">
          <xdr:nvSpPr>
            <xdr:cNvPr id="86144" name="Option Button 128" hidden="1">
              <a:extLst>
                <a:ext uri="{63B3BB69-23CF-44E3-9099-C40C66FF867C}">
                  <a14:compatExt spid="_x0000_s86144"/>
                </a:ext>
                <a:ext uri="{FF2B5EF4-FFF2-40B4-BE49-F238E27FC236}">
                  <a16:creationId xmlns:a16="http://schemas.microsoft.com/office/drawing/2014/main" id="{00000000-0008-0000-3500-00008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43</xdr:row>
          <xdr:rowOff>19050</xdr:rowOff>
        </xdr:from>
        <xdr:to>
          <xdr:col>6</xdr:col>
          <xdr:colOff>412750</xdr:colOff>
          <xdr:row>43</xdr:row>
          <xdr:rowOff>228600</xdr:rowOff>
        </xdr:to>
        <xdr:sp macro="" textlink="">
          <xdr:nvSpPr>
            <xdr:cNvPr id="86145" name="Option Button 129" hidden="1">
              <a:extLst>
                <a:ext uri="{63B3BB69-23CF-44E3-9099-C40C66FF867C}">
                  <a14:compatExt spid="_x0000_s86145"/>
                </a:ext>
                <a:ext uri="{FF2B5EF4-FFF2-40B4-BE49-F238E27FC236}">
                  <a16:creationId xmlns:a16="http://schemas.microsoft.com/office/drawing/2014/main" id="{00000000-0008-0000-3500-00008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44</xdr:row>
          <xdr:rowOff>19050</xdr:rowOff>
        </xdr:from>
        <xdr:to>
          <xdr:col>3</xdr:col>
          <xdr:colOff>412750</xdr:colOff>
          <xdr:row>44</xdr:row>
          <xdr:rowOff>228600</xdr:rowOff>
        </xdr:to>
        <xdr:sp macro="" textlink="">
          <xdr:nvSpPr>
            <xdr:cNvPr id="86146" name="Option Button 130" hidden="1">
              <a:extLst>
                <a:ext uri="{63B3BB69-23CF-44E3-9099-C40C66FF867C}">
                  <a14:compatExt spid="_x0000_s86146"/>
                </a:ext>
                <a:ext uri="{FF2B5EF4-FFF2-40B4-BE49-F238E27FC236}">
                  <a16:creationId xmlns:a16="http://schemas.microsoft.com/office/drawing/2014/main" id="{00000000-0008-0000-3500-00008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44</xdr:row>
          <xdr:rowOff>19050</xdr:rowOff>
        </xdr:from>
        <xdr:to>
          <xdr:col>4</xdr:col>
          <xdr:colOff>412750</xdr:colOff>
          <xdr:row>44</xdr:row>
          <xdr:rowOff>228600</xdr:rowOff>
        </xdr:to>
        <xdr:sp macro="" textlink="">
          <xdr:nvSpPr>
            <xdr:cNvPr id="86147" name="Option Button 131" hidden="1">
              <a:extLst>
                <a:ext uri="{63B3BB69-23CF-44E3-9099-C40C66FF867C}">
                  <a14:compatExt spid="_x0000_s86147"/>
                </a:ext>
                <a:ext uri="{FF2B5EF4-FFF2-40B4-BE49-F238E27FC236}">
                  <a16:creationId xmlns:a16="http://schemas.microsoft.com/office/drawing/2014/main" id="{00000000-0008-0000-3500-00008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44</xdr:row>
          <xdr:rowOff>19050</xdr:rowOff>
        </xdr:from>
        <xdr:to>
          <xdr:col>5</xdr:col>
          <xdr:colOff>412750</xdr:colOff>
          <xdr:row>44</xdr:row>
          <xdr:rowOff>228600</xdr:rowOff>
        </xdr:to>
        <xdr:sp macro="" textlink="">
          <xdr:nvSpPr>
            <xdr:cNvPr id="86148" name="Option Button 132" hidden="1">
              <a:extLst>
                <a:ext uri="{63B3BB69-23CF-44E3-9099-C40C66FF867C}">
                  <a14:compatExt spid="_x0000_s86148"/>
                </a:ext>
                <a:ext uri="{FF2B5EF4-FFF2-40B4-BE49-F238E27FC236}">
                  <a16:creationId xmlns:a16="http://schemas.microsoft.com/office/drawing/2014/main" id="{00000000-0008-0000-3500-00008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44</xdr:row>
          <xdr:rowOff>19050</xdr:rowOff>
        </xdr:from>
        <xdr:to>
          <xdr:col>6</xdr:col>
          <xdr:colOff>412750</xdr:colOff>
          <xdr:row>44</xdr:row>
          <xdr:rowOff>228600</xdr:rowOff>
        </xdr:to>
        <xdr:sp macro="" textlink="">
          <xdr:nvSpPr>
            <xdr:cNvPr id="86149" name="Option Button 133" hidden="1">
              <a:extLst>
                <a:ext uri="{63B3BB69-23CF-44E3-9099-C40C66FF867C}">
                  <a14:compatExt spid="_x0000_s86149"/>
                </a:ext>
                <a:ext uri="{FF2B5EF4-FFF2-40B4-BE49-F238E27FC236}">
                  <a16:creationId xmlns:a16="http://schemas.microsoft.com/office/drawing/2014/main" id="{00000000-0008-0000-3500-00008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45</xdr:row>
          <xdr:rowOff>19050</xdr:rowOff>
        </xdr:from>
        <xdr:to>
          <xdr:col>3</xdr:col>
          <xdr:colOff>412750</xdr:colOff>
          <xdr:row>45</xdr:row>
          <xdr:rowOff>228600</xdr:rowOff>
        </xdr:to>
        <xdr:sp macro="" textlink="">
          <xdr:nvSpPr>
            <xdr:cNvPr id="86150" name="Option Button 134" hidden="1">
              <a:extLst>
                <a:ext uri="{63B3BB69-23CF-44E3-9099-C40C66FF867C}">
                  <a14:compatExt spid="_x0000_s86150"/>
                </a:ext>
                <a:ext uri="{FF2B5EF4-FFF2-40B4-BE49-F238E27FC236}">
                  <a16:creationId xmlns:a16="http://schemas.microsoft.com/office/drawing/2014/main" id="{00000000-0008-0000-3500-00008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412750</xdr:colOff>
          <xdr:row>45</xdr:row>
          <xdr:rowOff>228600</xdr:rowOff>
        </xdr:to>
        <xdr:sp macro="" textlink="">
          <xdr:nvSpPr>
            <xdr:cNvPr id="86151" name="Option Button 135" hidden="1">
              <a:extLst>
                <a:ext uri="{63B3BB69-23CF-44E3-9099-C40C66FF867C}">
                  <a14:compatExt spid="_x0000_s86151"/>
                </a:ext>
                <a:ext uri="{FF2B5EF4-FFF2-40B4-BE49-F238E27FC236}">
                  <a16:creationId xmlns:a16="http://schemas.microsoft.com/office/drawing/2014/main" id="{00000000-0008-0000-3500-00008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45</xdr:row>
          <xdr:rowOff>19050</xdr:rowOff>
        </xdr:from>
        <xdr:to>
          <xdr:col>5</xdr:col>
          <xdr:colOff>412750</xdr:colOff>
          <xdr:row>45</xdr:row>
          <xdr:rowOff>228600</xdr:rowOff>
        </xdr:to>
        <xdr:sp macro="" textlink="">
          <xdr:nvSpPr>
            <xdr:cNvPr id="86152" name="Option Button 136" hidden="1">
              <a:extLst>
                <a:ext uri="{63B3BB69-23CF-44E3-9099-C40C66FF867C}">
                  <a14:compatExt spid="_x0000_s86152"/>
                </a:ext>
                <a:ext uri="{FF2B5EF4-FFF2-40B4-BE49-F238E27FC236}">
                  <a16:creationId xmlns:a16="http://schemas.microsoft.com/office/drawing/2014/main" id="{00000000-0008-0000-3500-00008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45</xdr:row>
          <xdr:rowOff>19050</xdr:rowOff>
        </xdr:from>
        <xdr:to>
          <xdr:col>6</xdr:col>
          <xdr:colOff>412750</xdr:colOff>
          <xdr:row>45</xdr:row>
          <xdr:rowOff>228600</xdr:rowOff>
        </xdr:to>
        <xdr:sp macro="" textlink="">
          <xdr:nvSpPr>
            <xdr:cNvPr id="86153" name="Option Button 137" hidden="1">
              <a:extLst>
                <a:ext uri="{63B3BB69-23CF-44E3-9099-C40C66FF867C}">
                  <a14:compatExt spid="_x0000_s86153"/>
                </a:ext>
                <a:ext uri="{FF2B5EF4-FFF2-40B4-BE49-F238E27FC236}">
                  <a16:creationId xmlns:a16="http://schemas.microsoft.com/office/drawing/2014/main" id="{00000000-0008-0000-3500-00008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46</xdr:row>
          <xdr:rowOff>19050</xdr:rowOff>
        </xdr:from>
        <xdr:to>
          <xdr:col>3</xdr:col>
          <xdr:colOff>412750</xdr:colOff>
          <xdr:row>46</xdr:row>
          <xdr:rowOff>228600</xdr:rowOff>
        </xdr:to>
        <xdr:sp macro="" textlink="">
          <xdr:nvSpPr>
            <xdr:cNvPr id="86154" name="Option Button 138" hidden="1">
              <a:extLst>
                <a:ext uri="{63B3BB69-23CF-44E3-9099-C40C66FF867C}">
                  <a14:compatExt spid="_x0000_s86154"/>
                </a:ext>
                <a:ext uri="{FF2B5EF4-FFF2-40B4-BE49-F238E27FC236}">
                  <a16:creationId xmlns:a16="http://schemas.microsoft.com/office/drawing/2014/main" id="{00000000-0008-0000-3500-00008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46</xdr:row>
          <xdr:rowOff>19050</xdr:rowOff>
        </xdr:from>
        <xdr:to>
          <xdr:col>4</xdr:col>
          <xdr:colOff>412750</xdr:colOff>
          <xdr:row>46</xdr:row>
          <xdr:rowOff>228600</xdr:rowOff>
        </xdr:to>
        <xdr:sp macro="" textlink="">
          <xdr:nvSpPr>
            <xdr:cNvPr id="86155" name="Option Button 139" hidden="1">
              <a:extLst>
                <a:ext uri="{63B3BB69-23CF-44E3-9099-C40C66FF867C}">
                  <a14:compatExt spid="_x0000_s86155"/>
                </a:ext>
                <a:ext uri="{FF2B5EF4-FFF2-40B4-BE49-F238E27FC236}">
                  <a16:creationId xmlns:a16="http://schemas.microsoft.com/office/drawing/2014/main" id="{00000000-0008-0000-3500-00008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46</xdr:row>
          <xdr:rowOff>19050</xdr:rowOff>
        </xdr:from>
        <xdr:to>
          <xdr:col>5</xdr:col>
          <xdr:colOff>412750</xdr:colOff>
          <xdr:row>46</xdr:row>
          <xdr:rowOff>228600</xdr:rowOff>
        </xdr:to>
        <xdr:sp macro="" textlink="">
          <xdr:nvSpPr>
            <xdr:cNvPr id="86156" name="Option Button 140" hidden="1">
              <a:extLst>
                <a:ext uri="{63B3BB69-23CF-44E3-9099-C40C66FF867C}">
                  <a14:compatExt spid="_x0000_s86156"/>
                </a:ext>
                <a:ext uri="{FF2B5EF4-FFF2-40B4-BE49-F238E27FC236}">
                  <a16:creationId xmlns:a16="http://schemas.microsoft.com/office/drawing/2014/main" id="{00000000-0008-0000-3500-00008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46</xdr:row>
          <xdr:rowOff>19050</xdr:rowOff>
        </xdr:from>
        <xdr:to>
          <xdr:col>6</xdr:col>
          <xdr:colOff>412750</xdr:colOff>
          <xdr:row>46</xdr:row>
          <xdr:rowOff>228600</xdr:rowOff>
        </xdr:to>
        <xdr:sp macro="" textlink="">
          <xdr:nvSpPr>
            <xdr:cNvPr id="86157" name="Option Button 141" hidden="1">
              <a:extLst>
                <a:ext uri="{63B3BB69-23CF-44E3-9099-C40C66FF867C}">
                  <a14:compatExt spid="_x0000_s86157"/>
                </a:ext>
                <a:ext uri="{FF2B5EF4-FFF2-40B4-BE49-F238E27FC236}">
                  <a16:creationId xmlns:a16="http://schemas.microsoft.com/office/drawing/2014/main" id="{00000000-0008-0000-3500-00008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47</xdr:row>
          <xdr:rowOff>19050</xdr:rowOff>
        </xdr:from>
        <xdr:to>
          <xdr:col>3</xdr:col>
          <xdr:colOff>412750</xdr:colOff>
          <xdr:row>47</xdr:row>
          <xdr:rowOff>228600</xdr:rowOff>
        </xdr:to>
        <xdr:sp macro="" textlink="">
          <xdr:nvSpPr>
            <xdr:cNvPr id="86158" name="Option Button 142" hidden="1">
              <a:extLst>
                <a:ext uri="{63B3BB69-23CF-44E3-9099-C40C66FF867C}">
                  <a14:compatExt spid="_x0000_s86158"/>
                </a:ext>
                <a:ext uri="{FF2B5EF4-FFF2-40B4-BE49-F238E27FC236}">
                  <a16:creationId xmlns:a16="http://schemas.microsoft.com/office/drawing/2014/main" id="{00000000-0008-0000-3500-00008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47</xdr:row>
          <xdr:rowOff>19050</xdr:rowOff>
        </xdr:from>
        <xdr:to>
          <xdr:col>4</xdr:col>
          <xdr:colOff>412750</xdr:colOff>
          <xdr:row>47</xdr:row>
          <xdr:rowOff>228600</xdr:rowOff>
        </xdr:to>
        <xdr:sp macro="" textlink="">
          <xdr:nvSpPr>
            <xdr:cNvPr id="86159" name="Option Button 143" hidden="1">
              <a:extLst>
                <a:ext uri="{63B3BB69-23CF-44E3-9099-C40C66FF867C}">
                  <a14:compatExt spid="_x0000_s86159"/>
                </a:ext>
                <a:ext uri="{FF2B5EF4-FFF2-40B4-BE49-F238E27FC236}">
                  <a16:creationId xmlns:a16="http://schemas.microsoft.com/office/drawing/2014/main" id="{00000000-0008-0000-3500-00008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47</xdr:row>
          <xdr:rowOff>19050</xdr:rowOff>
        </xdr:from>
        <xdr:to>
          <xdr:col>5</xdr:col>
          <xdr:colOff>412750</xdr:colOff>
          <xdr:row>47</xdr:row>
          <xdr:rowOff>228600</xdr:rowOff>
        </xdr:to>
        <xdr:sp macro="" textlink="">
          <xdr:nvSpPr>
            <xdr:cNvPr id="86160" name="Option Button 144" hidden="1">
              <a:extLst>
                <a:ext uri="{63B3BB69-23CF-44E3-9099-C40C66FF867C}">
                  <a14:compatExt spid="_x0000_s86160"/>
                </a:ext>
                <a:ext uri="{FF2B5EF4-FFF2-40B4-BE49-F238E27FC236}">
                  <a16:creationId xmlns:a16="http://schemas.microsoft.com/office/drawing/2014/main" id="{00000000-0008-0000-3500-00009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47</xdr:row>
          <xdr:rowOff>19050</xdr:rowOff>
        </xdr:from>
        <xdr:to>
          <xdr:col>6</xdr:col>
          <xdr:colOff>412750</xdr:colOff>
          <xdr:row>47</xdr:row>
          <xdr:rowOff>228600</xdr:rowOff>
        </xdr:to>
        <xdr:sp macro="" textlink="">
          <xdr:nvSpPr>
            <xdr:cNvPr id="86161" name="Option Button 145" hidden="1">
              <a:extLst>
                <a:ext uri="{63B3BB69-23CF-44E3-9099-C40C66FF867C}">
                  <a14:compatExt spid="_x0000_s86161"/>
                </a:ext>
                <a:ext uri="{FF2B5EF4-FFF2-40B4-BE49-F238E27FC236}">
                  <a16:creationId xmlns:a16="http://schemas.microsoft.com/office/drawing/2014/main" id="{00000000-0008-0000-3500-00009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48</xdr:row>
          <xdr:rowOff>19050</xdr:rowOff>
        </xdr:from>
        <xdr:to>
          <xdr:col>3</xdr:col>
          <xdr:colOff>412750</xdr:colOff>
          <xdr:row>48</xdr:row>
          <xdr:rowOff>228600</xdr:rowOff>
        </xdr:to>
        <xdr:sp macro="" textlink="">
          <xdr:nvSpPr>
            <xdr:cNvPr id="86162" name="Option Button 146" hidden="1">
              <a:extLst>
                <a:ext uri="{63B3BB69-23CF-44E3-9099-C40C66FF867C}">
                  <a14:compatExt spid="_x0000_s86162"/>
                </a:ext>
                <a:ext uri="{FF2B5EF4-FFF2-40B4-BE49-F238E27FC236}">
                  <a16:creationId xmlns:a16="http://schemas.microsoft.com/office/drawing/2014/main" id="{00000000-0008-0000-3500-00009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48</xdr:row>
          <xdr:rowOff>19050</xdr:rowOff>
        </xdr:from>
        <xdr:to>
          <xdr:col>4</xdr:col>
          <xdr:colOff>412750</xdr:colOff>
          <xdr:row>48</xdr:row>
          <xdr:rowOff>228600</xdr:rowOff>
        </xdr:to>
        <xdr:sp macro="" textlink="">
          <xdr:nvSpPr>
            <xdr:cNvPr id="86163" name="Option Button 147" hidden="1">
              <a:extLst>
                <a:ext uri="{63B3BB69-23CF-44E3-9099-C40C66FF867C}">
                  <a14:compatExt spid="_x0000_s86163"/>
                </a:ext>
                <a:ext uri="{FF2B5EF4-FFF2-40B4-BE49-F238E27FC236}">
                  <a16:creationId xmlns:a16="http://schemas.microsoft.com/office/drawing/2014/main" id="{00000000-0008-0000-3500-00009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48</xdr:row>
          <xdr:rowOff>19050</xdr:rowOff>
        </xdr:from>
        <xdr:to>
          <xdr:col>5</xdr:col>
          <xdr:colOff>412750</xdr:colOff>
          <xdr:row>48</xdr:row>
          <xdr:rowOff>228600</xdr:rowOff>
        </xdr:to>
        <xdr:sp macro="" textlink="">
          <xdr:nvSpPr>
            <xdr:cNvPr id="86164" name="Option Button 148" hidden="1">
              <a:extLst>
                <a:ext uri="{63B3BB69-23CF-44E3-9099-C40C66FF867C}">
                  <a14:compatExt spid="_x0000_s86164"/>
                </a:ext>
                <a:ext uri="{FF2B5EF4-FFF2-40B4-BE49-F238E27FC236}">
                  <a16:creationId xmlns:a16="http://schemas.microsoft.com/office/drawing/2014/main" id="{00000000-0008-0000-3500-00009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xdr:row>
          <xdr:rowOff>19050</xdr:rowOff>
        </xdr:from>
        <xdr:to>
          <xdr:col>6</xdr:col>
          <xdr:colOff>412750</xdr:colOff>
          <xdr:row>48</xdr:row>
          <xdr:rowOff>228600</xdr:rowOff>
        </xdr:to>
        <xdr:sp macro="" textlink="">
          <xdr:nvSpPr>
            <xdr:cNvPr id="86165" name="Option Button 149" hidden="1">
              <a:extLst>
                <a:ext uri="{63B3BB69-23CF-44E3-9099-C40C66FF867C}">
                  <a14:compatExt spid="_x0000_s86165"/>
                </a:ext>
                <a:ext uri="{FF2B5EF4-FFF2-40B4-BE49-F238E27FC236}">
                  <a16:creationId xmlns:a16="http://schemas.microsoft.com/office/drawing/2014/main" id="{00000000-0008-0000-3500-00009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6</xdr:col>
          <xdr:colOff>603250</xdr:colOff>
          <xdr:row>14</xdr:row>
          <xdr:rowOff>0</xdr:rowOff>
        </xdr:to>
        <xdr:sp macro="" textlink="">
          <xdr:nvSpPr>
            <xdr:cNvPr id="86166" name="Group Box 150" hidden="1">
              <a:extLst>
                <a:ext uri="{63B3BB69-23CF-44E3-9099-C40C66FF867C}">
                  <a14:compatExt spid="_x0000_s86166"/>
                </a:ext>
                <a:ext uri="{FF2B5EF4-FFF2-40B4-BE49-F238E27FC236}">
                  <a16:creationId xmlns:a16="http://schemas.microsoft.com/office/drawing/2014/main" id="{00000000-0008-0000-3500-00009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6</xdr:col>
          <xdr:colOff>603250</xdr:colOff>
          <xdr:row>15</xdr:row>
          <xdr:rowOff>0</xdr:rowOff>
        </xdr:to>
        <xdr:sp macro="" textlink="">
          <xdr:nvSpPr>
            <xdr:cNvPr id="86167" name="Group Box 151" hidden="1">
              <a:extLst>
                <a:ext uri="{63B3BB69-23CF-44E3-9099-C40C66FF867C}">
                  <a14:compatExt spid="_x0000_s86167"/>
                </a:ext>
                <a:ext uri="{FF2B5EF4-FFF2-40B4-BE49-F238E27FC236}">
                  <a16:creationId xmlns:a16="http://schemas.microsoft.com/office/drawing/2014/main" id="{00000000-0008-0000-3500-00009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6</xdr:col>
          <xdr:colOff>603250</xdr:colOff>
          <xdr:row>16</xdr:row>
          <xdr:rowOff>0</xdr:rowOff>
        </xdr:to>
        <xdr:sp macro="" textlink="">
          <xdr:nvSpPr>
            <xdr:cNvPr id="86168" name="Group Box 152" hidden="1">
              <a:extLst>
                <a:ext uri="{63B3BB69-23CF-44E3-9099-C40C66FF867C}">
                  <a14:compatExt spid="_x0000_s86168"/>
                </a:ext>
                <a:ext uri="{FF2B5EF4-FFF2-40B4-BE49-F238E27FC236}">
                  <a16:creationId xmlns:a16="http://schemas.microsoft.com/office/drawing/2014/main" id="{00000000-0008-0000-3500-00009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6</xdr:col>
          <xdr:colOff>603250</xdr:colOff>
          <xdr:row>17</xdr:row>
          <xdr:rowOff>0</xdr:rowOff>
        </xdr:to>
        <xdr:sp macro="" textlink="">
          <xdr:nvSpPr>
            <xdr:cNvPr id="86169" name="Group Box 153" hidden="1">
              <a:extLst>
                <a:ext uri="{63B3BB69-23CF-44E3-9099-C40C66FF867C}">
                  <a14:compatExt spid="_x0000_s86169"/>
                </a:ext>
                <a:ext uri="{FF2B5EF4-FFF2-40B4-BE49-F238E27FC236}">
                  <a16:creationId xmlns:a16="http://schemas.microsoft.com/office/drawing/2014/main" id="{00000000-0008-0000-3500-00009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6</xdr:col>
          <xdr:colOff>603250</xdr:colOff>
          <xdr:row>18</xdr:row>
          <xdr:rowOff>0</xdr:rowOff>
        </xdr:to>
        <xdr:sp macro="" textlink="">
          <xdr:nvSpPr>
            <xdr:cNvPr id="86170" name="Group Box 154" hidden="1">
              <a:extLst>
                <a:ext uri="{63B3BB69-23CF-44E3-9099-C40C66FF867C}">
                  <a14:compatExt spid="_x0000_s86170"/>
                </a:ext>
                <a:ext uri="{FF2B5EF4-FFF2-40B4-BE49-F238E27FC236}">
                  <a16:creationId xmlns:a16="http://schemas.microsoft.com/office/drawing/2014/main" id="{00000000-0008-0000-3500-00009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6</xdr:col>
          <xdr:colOff>603250</xdr:colOff>
          <xdr:row>19</xdr:row>
          <xdr:rowOff>0</xdr:rowOff>
        </xdr:to>
        <xdr:sp macro="" textlink="">
          <xdr:nvSpPr>
            <xdr:cNvPr id="86171" name="Group Box 155" hidden="1">
              <a:extLst>
                <a:ext uri="{63B3BB69-23CF-44E3-9099-C40C66FF867C}">
                  <a14:compatExt spid="_x0000_s86171"/>
                </a:ext>
                <a:ext uri="{FF2B5EF4-FFF2-40B4-BE49-F238E27FC236}">
                  <a16:creationId xmlns:a16="http://schemas.microsoft.com/office/drawing/2014/main" id="{00000000-0008-0000-3500-00009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6</xdr:col>
          <xdr:colOff>603250</xdr:colOff>
          <xdr:row>20</xdr:row>
          <xdr:rowOff>0</xdr:rowOff>
        </xdr:to>
        <xdr:sp macro="" textlink="">
          <xdr:nvSpPr>
            <xdr:cNvPr id="86172" name="Group Box 156" hidden="1">
              <a:extLst>
                <a:ext uri="{63B3BB69-23CF-44E3-9099-C40C66FF867C}">
                  <a14:compatExt spid="_x0000_s86172"/>
                </a:ext>
                <a:ext uri="{FF2B5EF4-FFF2-40B4-BE49-F238E27FC236}">
                  <a16:creationId xmlns:a16="http://schemas.microsoft.com/office/drawing/2014/main" id="{00000000-0008-0000-3500-00009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6</xdr:col>
          <xdr:colOff>603250</xdr:colOff>
          <xdr:row>21</xdr:row>
          <xdr:rowOff>0</xdr:rowOff>
        </xdr:to>
        <xdr:sp macro="" textlink="">
          <xdr:nvSpPr>
            <xdr:cNvPr id="86173" name="Group Box 157" hidden="1">
              <a:extLst>
                <a:ext uri="{63B3BB69-23CF-44E3-9099-C40C66FF867C}">
                  <a14:compatExt spid="_x0000_s86173"/>
                </a:ext>
                <a:ext uri="{FF2B5EF4-FFF2-40B4-BE49-F238E27FC236}">
                  <a16:creationId xmlns:a16="http://schemas.microsoft.com/office/drawing/2014/main" id="{00000000-0008-0000-3500-00009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6</xdr:col>
          <xdr:colOff>603250</xdr:colOff>
          <xdr:row>22</xdr:row>
          <xdr:rowOff>0</xdr:rowOff>
        </xdr:to>
        <xdr:sp macro="" textlink="">
          <xdr:nvSpPr>
            <xdr:cNvPr id="86174" name="Group Box 158" hidden="1">
              <a:extLst>
                <a:ext uri="{63B3BB69-23CF-44E3-9099-C40C66FF867C}">
                  <a14:compatExt spid="_x0000_s86174"/>
                </a:ext>
                <a:ext uri="{FF2B5EF4-FFF2-40B4-BE49-F238E27FC236}">
                  <a16:creationId xmlns:a16="http://schemas.microsoft.com/office/drawing/2014/main" id="{00000000-0008-0000-3500-00009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6</xdr:col>
          <xdr:colOff>603250</xdr:colOff>
          <xdr:row>23</xdr:row>
          <xdr:rowOff>0</xdr:rowOff>
        </xdr:to>
        <xdr:sp macro="" textlink="">
          <xdr:nvSpPr>
            <xdr:cNvPr id="86175" name="Group Box 159" hidden="1">
              <a:extLst>
                <a:ext uri="{63B3BB69-23CF-44E3-9099-C40C66FF867C}">
                  <a14:compatExt spid="_x0000_s86175"/>
                </a:ext>
                <a:ext uri="{FF2B5EF4-FFF2-40B4-BE49-F238E27FC236}">
                  <a16:creationId xmlns:a16="http://schemas.microsoft.com/office/drawing/2014/main" id="{00000000-0008-0000-3500-00009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6</xdr:col>
          <xdr:colOff>603250</xdr:colOff>
          <xdr:row>24</xdr:row>
          <xdr:rowOff>0</xdr:rowOff>
        </xdr:to>
        <xdr:sp macro="" textlink="">
          <xdr:nvSpPr>
            <xdr:cNvPr id="86176" name="Group Box 160" hidden="1">
              <a:extLst>
                <a:ext uri="{63B3BB69-23CF-44E3-9099-C40C66FF867C}">
                  <a14:compatExt spid="_x0000_s86176"/>
                </a:ext>
                <a:ext uri="{FF2B5EF4-FFF2-40B4-BE49-F238E27FC236}">
                  <a16:creationId xmlns:a16="http://schemas.microsoft.com/office/drawing/2014/main" id="{00000000-0008-0000-3500-0000A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6</xdr:col>
          <xdr:colOff>603250</xdr:colOff>
          <xdr:row>25</xdr:row>
          <xdr:rowOff>0</xdr:rowOff>
        </xdr:to>
        <xdr:sp macro="" textlink="">
          <xdr:nvSpPr>
            <xdr:cNvPr id="86177" name="Group Box 161" hidden="1">
              <a:extLst>
                <a:ext uri="{63B3BB69-23CF-44E3-9099-C40C66FF867C}">
                  <a14:compatExt spid="_x0000_s86177"/>
                </a:ext>
                <a:ext uri="{FF2B5EF4-FFF2-40B4-BE49-F238E27FC236}">
                  <a16:creationId xmlns:a16="http://schemas.microsoft.com/office/drawing/2014/main" id="{00000000-0008-0000-3500-0000A1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6</xdr:col>
          <xdr:colOff>603250</xdr:colOff>
          <xdr:row>26</xdr:row>
          <xdr:rowOff>0</xdr:rowOff>
        </xdr:to>
        <xdr:sp macro="" textlink="">
          <xdr:nvSpPr>
            <xdr:cNvPr id="86178" name="Group Box 162" hidden="1">
              <a:extLst>
                <a:ext uri="{63B3BB69-23CF-44E3-9099-C40C66FF867C}">
                  <a14:compatExt spid="_x0000_s86178"/>
                </a:ext>
                <a:ext uri="{FF2B5EF4-FFF2-40B4-BE49-F238E27FC236}">
                  <a16:creationId xmlns:a16="http://schemas.microsoft.com/office/drawing/2014/main" id="{00000000-0008-0000-3500-0000A2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6</xdr:col>
          <xdr:colOff>603250</xdr:colOff>
          <xdr:row>27</xdr:row>
          <xdr:rowOff>0</xdr:rowOff>
        </xdr:to>
        <xdr:sp macro="" textlink="">
          <xdr:nvSpPr>
            <xdr:cNvPr id="86179" name="Group Box 163" hidden="1">
              <a:extLst>
                <a:ext uri="{63B3BB69-23CF-44E3-9099-C40C66FF867C}">
                  <a14:compatExt spid="_x0000_s86179"/>
                </a:ext>
                <a:ext uri="{FF2B5EF4-FFF2-40B4-BE49-F238E27FC236}">
                  <a16:creationId xmlns:a16="http://schemas.microsoft.com/office/drawing/2014/main" id="{00000000-0008-0000-3500-0000A3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6</xdr:col>
          <xdr:colOff>603250</xdr:colOff>
          <xdr:row>28</xdr:row>
          <xdr:rowOff>0</xdr:rowOff>
        </xdr:to>
        <xdr:sp macro="" textlink="">
          <xdr:nvSpPr>
            <xdr:cNvPr id="86180" name="Group Box 164" hidden="1">
              <a:extLst>
                <a:ext uri="{63B3BB69-23CF-44E3-9099-C40C66FF867C}">
                  <a14:compatExt spid="_x0000_s86180"/>
                </a:ext>
                <a:ext uri="{FF2B5EF4-FFF2-40B4-BE49-F238E27FC236}">
                  <a16:creationId xmlns:a16="http://schemas.microsoft.com/office/drawing/2014/main" id="{00000000-0008-0000-3500-0000A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6</xdr:col>
          <xdr:colOff>603250</xdr:colOff>
          <xdr:row>29</xdr:row>
          <xdr:rowOff>0</xdr:rowOff>
        </xdr:to>
        <xdr:sp macro="" textlink="">
          <xdr:nvSpPr>
            <xdr:cNvPr id="86181" name="Group Box 165" hidden="1">
              <a:extLst>
                <a:ext uri="{63B3BB69-23CF-44E3-9099-C40C66FF867C}">
                  <a14:compatExt spid="_x0000_s86181"/>
                </a:ext>
                <a:ext uri="{FF2B5EF4-FFF2-40B4-BE49-F238E27FC236}">
                  <a16:creationId xmlns:a16="http://schemas.microsoft.com/office/drawing/2014/main" id="{00000000-0008-0000-3500-0000A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6</xdr:col>
          <xdr:colOff>603250</xdr:colOff>
          <xdr:row>30</xdr:row>
          <xdr:rowOff>0</xdr:rowOff>
        </xdr:to>
        <xdr:sp macro="" textlink="">
          <xdr:nvSpPr>
            <xdr:cNvPr id="86182" name="Group Box 166" hidden="1">
              <a:extLst>
                <a:ext uri="{63B3BB69-23CF-44E3-9099-C40C66FF867C}">
                  <a14:compatExt spid="_x0000_s86182"/>
                </a:ext>
                <a:ext uri="{FF2B5EF4-FFF2-40B4-BE49-F238E27FC236}">
                  <a16:creationId xmlns:a16="http://schemas.microsoft.com/office/drawing/2014/main" id="{00000000-0008-0000-3500-0000A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6</xdr:col>
          <xdr:colOff>603250</xdr:colOff>
          <xdr:row>31</xdr:row>
          <xdr:rowOff>0</xdr:rowOff>
        </xdr:to>
        <xdr:sp macro="" textlink="">
          <xdr:nvSpPr>
            <xdr:cNvPr id="86183" name="Group Box 167" hidden="1">
              <a:extLst>
                <a:ext uri="{63B3BB69-23CF-44E3-9099-C40C66FF867C}">
                  <a14:compatExt spid="_x0000_s86183"/>
                </a:ext>
                <a:ext uri="{FF2B5EF4-FFF2-40B4-BE49-F238E27FC236}">
                  <a16:creationId xmlns:a16="http://schemas.microsoft.com/office/drawing/2014/main" id="{00000000-0008-0000-3500-0000A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6</xdr:col>
          <xdr:colOff>603250</xdr:colOff>
          <xdr:row>32</xdr:row>
          <xdr:rowOff>0</xdr:rowOff>
        </xdr:to>
        <xdr:sp macro="" textlink="">
          <xdr:nvSpPr>
            <xdr:cNvPr id="86184" name="Group Box 168" hidden="1">
              <a:extLst>
                <a:ext uri="{63B3BB69-23CF-44E3-9099-C40C66FF867C}">
                  <a14:compatExt spid="_x0000_s86184"/>
                </a:ext>
                <a:ext uri="{FF2B5EF4-FFF2-40B4-BE49-F238E27FC236}">
                  <a16:creationId xmlns:a16="http://schemas.microsoft.com/office/drawing/2014/main" id="{00000000-0008-0000-3500-0000A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6</xdr:col>
          <xdr:colOff>603250</xdr:colOff>
          <xdr:row>33</xdr:row>
          <xdr:rowOff>0</xdr:rowOff>
        </xdr:to>
        <xdr:sp macro="" textlink="">
          <xdr:nvSpPr>
            <xdr:cNvPr id="86185" name="Group Box 169" hidden="1">
              <a:extLst>
                <a:ext uri="{63B3BB69-23CF-44E3-9099-C40C66FF867C}">
                  <a14:compatExt spid="_x0000_s86185"/>
                </a:ext>
                <a:ext uri="{FF2B5EF4-FFF2-40B4-BE49-F238E27FC236}">
                  <a16:creationId xmlns:a16="http://schemas.microsoft.com/office/drawing/2014/main" id="{00000000-0008-0000-3500-0000A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6</xdr:col>
          <xdr:colOff>603250</xdr:colOff>
          <xdr:row>34</xdr:row>
          <xdr:rowOff>0</xdr:rowOff>
        </xdr:to>
        <xdr:sp macro="" textlink="">
          <xdr:nvSpPr>
            <xdr:cNvPr id="86186" name="Group Box 170" hidden="1">
              <a:extLst>
                <a:ext uri="{63B3BB69-23CF-44E3-9099-C40C66FF867C}">
                  <a14:compatExt spid="_x0000_s86186"/>
                </a:ext>
                <a:ext uri="{FF2B5EF4-FFF2-40B4-BE49-F238E27FC236}">
                  <a16:creationId xmlns:a16="http://schemas.microsoft.com/office/drawing/2014/main" id="{00000000-0008-0000-3500-0000A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6</xdr:col>
          <xdr:colOff>603250</xdr:colOff>
          <xdr:row>35</xdr:row>
          <xdr:rowOff>0</xdr:rowOff>
        </xdr:to>
        <xdr:sp macro="" textlink="">
          <xdr:nvSpPr>
            <xdr:cNvPr id="86187" name="Group Box 171" hidden="1">
              <a:extLst>
                <a:ext uri="{63B3BB69-23CF-44E3-9099-C40C66FF867C}">
                  <a14:compatExt spid="_x0000_s86187"/>
                </a:ext>
                <a:ext uri="{FF2B5EF4-FFF2-40B4-BE49-F238E27FC236}">
                  <a16:creationId xmlns:a16="http://schemas.microsoft.com/office/drawing/2014/main" id="{00000000-0008-0000-3500-0000A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6</xdr:col>
          <xdr:colOff>603250</xdr:colOff>
          <xdr:row>36</xdr:row>
          <xdr:rowOff>0</xdr:rowOff>
        </xdr:to>
        <xdr:sp macro="" textlink="">
          <xdr:nvSpPr>
            <xdr:cNvPr id="86188" name="Group Box 172" hidden="1">
              <a:extLst>
                <a:ext uri="{63B3BB69-23CF-44E3-9099-C40C66FF867C}">
                  <a14:compatExt spid="_x0000_s86188"/>
                </a:ext>
                <a:ext uri="{FF2B5EF4-FFF2-40B4-BE49-F238E27FC236}">
                  <a16:creationId xmlns:a16="http://schemas.microsoft.com/office/drawing/2014/main" id="{00000000-0008-0000-3500-0000A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6</xdr:col>
          <xdr:colOff>603250</xdr:colOff>
          <xdr:row>37</xdr:row>
          <xdr:rowOff>0</xdr:rowOff>
        </xdr:to>
        <xdr:sp macro="" textlink="">
          <xdr:nvSpPr>
            <xdr:cNvPr id="86189" name="Group Box 173" hidden="1">
              <a:extLst>
                <a:ext uri="{63B3BB69-23CF-44E3-9099-C40C66FF867C}">
                  <a14:compatExt spid="_x0000_s86189"/>
                </a:ext>
                <a:ext uri="{FF2B5EF4-FFF2-40B4-BE49-F238E27FC236}">
                  <a16:creationId xmlns:a16="http://schemas.microsoft.com/office/drawing/2014/main" id="{00000000-0008-0000-3500-0000A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6</xdr:col>
          <xdr:colOff>603250</xdr:colOff>
          <xdr:row>38</xdr:row>
          <xdr:rowOff>0</xdr:rowOff>
        </xdr:to>
        <xdr:sp macro="" textlink="">
          <xdr:nvSpPr>
            <xdr:cNvPr id="86190" name="Group Box 174" hidden="1">
              <a:extLst>
                <a:ext uri="{63B3BB69-23CF-44E3-9099-C40C66FF867C}">
                  <a14:compatExt spid="_x0000_s86190"/>
                </a:ext>
                <a:ext uri="{FF2B5EF4-FFF2-40B4-BE49-F238E27FC236}">
                  <a16:creationId xmlns:a16="http://schemas.microsoft.com/office/drawing/2014/main" id="{00000000-0008-0000-3500-0000A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6</xdr:col>
          <xdr:colOff>603250</xdr:colOff>
          <xdr:row>39</xdr:row>
          <xdr:rowOff>0</xdr:rowOff>
        </xdr:to>
        <xdr:sp macro="" textlink="">
          <xdr:nvSpPr>
            <xdr:cNvPr id="86191" name="Group Box 175" hidden="1">
              <a:extLst>
                <a:ext uri="{63B3BB69-23CF-44E3-9099-C40C66FF867C}">
                  <a14:compatExt spid="_x0000_s86191"/>
                </a:ext>
                <a:ext uri="{FF2B5EF4-FFF2-40B4-BE49-F238E27FC236}">
                  <a16:creationId xmlns:a16="http://schemas.microsoft.com/office/drawing/2014/main" id="{00000000-0008-0000-3500-0000A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6</xdr:col>
          <xdr:colOff>603250</xdr:colOff>
          <xdr:row>40</xdr:row>
          <xdr:rowOff>0</xdr:rowOff>
        </xdr:to>
        <xdr:sp macro="" textlink="">
          <xdr:nvSpPr>
            <xdr:cNvPr id="86192" name="Group Box 176" hidden="1">
              <a:extLst>
                <a:ext uri="{63B3BB69-23CF-44E3-9099-C40C66FF867C}">
                  <a14:compatExt spid="_x0000_s86192"/>
                </a:ext>
                <a:ext uri="{FF2B5EF4-FFF2-40B4-BE49-F238E27FC236}">
                  <a16:creationId xmlns:a16="http://schemas.microsoft.com/office/drawing/2014/main" id="{00000000-0008-0000-3500-0000B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6</xdr:col>
          <xdr:colOff>603250</xdr:colOff>
          <xdr:row>41</xdr:row>
          <xdr:rowOff>0</xdr:rowOff>
        </xdr:to>
        <xdr:sp macro="" textlink="">
          <xdr:nvSpPr>
            <xdr:cNvPr id="86193" name="Group Box 177" hidden="1">
              <a:extLst>
                <a:ext uri="{63B3BB69-23CF-44E3-9099-C40C66FF867C}">
                  <a14:compatExt spid="_x0000_s86193"/>
                </a:ext>
                <a:ext uri="{FF2B5EF4-FFF2-40B4-BE49-F238E27FC236}">
                  <a16:creationId xmlns:a16="http://schemas.microsoft.com/office/drawing/2014/main" id="{00000000-0008-0000-3500-0000B1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6</xdr:col>
          <xdr:colOff>603250</xdr:colOff>
          <xdr:row>42</xdr:row>
          <xdr:rowOff>0</xdr:rowOff>
        </xdr:to>
        <xdr:sp macro="" textlink="">
          <xdr:nvSpPr>
            <xdr:cNvPr id="86194" name="Group Box 178" hidden="1">
              <a:extLst>
                <a:ext uri="{63B3BB69-23CF-44E3-9099-C40C66FF867C}">
                  <a14:compatExt spid="_x0000_s86194"/>
                </a:ext>
                <a:ext uri="{FF2B5EF4-FFF2-40B4-BE49-F238E27FC236}">
                  <a16:creationId xmlns:a16="http://schemas.microsoft.com/office/drawing/2014/main" id="{00000000-0008-0000-3500-0000B2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6</xdr:col>
          <xdr:colOff>603250</xdr:colOff>
          <xdr:row>43</xdr:row>
          <xdr:rowOff>0</xdr:rowOff>
        </xdr:to>
        <xdr:sp macro="" textlink="">
          <xdr:nvSpPr>
            <xdr:cNvPr id="86195" name="Group Box 179" hidden="1">
              <a:extLst>
                <a:ext uri="{63B3BB69-23CF-44E3-9099-C40C66FF867C}">
                  <a14:compatExt spid="_x0000_s86195"/>
                </a:ext>
                <a:ext uri="{FF2B5EF4-FFF2-40B4-BE49-F238E27FC236}">
                  <a16:creationId xmlns:a16="http://schemas.microsoft.com/office/drawing/2014/main" id="{00000000-0008-0000-3500-0000B3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6</xdr:col>
          <xdr:colOff>603250</xdr:colOff>
          <xdr:row>44</xdr:row>
          <xdr:rowOff>0</xdr:rowOff>
        </xdr:to>
        <xdr:sp macro="" textlink="">
          <xdr:nvSpPr>
            <xdr:cNvPr id="86196" name="Group Box 180" hidden="1">
              <a:extLst>
                <a:ext uri="{63B3BB69-23CF-44E3-9099-C40C66FF867C}">
                  <a14:compatExt spid="_x0000_s86196"/>
                </a:ext>
                <a:ext uri="{FF2B5EF4-FFF2-40B4-BE49-F238E27FC236}">
                  <a16:creationId xmlns:a16="http://schemas.microsoft.com/office/drawing/2014/main" id="{00000000-0008-0000-3500-0000B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6</xdr:col>
          <xdr:colOff>603250</xdr:colOff>
          <xdr:row>45</xdr:row>
          <xdr:rowOff>0</xdr:rowOff>
        </xdr:to>
        <xdr:sp macro="" textlink="">
          <xdr:nvSpPr>
            <xdr:cNvPr id="86197" name="Group Box 181" hidden="1">
              <a:extLst>
                <a:ext uri="{63B3BB69-23CF-44E3-9099-C40C66FF867C}">
                  <a14:compatExt spid="_x0000_s86197"/>
                </a:ext>
                <a:ext uri="{FF2B5EF4-FFF2-40B4-BE49-F238E27FC236}">
                  <a16:creationId xmlns:a16="http://schemas.microsoft.com/office/drawing/2014/main" id="{00000000-0008-0000-3500-0000B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6</xdr:col>
          <xdr:colOff>603250</xdr:colOff>
          <xdr:row>46</xdr:row>
          <xdr:rowOff>0</xdr:rowOff>
        </xdr:to>
        <xdr:sp macro="" textlink="">
          <xdr:nvSpPr>
            <xdr:cNvPr id="86198" name="Group Box 182" hidden="1">
              <a:extLst>
                <a:ext uri="{63B3BB69-23CF-44E3-9099-C40C66FF867C}">
                  <a14:compatExt spid="_x0000_s86198"/>
                </a:ext>
                <a:ext uri="{FF2B5EF4-FFF2-40B4-BE49-F238E27FC236}">
                  <a16:creationId xmlns:a16="http://schemas.microsoft.com/office/drawing/2014/main" id="{00000000-0008-0000-3500-0000B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6</xdr:col>
          <xdr:colOff>603250</xdr:colOff>
          <xdr:row>47</xdr:row>
          <xdr:rowOff>0</xdr:rowOff>
        </xdr:to>
        <xdr:sp macro="" textlink="">
          <xdr:nvSpPr>
            <xdr:cNvPr id="86199" name="Group Box 183" hidden="1">
              <a:extLst>
                <a:ext uri="{63B3BB69-23CF-44E3-9099-C40C66FF867C}">
                  <a14:compatExt spid="_x0000_s86199"/>
                </a:ext>
                <a:ext uri="{FF2B5EF4-FFF2-40B4-BE49-F238E27FC236}">
                  <a16:creationId xmlns:a16="http://schemas.microsoft.com/office/drawing/2014/main" id="{00000000-0008-0000-3500-0000B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6</xdr:col>
          <xdr:colOff>603250</xdr:colOff>
          <xdr:row>48</xdr:row>
          <xdr:rowOff>0</xdr:rowOff>
        </xdr:to>
        <xdr:sp macro="" textlink="">
          <xdr:nvSpPr>
            <xdr:cNvPr id="86200" name="Group Box 184" hidden="1">
              <a:extLst>
                <a:ext uri="{63B3BB69-23CF-44E3-9099-C40C66FF867C}">
                  <a14:compatExt spid="_x0000_s86200"/>
                </a:ext>
                <a:ext uri="{FF2B5EF4-FFF2-40B4-BE49-F238E27FC236}">
                  <a16:creationId xmlns:a16="http://schemas.microsoft.com/office/drawing/2014/main" id="{00000000-0008-0000-3500-0000B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6</xdr:col>
          <xdr:colOff>603250</xdr:colOff>
          <xdr:row>49</xdr:row>
          <xdr:rowOff>0</xdr:rowOff>
        </xdr:to>
        <xdr:sp macro="" textlink="">
          <xdr:nvSpPr>
            <xdr:cNvPr id="86201" name="Group Box 185" hidden="1">
              <a:extLst>
                <a:ext uri="{63B3BB69-23CF-44E3-9099-C40C66FF867C}">
                  <a14:compatExt spid="_x0000_s86201"/>
                </a:ext>
                <a:ext uri="{FF2B5EF4-FFF2-40B4-BE49-F238E27FC236}">
                  <a16:creationId xmlns:a16="http://schemas.microsoft.com/office/drawing/2014/main" id="{00000000-0008-0000-3500-0000B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6</xdr:col>
          <xdr:colOff>603250</xdr:colOff>
          <xdr:row>50</xdr:row>
          <xdr:rowOff>0</xdr:rowOff>
        </xdr:to>
        <xdr:sp macro="" textlink="">
          <xdr:nvSpPr>
            <xdr:cNvPr id="86202" name="Group Box 186" hidden="1">
              <a:extLst>
                <a:ext uri="{63B3BB69-23CF-44E3-9099-C40C66FF867C}">
                  <a14:compatExt spid="_x0000_s86202"/>
                </a:ext>
                <a:ext uri="{FF2B5EF4-FFF2-40B4-BE49-F238E27FC236}">
                  <a16:creationId xmlns:a16="http://schemas.microsoft.com/office/drawing/2014/main" id="{00000000-0008-0000-3500-0000B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6</xdr:col>
          <xdr:colOff>603250</xdr:colOff>
          <xdr:row>51</xdr:row>
          <xdr:rowOff>0</xdr:rowOff>
        </xdr:to>
        <xdr:sp macro="" textlink="">
          <xdr:nvSpPr>
            <xdr:cNvPr id="86203" name="Group Box 187" hidden="1">
              <a:extLst>
                <a:ext uri="{63B3BB69-23CF-44E3-9099-C40C66FF867C}">
                  <a14:compatExt spid="_x0000_s86203"/>
                </a:ext>
                <a:ext uri="{FF2B5EF4-FFF2-40B4-BE49-F238E27FC236}">
                  <a16:creationId xmlns:a16="http://schemas.microsoft.com/office/drawing/2014/main" id="{00000000-0008-0000-3500-0000B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6</xdr:col>
          <xdr:colOff>603250</xdr:colOff>
          <xdr:row>52</xdr:row>
          <xdr:rowOff>0</xdr:rowOff>
        </xdr:to>
        <xdr:sp macro="" textlink="">
          <xdr:nvSpPr>
            <xdr:cNvPr id="86204" name="Group Box 188" hidden="1">
              <a:extLst>
                <a:ext uri="{63B3BB69-23CF-44E3-9099-C40C66FF867C}">
                  <a14:compatExt spid="_x0000_s86204"/>
                </a:ext>
                <a:ext uri="{FF2B5EF4-FFF2-40B4-BE49-F238E27FC236}">
                  <a16:creationId xmlns:a16="http://schemas.microsoft.com/office/drawing/2014/main" id="{00000000-0008-0000-3500-0000B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12</xdr:col>
      <xdr:colOff>38100</xdr:colOff>
      <xdr:row>6</xdr:row>
      <xdr:rowOff>97100</xdr:rowOff>
    </xdr:from>
    <xdr:to>
      <xdr:col>13</xdr:col>
      <xdr:colOff>482600</xdr:colOff>
      <xdr:row>8</xdr:row>
      <xdr:rowOff>228600</xdr:rowOff>
    </xdr:to>
    <xdr:sp macro="" textlink="">
      <xdr:nvSpPr>
        <xdr:cNvPr id="191" name="AutoShape 48">
          <a:hlinkClick xmlns:r="http://schemas.openxmlformats.org/officeDocument/2006/relationships" r:id="rId2"/>
          <a:extLst>
            <a:ext uri="{FF2B5EF4-FFF2-40B4-BE49-F238E27FC236}">
              <a16:creationId xmlns:a16="http://schemas.microsoft.com/office/drawing/2014/main" id="{00000000-0008-0000-3500-0000BF000000}"/>
            </a:ext>
          </a:extLst>
        </xdr:cNvPr>
        <xdr:cNvSpPr>
          <a:spLocks noChangeArrowheads="1"/>
        </xdr:cNvSpPr>
      </xdr:nvSpPr>
      <xdr:spPr bwMode="auto">
        <a:xfrm>
          <a:off x="7740650" y="1627450"/>
          <a:ext cx="1085850" cy="639500"/>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informatie</a:t>
          </a:r>
          <a:endParaRPr lang="nl-NL" sz="1400"/>
        </a:p>
      </xdr:txBody>
    </xdr:sp>
    <xdr:clientData/>
  </xdr:twoCellAnchor>
  <xdr:twoCellAnchor>
    <xdr:from>
      <xdr:col>12</xdr:col>
      <xdr:colOff>25400</xdr:colOff>
      <xdr:row>3</xdr:row>
      <xdr:rowOff>139700</xdr:rowOff>
    </xdr:from>
    <xdr:to>
      <xdr:col>13</xdr:col>
      <xdr:colOff>468816</xdr:colOff>
      <xdr:row>6</xdr:row>
      <xdr:rowOff>9876</xdr:rowOff>
    </xdr:to>
    <xdr:sp macro="" textlink="">
      <xdr:nvSpPr>
        <xdr:cNvPr id="192" name="AutoShape 48">
          <a:hlinkClick xmlns:r="http://schemas.openxmlformats.org/officeDocument/2006/relationships" r:id="rId3"/>
          <a:extLst>
            <a:ext uri="{FF2B5EF4-FFF2-40B4-BE49-F238E27FC236}">
              <a16:creationId xmlns:a16="http://schemas.microsoft.com/office/drawing/2014/main" id="{00000000-0008-0000-3500-0000C0000000}"/>
            </a:ext>
          </a:extLst>
        </xdr:cNvPr>
        <xdr:cNvSpPr>
          <a:spLocks noChangeArrowheads="1"/>
        </xdr:cNvSpPr>
      </xdr:nvSpPr>
      <xdr:spPr bwMode="auto">
        <a:xfrm>
          <a:off x="7727950" y="908050"/>
          <a:ext cx="1084766" cy="63217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beginblad</a:t>
          </a:r>
          <a:endParaRPr lang="nl-NL" sz="1400"/>
        </a:p>
      </xdr:txBody>
    </xdr:sp>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228600</xdr:colOff>
      <xdr:row>5</xdr:row>
      <xdr:rowOff>57150</xdr:rowOff>
    </xdr:from>
    <xdr:to>
      <xdr:col>4</xdr:col>
      <xdr:colOff>2009819</xdr:colOff>
      <xdr:row>5</xdr:row>
      <xdr:rowOff>1381125</xdr:rowOff>
    </xdr:to>
    <xdr:pic>
      <xdr:nvPicPr>
        <xdr:cNvPr id="2" name="Picture 2">
          <a:extLst>
            <a:ext uri="{FF2B5EF4-FFF2-40B4-BE49-F238E27FC236}">
              <a16:creationId xmlns:a16="http://schemas.microsoft.com/office/drawing/2014/main" id="{00000000-0008-0000-3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3171825"/>
          <a:ext cx="2409869" cy="1323975"/>
        </a:xfrm>
        <a:prstGeom prst="rect">
          <a:avLst/>
        </a:prstGeom>
        <a:noFill/>
        <a:ln w="9525">
          <a:noFill/>
          <a:miter lim="800000"/>
          <a:headEnd/>
          <a:tailEnd/>
        </a:ln>
      </xdr:spPr>
    </xdr:pic>
    <xdr:clientData/>
  </xdr:twoCellAnchor>
  <xdr:twoCellAnchor editAs="oneCell">
    <xdr:from>
      <xdr:col>2</xdr:col>
      <xdr:colOff>276225</xdr:colOff>
      <xdr:row>21</xdr:row>
      <xdr:rowOff>104775</xdr:rowOff>
    </xdr:from>
    <xdr:to>
      <xdr:col>4</xdr:col>
      <xdr:colOff>1711007</xdr:colOff>
      <xdr:row>21</xdr:row>
      <xdr:rowOff>1381125</xdr:rowOff>
    </xdr:to>
    <xdr:pic>
      <xdr:nvPicPr>
        <xdr:cNvPr id="3" name="Picture 6">
          <a:extLst>
            <a:ext uri="{FF2B5EF4-FFF2-40B4-BE49-F238E27FC236}">
              <a16:creationId xmlns:a16="http://schemas.microsoft.com/office/drawing/2014/main" id="{00000000-0008-0000-3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04875" y="9077325"/>
          <a:ext cx="2063432" cy="1276350"/>
        </a:xfrm>
        <a:prstGeom prst="rect">
          <a:avLst/>
        </a:prstGeom>
        <a:noFill/>
        <a:ln w="9525">
          <a:noFill/>
          <a:miter lim="800000"/>
          <a:headEnd/>
          <a:tailEnd/>
        </a:ln>
      </xdr:spPr>
    </xdr:pic>
    <xdr:clientData/>
  </xdr:twoCellAnchor>
  <xdr:twoCellAnchor editAs="oneCell">
    <xdr:from>
      <xdr:col>2</xdr:col>
      <xdr:colOff>285750</xdr:colOff>
      <xdr:row>36</xdr:row>
      <xdr:rowOff>28576</xdr:rowOff>
    </xdr:from>
    <xdr:to>
      <xdr:col>4</xdr:col>
      <xdr:colOff>2647950</xdr:colOff>
      <xdr:row>36</xdr:row>
      <xdr:rowOff>1413872</xdr:rowOff>
    </xdr:to>
    <xdr:pic>
      <xdr:nvPicPr>
        <xdr:cNvPr id="4" name="Picture 13">
          <a:extLst>
            <a:ext uri="{FF2B5EF4-FFF2-40B4-BE49-F238E27FC236}">
              <a16:creationId xmlns:a16="http://schemas.microsoft.com/office/drawing/2014/main" id="{00000000-0008-0000-36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14400" y="13916026"/>
          <a:ext cx="2990850" cy="1385296"/>
        </a:xfrm>
        <a:prstGeom prst="rect">
          <a:avLst/>
        </a:prstGeom>
        <a:noFill/>
        <a:ln w="9525">
          <a:noFill/>
          <a:miter lim="800000"/>
          <a:headEnd/>
          <a:tailEnd/>
        </a:ln>
      </xdr:spPr>
    </xdr:pic>
    <xdr:clientData/>
  </xdr:twoCellAnchor>
  <xdr:twoCellAnchor>
    <xdr:from>
      <xdr:col>4</xdr:col>
      <xdr:colOff>1885950</xdr:colOff>
      <xdr:row>3</xdr:row>
      <xdr:rowOff>133350</xdr:rowOff>
    </xdr:from>
    <xdr:to>
      <xdr:col>4</xdr:col>
      <xdr:colOff>3667125</xdr:colOff>
      <xdr:row>3</xdr:row>
      <xdr:rowOff>142875</xdr:rowOff>
    </xdr:to>
    <xdr:cxnSp macro="">
      <xdr:nvCxnSpPr>
        <xdr:cNvPr id="5" name="Rechte verbindingslijn met pijl 4">
          <a:extLst>
            <a:ext uri="{FF2B5EF4-FFF2-40B4-BE49-F238E27FC236}">
              <a16:creationId xmlns:a16="http://schemas.microsoft.com/office/drawing/2014/main" id="{00000000-0008-0000-3600-000005000000}"/>
            </a:ext>
          </a:extLst>
        </xdr:cNvPr>
        <xdr:cNvCxnSpPr/>
      </xdr:nvCxnSpPr>
      <xdr:spPr>
        <a:xfrm flipV="1">
          <a:off x="3143250" y="2171700"/>
          <a:ext cx="1781175" cy="9525"/>
        </a:xfrm>
        <a:prstGeom prst="straightConnector1">
          <a:avLst/>
        </a:prstGeom>
        <a:ln w="25400">
          <a:solidFill>
            <a:srgbClr val="FF0000"/>
          </a:solidFill>
          <a:tailEnd type="triangle" w="lg" len="lg"/>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2</xdr:row>
      <xdr:rowOff>133350</xdr:rowOff>
    </xdr:from>
    <xdr:to>
      <xdr:col>4</xdr:col>
      <xdr:colOff>395791</xdr:colOff>
      <xdr:row>2</xdr:row>
      <xdr:rowOff>765526</xdr:rowOff>
    </xdr:to>
    <xdr:sp macro="" textlink="">
      <xdr:nvSpPr>
        <xdr:cNvPr id="7" name="AutoShape 48">
          <a:hlinkClick xmlns:r="http://schemas.openxmlformats.org/officeDocument/2006/relationships" r:id="rId4"/>
          <a:extLst>
            <a:ext uri="{FF2B5EF4-FFF2-40B4-BE49-F238E27FC236}">
              <a16:creationId xmlns:a16="http://schemas.microsoft.com/office/drawing/2014/main" id="{00000000-0008-0000-3600-000007000000}"/>
            </a:ext>
          </a:extLst>
        </xdr:cNvPr>
        <xdr:cNvSpPr>
          <a:spLocks noChangeArrowheads="1"/>
        </xdr:cNvSpPr>
      </xdr:nvSpPr>
      <xdr:spPr bwMode="auto">
        <a:xfrm>
          <a:off x="488950" y="482600"/>
          <a:ext cx="1253041" cy="63217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beginblad</a:t>
          </a:r>
          <a:endParaRPr lang="nl-NL" sz="1400"/>
        </a:p>
      </xdr:txBody>
    </xdr:sp>
    <xdr:clientData/>
  </xdr:twoCellAnchor>
  <xdr:twoCellAnchor>
    <xdr:from>
      <xdr:col>4</xdr:col>
      <xdr:colOff>520700</xdr:colOff>
      <xdr:row>2</xdr:row>
      <xdr:rowOff>114300</xdr:rowOff>
    </xdr:from>
    <xdr:to>
      <xdr:col>4</xdr:col>
      <xdr:colOff>3695700</xdr:colOff>
      <xdr:row>2</xdr:row>
      <xdr:rowOff>1574800</xdr:rowOff>
    </xdr:to>
    <xdr:sp macro="" textlink="">
      <xdr:nvSpPr>
        <xdr:cNvPr id="8" name="Tekstvak 7">
          <a:extLst>
            <a:ext uri="{FF2B5EF4-FFF2-40B4-BE49-F238E27FC236}">
              <a16:creationId xmlns:a16="http://schemas.microsoft.com/office/drawing/2014/main" id="{00000000-0008-0000-3600-000008000000}"/>
            </a:ext>
          </a:extLst>
        </xdr:cNvPr>
        <xdr:cNvSpPr txBox="1"/>
      </xdr:nvSpPr>
      <xdr:spPr>
        <a:xfrm>
          <a:off x="1866900" y="463550"/>
          <a:ext cx="3175000" cy="14605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t>Het aanlegniveau dat de leerkracht aangeeft met een cijfer wordt 'vertaald' in een woord.</a:t>
          </a:r>
        </a:p>
        <a:p>
          <a:r>
            <a:rPr lang="nl-NL" sz="1400"/>
            <a:t>Dit woord (zwak - benedengemiddeld - gemiddeld - boven gemiddeld - goed)</a:t>
          </a:r>
        </a:p>
        <a:p>
          <a:r>
            <a:rPr lang="nl-NL" sz="1400" baseline="0"/>
            <a:t>koppelt aan het tapblad 'AANLEG'</a:t>
          </a:r>
        </a:p>
        <a:p>
          <a:endParaRPr lang="nl-NL" sz="1100" baseline="0"/>
        </a:p>
      </xdr:txBody>
    </xdr:sp>
    <xdr:clientData/>
  </xdr:twoCellAnchor>
  <xdr:twoCellAnchor>
    <xdr:from>
      <xdr:col>1</xdr:col>
      <xdr:colOff>165100</xdr:colOff>
      <xdr:row>2</xdr:row>
      <xdr:rowOff>908050</xdr:rowOff>
    </xdr:from>
    <xdr:to>
      <xdr:col>4</xdr:col>
      <xdr:colOff>383091</xdr:colOff>
      <xdr:row>2</xdr:row>
      <xdr:rowOff>1540226</xdr:rowOff>
    </xdr:to>
    <xdr:sp macro="" textlink="">
      <xdr:nvSpPr>
        <xdr:cNvPr id="9" name="AutoShape 48">
          <a:hlinkClick xmlns:r="http://schemas.openxmlformats.org/officeDocument/2006/relationships" r:id="rId5"/>
          <a:extLst>
            <a:ext uri="{FF2B5EF4-FFF2-40B4-BE49-F238E27FC236}">
              <a16:creationId xmlns:a16="http://schemas.microsoft.com/office/drawing/2014/main" id="{00000000-0008-0000-3600-000009000000}"/>
            </a:ext>
          </a:extLst>
        </xdr:cNvPr>
        <xdr:cNvSpPr>
          <a:spLocks noChangeArrowheads="1"/>
        </xdr:cNvSpPr>
      </xdr:nvSpPr>
      <xdr:spPr bwMode="auto">
        <a:xfrm>
          <a:off x="501650" y="1257300"/>
          <a:ext cx="1227641" cy="632176"/>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naar tabblad</a:t>
          </a:r>
        </a:p>
        <a:p>
          <a:pPr algn="ctr" rtl="0">
            <a:defRPr sz="1000"/>
          </a:pPr>
          <a:r>
            <a:rPr lang="nl-NL" sz="1400" b="0" i="0" u="none" strike="noStrike" baseline="0">
              <a:solidFill>
                <a:srgbClr val="000000"/>
              </a:solidFill>
              <a:latin typeface="Arial"/>
              <a:cs typeface="Arial"/>
            </a:rPr>
            <a:t>AANLEG</a:t>
          </a:r>
          <a:endParaRPr lang="nl-NL" sz="1400"/>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7</xdr:col>
      <xdr:colOff>130175</xdr:colOff>
      <xdr:row>4</xdr:row>
      <xdr:rowOff>187325</xdr:rowOff>
    </xdr:from>
    <xdr:to>
      <xdr:col>8</xdr:col>
      <xdr:colOff>3473450</xdr:colOff>
      <xdr:row>4</xdr:row>
      <xdr:rowOff>2368550</xdr:rowOff>
    </xdr:to>
    <xdr:pic>
      <xdr:nvPicPr>
        <xdr:cNvPr id="2" name="Picture 1">
          <a:extLst>
            <a:ext uri="{FF2B5EF4-FFF2-40B4-BE49-F238E27FC236}">
              <a16:creationId xmlns:a16="http://schemas.microsoft.com/office/drawing/2014/main" id="{00000000-0008-0000-3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59550" y="1530350"/>
          <a:ext cx="3952875" cy="2181225"/>
        </a:xfrm>
        <a:prstGeom prst="rect">
          <a:avLst/>
        </a:prstGeom>
        <a:noFill/>
        <a:ln w="9525">
          <a:noFill/>
          <a:miter lim="800000"/>
          <a:headEnd/>
          <a:tailEnd/>
        </a:ln>
      </xdr:spPr>
    </xdr:pic>
    <xdr:clientData/>
  </xdr:twoCellAnchor>
  <xdr:twoCellAnchor editAs="oneCell">
    <xdr:from>
      <xdr:col>7</xdr:col>
      <xdr:colOff>371475</xdr:colOff>
      <xdr:row>19</xdr:row>
      <xdr:rowOff>76200</xdr:rowOff>
    </xdr:from>
    <xdr:to>
      <xdr:col>8</xdr:col>
      <xdr:colOff>3457575</xdr:colOff>
      <xdr:row>19</xdr:row>
      <xdr:rowOff>2362200</xdr:rowOff>
    </xdr:to>
    <xdr:pic>
      <xdr:nvPicPr>
        <xdr:cNvPr id="3" name="Picture 2">
          <a:extLst>
            <a:ext uri="{FF2B5EF4-FFF2-40B4-BE49-F238E27FC236}">
              <a16:creationId xmlns:a16="http://schemas.microsoft.com/office/drawing/2014/main" id="{00000000-0008-0000-37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800850" y="11020425"/>
          <a:ext cx="3695700" cy="2286000"/>
        </a:xfrm>
        <a:prstGeom prst="rect">
          <a:avLst/>
        </a:prstGeom>
        <a:noFill/>
        <a:ln w="9525">
          <a:noFill/>
          <a:miter lim="800000"/>
          <a:headEnd/>
          <a:tailEnd/>
        </a:ln>
      </xdr:spPr>
    </xdr:pic>
    <xdr:clientData/>
  </xdr:twoCellAnchor>
  <xdr:twoCellAnchor editAs="oneCell">
    <xdr:from>
      <xdr:col>1</xdr:col>
      <xdr:colOff>15876</xdr:colOff>
      <xdr:row>4</xdr:row>
      <xdr:rowOff>409575</xdr:rowOff>
    </xdr:from>
    <xdr:to>
      <xdr:col>3</xdr:col>
      <xdr:colOff>1</xdr:colOff>
      <xdr:row>4</xdr:row>
      <xdr:rowOff>1123950</xdr:rowOff>
    </xdr:to>
    <xdr:sp macro="" textlink="">
      <xdr:nvSpPr>
        <xdr:cNvPr id="5" name="AutoShape 39">
          <a:extLst>
            <a:ext uri="{FF2B5EF4-FFF2-40B4-BE49-F238E27FC236}">
              <a16:creationId xmlns:a16="http://schemas.microsoft.com/office/drawing/2014/main" id="{00000000-0008-0000-3700-000005000000}"/>
            </a:ext>
          </a:extLst>
        </xdr:cNvPr>
        <xdr:cNvSpPr>
          <a:spLocks noChangeArrowheads="1"/>
        </xdr:cNvSpPr>
      </xdr:nvSpPr>
      <xdr:spPr bwMode="auto">
        <a:xfrm>
          <a:off x="619126" y="1743075"/>
          <a:ext cx="3365500" cy="714375"/>
        </a:xfrm>
        <a:prstGeom prst="wedgeRectCallout">
          <a:avLst>
            <a:gd name="adj1" fmla="val 83437"/>
            <a:gd name="adj2" fmla="val -203333"/>
          </a:avLst>
        </a:prstGeom>
        <a:solidFill>
          <a:srgbClr val="FF8080"/>
        </a:solidFill>
        <a:ln w="9525" algn="ctr">
          <a:solidFill>
            <a:srgbClr val="000000"/>
          </a:solidFill>
          <a:miter lim="800000"/>
          <a:headEnd/>
          <a:tailEnd/>
        </a:ln>
        <a:effectLst/>
      </xdr:spPr>
      <xdr:txBody>
        <a:bodyPr vertOverflow="clip" wrap="square" lIns="27432" tIns="22860" rIns="0" bIns="0" anchor="ctr" upright="1"/>
        <a:lstStyle/>
        <a:p>
          <a:pPr algn="ctr" rtl="0">
            <a:defRPr sz="1000"/>
          </a:pPr>
          <a:r>
            <a:rPr lang="nl-NL" sz="1600" b="0" i="0" u="none" strike="noStrike" baseline="0">
              <a:solidFill>
                <a:srgbClr val="000000"/>
              </a:solidFill>
              <a:latin typeface="Verdana"/>
              <a:ea typeface="Verdana"/>
              <a:cs typeface="Verdana"/>
            </a:rPr>
            <a:t>Toets leerlingnummer in </a:t>
          </a:r>
        </a:p>
        <a:p>
          <a:pPr algn="ctr" rtl="0">
            <a:defRPr sz="1000"/>
          </a:pPr>
          <a:r>
            <a:rPr lang="nl-NL" sz="1600" b="0" i="0" u="none" strike="noStrike" baseline="0">
              <a:solidFill>
                <a:srgbClr val="000000"/>
              </a:solidFill>
              <a:latin typeface="Verdana"/>
              <a:ea typeface="Verdana"/>
              <a:cs typeface="Verdana"/>
            </a:rPr>
            <a:t>Druk daarna op Enter</a:t>
          </a:r>
        </a:p>
      </xdr:txBody>
    </xdr:sp>
    <xdr:clientData fPrintsWithSheet="0"/>
  </xdr:twoCellAnchor>
  <xdr:twoCellAnchor editAs="oneCell">
    <xdr:from>
      <xdr:col>5</xdr:col>
      <xdr:colOff>206375</xdr:colOff>
      <xdr:row>31</xdr:row>
      <xdr:rowOff>142875</xdr:rowOff>
    </xdr:from>
    <xdr:to>
      <xdr:col>8</xdr:col>
      <xdr:colOff>3556000</xdr:colOff>
      <xdr:row>31</xdr:row>
      <xdr:rowOff>2343150</xdr:rowOff>
    </xdr:to>
    <xdr:pic>
      <xdr:nvPicPr>
        <xdr:cNvPr id="6" name="Afbeelding 5">
          <a:extLst>
            <a:ext uri="{FF2B5EF4-FFF2-40B4-BE49-F238E27FC236}">
              <a16:creationId xmlns:a16="http://schemas.microsoft.com/office/drawing/2014/main" id="{00000000-0008-0000-37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7500" y="19256375"/>
          <a:ext cx="5159375" cy="2200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xdr:row>
      <xdr:rowOff>0</xdr:rowOff>
    </xdr:from>
    <xdr:to>
      <xdr:col>2</xdr:col>
      <xdr:colOff>1428750</xdr:colOff>
      <xdr:row>4</xdr:row>
      <xdr:rowOff>127000</xdr:rowOff>
    </xdr:to>
    <xdr:sp macro="" textlink="">
      <xdr:nvSpPr>
        <xdr:cNvPr id="7" name="AutoShape 48">
          <a:hlinkClick xmlns:r="http://schemas.openxmlformats.org/officeDocument/2006/relationships" r:id="rId4"/>
          <a:extLst>
            <a:ext uri="{FF2B5EF4-FFF2-40B4-BE49-F238E27FC236}">
              <a16:creationId xmlns:a16="http://schemas.microsoft.com/office/drawing/2014/main" id="{00000000-0008-0000-3700-000007000000}"/>
            </a:ext>
          </a:extLst>
        </xdr:cNvPr>
        <xdr:cNvSpPr>
          <a:spLocks noChangeArrowheads="1"/>
        </xdr:cNvSpPr>
      </xdr:nvSpPr>
      <xdr:spPr bwMode="auto">
        <a:xfrm>
          <a:off x="603250" y="317500"/>
          <a:ext cx="2032000" cy="114300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2800" b="0" i="0" u="none" strike="noStrike" baseline="0">
              <a:solidFill>
                <a:srgbClr val="000000"/>
              </a:solidFill>
              <a:latin typeface="Arial"/>
              <a:cs typeface="Arial"/>
            </a:rPr>
            <a:t>beginblad</a:t>
          </a:r>
          <a:endParaRPr lang="nl-NL" sz="28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6</xdr:col>
      <xdr:colOff>0</xdr:colOff>
      <xdr:row>4</xdr:row>
      <xdr:rowOff>179295</xdr:rowOff>
    </xdr:from>
    <xdr:to>
      <xdr:col>8</xdr:col>
      <xdr:colOff>257735</xdr:colOff>
      <xdr:row>6</xdr:row>
      <xdr:rowOff>231402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3800-000002000000}"/>
            </a:ext>
          </a:extLst>
        </xdr:cNvPr>
        <xdr:cNvSpPr>
          <a:spLocks noChangeArrowheads="1"/>
        </xdr:cNvSpPr>
      </xdr:nvSpPr>
      <xdr:spPr bwMode="auto">
        <a:xfrm>
          <a:off x="7105650" y="931770"/>
          <a:ext cx="905435" cy="52835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6</xdr:col>
      <xdr:colOff>0</xdr:colOff>
      <xdr:row>2</xdr:row>
      <xdr:rowOff>0</xdr:rowOff>
    </xdr:from>
    <xdr:to>
      <xdr:col>8</xdr:col>
      <xdr:colOff>257735</xdr:colOff>
      <xdr:row>4</xdr:row>
      <xdr:rowOff>96931</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3800-000003000000}"/>
            </a:ext>
          </a:extLst>
        </xdr:cNvPr>
        <xdr:cNvSpPr>
          <a:spLocks noChangeArrowheads="1"/>
        </xdr:cNvSpPr>
      </xdr:nvSpPr>
      <xdr:spPr bwMode="auto">
        <a:xfrm>
          <a:off x="7105650" y="323850"/>
          <a:ext cx="905435" cy="52555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4</xdr:row>
      <xdr:rowOff>19050</xdr:rowOff>
    </xdr:from>
    <xdr:to>
      <xdr:col>14</xdr:col>
      <xdr:colOff>314325</xdr:colOff>
      <xdr:row>38</xdr:row>
      <xdr:rowOff>85725</xdr:rowOff>
    </xdr:to>
    <xdr:pic>
      <xdr:nvPicPr>
        <xdr:cNvPr id="9" name="Afbeelding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762000"/>
          <a:ext cx="8686800" cy="557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9525</xdr:colOff>
      <xdr:row>0</xdr:row>
      <xdr:rowOff>114300</xdr:rowOff>
    </xdr:from>
    <xdr:to>
      <xdr:col>18</xdr:col>
      <xdr:colOff>533400</xdr:colOff>
      <xdr:row>6</xdr:row>
      <xdr:rowOff>28575</xdr:rowOff>
    </xdr:to>
    <xdr:sp macro="" textlink="">
      <xdr:nvSpPr>
        <xdr:cNvPr id="4" name="Toelichting met afgeronde rechthoek 3">
          <a:extLst>
            <a:ext uri="{FF2B5EF4-FFF2-40B4-BE49-F238E27FC236}">
              <a16:creationId xmlns:a16="http://schemas.microsoft.com/office/drawing/2014/main" id="{00000000-0008-0000-0500-000004000000}"/>
            </a:ext>
          </a:extLst>
        </xdr:cNvPr>
        <xdr:cNvSpPr/>
      </xdr:nvSpPr>
      <xdr:spPr bwMode="auto">
        <a:xfrm>
          <a:off x="9153525" y="114300"/>
          <a:ext cx="2352675" cy="981075"/>
        </a:xfrm>
        <a:prstGeom prst="wedgeRoundRectCallout">
          <a:avLst>
            <a:gd name="adj1" fmla="val -100185"/>
            <a:gd name="adj2" fmla="val 73592"/>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t>OPO =</a:t>
          </a:r>
          <a:r>
            <a:rPr lang="nl-NL" sz="1100" baseline="0"/>
            <a:t> Opbrenstgericht Passend Onderwijs</a:t>
          </a:r>
          <a:endParaRPr lang="nl-NL" sz="1100"/>
        </a:p>
        <a:p>
          <a:pPr algn="l"/>
          <a:r>
            <a:rPr lang="nl-NL" sz="1100"/>
            <a:t>In beeld worden gebracht de laatste drie scores van de middenmoot</a:t>
          </a:r>
        </a:p>
        <a:p>
          <a:pPr algn="l"/>
          <a:r>
            <a:rPr lang="nl-NL" sz="1100"/>
            <a:t>(zie</a:t>
          </a:r>
          <a:r>
            <a:rPr lang="nl-NL" sz="1100" baseline="0"/>
            <a:t> www.masterclassopo.nl)</a:t>
          </a:r>
          <a:endParaRPr lang="nl-NL" sz="1100"/>
        </a:p>
      </xdr:txBody>
    </xdr:sp>
    <xdr:clientData/>
  </xdr:twoCellAnchor>
  <xdr:twoCellAnchor>
    <xdr:from>
      <xdr:col>15</xdr:col>
      <xdr:colOff>9525</xdr:colOff>
      <xdr:row>31</xdr:row>
      <xdr:rowOff>123826</xdr:rowOff>
    </xdr:from>
    <xdr:to>
      <xdr:col>18</xdr:col>
      <xdr:colOff>533400</xdr:colOff>
      <xdr:row>37</xdr:row>
      <xdr:rowOff>28576</xdr:rowOff>
    </xdr:to>
    <xdr:sp macro="" textlink="">
      <xdr:nvSpPr>
        <xdr:cNvPr id="5" name="Toelichting met afgeronde rechthoek 4">
          <a:extLst>
            <a:ext uri="{FF2B5EF4-FFF2-40B4-BE49-F238E27FC236}">
              <a16:creationId xmlns:a16="http://schemas.microsoft.com/office/drawing/2014/main" id="{00000000-0008-0000-0500-000005000000}"/>
            </a:ext>
          </a:extLst>
        </xdr:cNvPr>
        <xdr:cNvSpPr/>
      </xdr:nvSpPr>
      <xdr:spPr bwMode="auto">
        <a:xfrm>
          <a:off x="9153525" y="5238751"/>
          <a:ext cx="2352675" cy="876300"/>
        </a:xfrm>
        <a:prstGeom prst="wedgeRoundRectCallout">
          <a:avLst>
            <a:gd name="adj1" fmla="val -228930"/>
            <a:gd name="adj2" fmla="val 11095"/>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rgbClr val="0000FF"/>
              </a:solidFill>
            </a:rPr>
            <a:t>Een</a:t>
          </a:r>
          <a:r>
            <a:rPr lang="nl-NL" sz="1100" baseline="0">
              <a:solidFill>
                <a:srgbClr val="0000FF"/>
              </a:solidFill>
            </a:rPr>
            <a:t> blauwe ster: de score is minimaal 0,5 NW </a:t>
          </a:r>
          <a:r>
            <a:rPr lang="nl-NL" sz="1100" u="sng" baseline="0">
              <a:solidFill>
                <a:srgbClr val="0000FF"/>
              </a:solidFill>
            </a:rPr>
            <a:t>hoger </a:t>
          </a:r>
          <a:r>
            <a:rPr lang="nl-NL" sz="1100" baseline="0">
              <a:solidFill>
                <a:srgbClr val="0000FF"/>
              </a:solidFill>
            </a:rPr>
            <a:t>dan de vorige score.</a:t>
          </a:r>
        </a:p>
        <a:p>
          <a:pPr algn="l"/>
          <a:r>
            <a:rPr lang="nl-NL" sz="1100">
              <a:solidFill>
                <a:srgbClr val="FF0000"/>
              </a:solidFill>
            </a:rPr>
            <a:t>Een rood uitroepteken: de score is 0,5</a:t>
          </a:r>
          <a:r>
            <a:rPr lang="nl-NL" sz="1100" baseline="0">
              <a:solidFill>
                <a:srgbClr val="FF0000"/>
              </a:solidFill>
            </a:rPr>
            <a:t> NW of meer </a:t>
          </a:r>
          <a:r>
            <a:rPr lang="nl-NL" sz="1100" u="sng" baseline="0">
              <a:solidFill>
                <a:srgbClr val="FF0000"/>
              </a:solidFill>
            </a:rPr>
            <a:t>lager</a:t>
          </a:r>
          <a:r>
            <a:rPr lang="nl-NL" sz="1100" baseline="0">
              <a:solidFill>
                <a:srgbClr val="FF0000"/>
              </a:solidFill>
            </a:rPr>
            <a:t> dan de vorige score.</a:t>
          </a:r>
          <a:endParaRPr lang="nl-NL" sz="1100">
            <a:solidFill>
              <a:srgbClr val="FF0000"/>
            </a:solidFill>
          </a:endParaRPr>
        </a:p>
      </xdr:txBody>
    </xdr:sp>
    <xdr:clientData/>
  </xdr:twoCellAnchor>
  <xdr:twoCellAnchor>
    <xdr:from>
      <xdr:col>15</xdr:col>
      <xdr:colOff>19050</xdr:colOff>
      <xdr:row>19</xdr:row>
      <xdr:rowOff>1</xdr:rowOff>
    </xdr:from>
    <xdr:to>
      <xdr:col>18</xdr:col>
      <xdr:colOff>542925</xdr:colOff>
      <xdr:row>31</xdr:row>
      <xdr:rowOff>9525</xdr:rowOff>
    </xdr:to>
    <xdr:sp macro="" textlink="">
      <xdr:nvSpPr>
        <xdr:cNvPr id="6" name="Toelichting met afgeronde rechthoek 5">
          <a:extLst>
            <a:ext uri="{FF2B5EF4-FFF2-40B4-BE49-F238E27FC236}">
              <a16:creationId xmlns:a16="http://schemas.microsoft.com/office/drawing/2014/main" id="{00000000-0008-0000-0500-000006000000}"/>
            </a:ext>
          </a:extLst>
        </xdr:cNvPr>
        <xdr:cNvSpPr/>
      </xdr:nvSpPr>
      <xdr:spPr bwMode="auto">
        <a:xfrm>
          <a:off x="9163050" y="3171826"/>
          <a:ext cx="2352675" cy="1952624"/>
        </a:xfrm>
        <a:prstGeom prst="wedgeRoundRectCallout">
          <a:avLst>
            <a:gd name="adj1" fmla="val -167392"/>
            <a:gd name="adj2" fmla="val 69457"/>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op </a:t>
          </a:r>
          <a:r>
            <a:rPr lang="nl-NL" sz="1100">
              <a:solidFill>
                <a:schemeClr val="tx1"/>
              </a:solidFill>
            </a:rPr>
            <a:t>de lichtgele</a:t>
          </a:r>
          <a:r>
            <a:rPr lang="nl-NL" sz="1100" baseline="0">
              <a:solidFill>
                <a:schemeClr val="tx1"/>
              </a:solidFill>
            </a:rPr>
            <a:t> vakken:</a:t>
          </a:r>
        </a:p>
        <a:p>
          <a:pPr algn="l"/>
          <a:r>
            <a:rPr lang="nl-NL" sz="1100" baseline="0">
              <a:solidFill>
                <a:schemeClr val="tx1"/>
              </a:solidFill>
            </a:rPr>
            <a:t>Je komt vanzelf op het tabblad</a:t>
          </a:r>
        </a:p>
        <a:p>
          <a:pPr algn="l"/>
          <a:r>
            <a:rPr lang="nl-NL" sz="1100" baseline="0">
              <a:solidFill>
                <a:schemeClr val="tx1"/>
              </a:solidFill>
            </a:rPr>
            <a:t> - de basisaanpak (= de aanpak voor  </a:t>
          </a:r>
        </a:p>
        <a:p>
          <a:pPr algn="l"/>
          <a:r>
            <a:rPr lang="nl-NL" sz="1100" baseline="0">
              <a:solidFill>
                <a:schemeClr val="tx1"/>
              </a:solidFill>
            </a:rPr>
            <a:t>   de middenmoot)</a:t>
          </a:r>
        </a:p>
        <a:p>
          <a:pPr algn="l"/>
          <a:r>
            <a:rPr lang="nl-NL" sz="1100" baseline="0">
              <a:solidFill>
                <a:schemeClr val="tx1"/>
              </a:solidFill>
            </a:rPr>
            <a:t> - de intensieve aanpak</a:t>
          </a:r>
        </a:p>
        <a:p>
          <a:pPr algn="l"/>
          <a:r>
            <a:rPr lang="nl-NL" sz="1100" baseline="0">
              <a:solidFill>
                <a:schemeClr val="tx1"/>
              </a:solidFill>
            </a:rPr>
            <a:t> - de aanpak voor de kinderen die </a:t>
          </a:r>
        </a:p>
        <a:p>
          <a:pPr algn="l"/>
          <a:r>
            <a:rPr lang="nl-NL" sz="1100" baseline="0">
              <a:solidFill>
                <a:schemeClr val="tx1"/>
              </a:solidFill>
            </a:rPr>
            <a:t>    voor verrijking in aanmerking </a:t>
          </a:r>
        </a:p>
        <a:p>
          <a:pPr algn="l"/>
          <a:r>
            <a:rPr lang="nl-NL" sz="1100" baseline="0">
              <a:solidFill>
                <a:schemeClr val="tx1"/>
              </a:solidFill>
            </a:rPr>
            <a:t>    komen.</a:t>
          </a:r>
        </a:p>
        <a:p>
          <a:pPr algn="l"/>
          <a:r>
            <a:rPr lang="nl-NL" sz="1100" baseline="0">
              <a:solidFill>
                <a:schemeClr val="tx1"/>
              </a:solidFill>
            </a:rPr>
            <a:t>Vergeet niet de dagen en tijden te noteren (onderaan het blad)</a:t>
          </a:r>
          <a:endParaRPr lang="nl-NL" sz="1100">
            <a:solidFill>
              <a:schemeClr val="tx1"/>
            </a:solidFill>
          </a:endParaRPr>
        </a:p>
      </xdr:txBody>
    </xdr:sp>
    <xdr:clientData/>
  </xdr:twoCellAnchor>
  <xdr:twoCellAnchor>
    <xdr:from>
      <xdr:col>15</xdr:col>
      <xdr:colOff>19050</xdr:colOff>
      <xdr:row>7</xdr:row>
      <xdr:rowOff>9526</xdr:rowOff>
    </xdr:from>
    <xdr:to>
      <xdr:col>18</xdr:col>
      <xdr:colOff>542925</xdr:colOff>
      <xdr:row>14</xdr:row>
      <xdr:rowOff>38100</xdr:rowOff>
    </xdr:to>
    <xdr:sp macro="" textlink="">
      <xdr:nvSpPr>
        <xdr:cNvPr id="7" name="Toelichting met afgeronde rechthoek 6">
          <a:extLst>
            <a:ext uri="{FF2B5EF4-FFF2-40B4-BE49-F238E27FC236}">
              <a16:creationId xmlns:a16="http://schemas.microsoft.com/office/drawing/2014/main" id="{00000000-0008-0000-0500-000007000000}"/>
            </a:ext>
          </a:extLst>
        </xdr:cNvPr>
        <xdr:cNvSpPr/>
      </xdr:nvSpPr>
      <xdr:spPr bwMode="auto">
        <a:xfrm>
          <a:off x="9163050" y="1238251"/>
          <a:ext cx="2352675" cy="1162049"/>
        </a:xfrm>
        <a:prstGeom prst="wedgeRoundRectCallout">
          <a:avLst>
            <a:gd name="adj1" fmla="val -403018"/>
            <a:gd name="adj2" fmla="val 96037"/>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Hier komen de namen van de kinderen</a:t>
          </a:r>
          <a:r>
            <a:rPr lang="nl-NL" sz="1100" baseline="0">
              <a:solidFill>
                <a:schemeClr val="tx1"/>
              </a:solidFill>
            </a:rPr>
            <a:t> die voor een intensieve aanpak in aanmerking komen.</a:t>
          </a:r>
        </a:p>
        <a:p>
          <a:pPr algn="l"/>
          <a:endParaRPr lang="nl-NL" sz="1100" baseline="0">
            <a:solidFill>
              <a:schemeClr val="tx1"/>
            </a:solidFill>
          </a:endParaRPr>
        </a:p>
        <a:p>
          <a:pPr algn="l"/>
          <a:r>
            <a:rPr lang="nl-NL" sz="1100" baseline="0">
              <a:solidFill>
                <a:schemeClr val="tx1"/>
              </a:solidFill>
            </a:rPr>
            <a:t>Noteer ook het groepsnummer (3-8)</a:t>
          </a:r>
          <a:endParaRPr lang="nl-NL" sz="1100">
            <a:solidFill>
              <a:schemeClr val="tx1"/>
            </a:solidFill>
          </a:endParaRPr>
        </a:p>
      </xdr:txBody>
    </xdr:sp>
    <xdr:clientData/>
  </xdr:twoCellAnchor>
  <xdr:twoCellAnchor>
    <xdr:from>
      <xdr:col>15</xdr:col>
      <xdr:colOff>0</xdr:colOff>
      <xdr:row>15</xdr:row>
      <xdr:rowOff>28575</xdr:rowOff>
    </xdr:from>
    <xdr:to>
      <xdr:col>18</xdr:col>
      <xdr:colOff>523875</xdr:colOff>
      <xdr:row>18</xdr:row>
      <xdr:rowOff>47625</xdr:rowOff>
    </xdr:to>
    <xdr:sp macro="" textlink="">
      <xdr:nvSpPr>
        <xdr:cNvPr id="10" name="Toelichting met afgeronde rechthoek 9">
          <a:extLst>
            <a:ext uri="{FF2B5EF4-FFF2-40B4-BE49-F238E27FC236}">
              <a16:creationId xmlns:a16="http://schemas.microsoft.com/office/drawing/2014/main" id="{00000000-0008-0000-0500-00000A000000}"/>
            </a:ext>
          </a:extLst>
        </xdr:cNvPr>
        <xdr:cNvSpPr/>
      </xdr:nvSpPr>
      <xdr:spPr bwMode="auto">
        <a:xfrm>
          <a:off x="9144000" y="2552700"/>
          <a:ext cx="2352675" cy="504825"/>
        </a:xfrm>
        <a:prstGeom prst="wedgeRoundRectCallout">
          <a:avLst>
            <a:gd name="adj1" fmla="val -138241"/>
            <a:gd name="adj2" fmla="val 131762"/>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Met een score van &gt;60% (I-II-III)</a:t>
          </a:r>
          <a:r>
            <a:rPr lang="nl-NL" sz="1100" baseline="0">
              <a:solidFill>
                <a:schemeClr val="tx1"/>
              </a:solidFill>
            </a:rPr>
            <a:t> zit je in de veilige marge.</a:t>
          </a:r>
          <a:endParaRPr lang="nl-NL" sz="1100">
            <a:solidFill>
              <a:schemeClr val="tx1"/>
            </a:solidFill>
          </a:endParaRPr>
        </a:p>
      </xdr:txBody>
    </xdr:sp>
    <xdr:clientData/>
  </xdr:twoCellAnchor>
  <xdr:twoCellAnchor>
    <xdr:from>
      <xdr:col>19</xdr:col>
      <xdr:colOff>180975</xdr:colOff>
      <xdr:row>1</xdr:row>
      <xdr:rowOff>133350</xdr:rowOff>
    </xdr:from>
    <xdr:to>
      <xdr:col>22</xdr:col>
      <xdr:colOff>28575</xdr:colOff>
      <xdr:row>8</xdr:row>
      <xdr:rowOff>123825</xdr:rowOff>
    </xdr:to>
    <xdr:sp macro="" textlink="">
      <xdr:nvSpPr>
        <xdr:cNvPr id="11" name="Pijl: links 7">
          <a:hlinkClick xmlns:r="http://schemas.openxmlformats.org/officeDocument/2006/relationships" r:id="rId2"/>
          <a:extLst>
            <a:ext uri="{FF2B5EF4-FFF2-40B4-BE49-F238E27FC236}">
              <a16:creationId xmlns:a16="http://schemas.microsoft.com/office/drawing/2014/main" id="{00000000-0008-0000-0500-00000B000000}"/>
            </a:ext>
          </a:extLst>
        </xdr:cNvPr>
        <xdr:cNvSpPr/>
      </xdr:nvSpPr>
      <xdr:spPr bwMode="auto">
        <a:xfrm flipH="1">
          <a:off x="11763375" y="2952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16</xdr:col>
      <xdr:colOff>381000</xdr:colOff>
      <xdr:row>15</xdr:row>
      <xdr:rowOff>66676</xdr:rowOff>
    </xdr:from>
    <xdr:to>
      <xdr:col>20</xdr:col>
      <xdr:colOff>38100</xdr:colOff>
      <xdr:row>36</xdr:row>
      <xdr:rowOff>28575</xdr:rowOff>
    </xdr:to>
    <xdr:sp macro="" textlink="">
      <xdr:nvSpPr>
        <xdr:cNvPr id="4" name="Afgeronde rechthoek 3">
          <a:extLst>
            <a:ext uri="{FF2B5EF4-FFF2-40B4-BE49-F238E27FC236}">
              <a16:creationId xmlns:a16="http://schemas.microsoft.com/office/drawing/2014/main" id="{00000000-0008-0000-0600-000004000000}"/>
            </a:ext>
          </a:extLst>
        </xdr:cNvPr>
        <xdr:cNvSpPr/>
      </xdr:nvSpPr>
      <xdr:spPr bwMode="auto">
        <a:xfrm>
          <a:off x="10134600" y="2590801"/>
          <a:ext cx="2095500" cy="3362324"/>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gegevens worden automatisch verzameld.</a:t>
          </a:r>
        </a:p>
        <a:p>
          <a:pPr algn="l"/>
          <a:endParaRPr lang="nl-NL" sz="1100" baseline="0"/>
        </a:p>
        <a:p>
          <a:pPr algn="l"/>
          <a:r>
            <a:rPr lang="nl-NL" sz="1100" baseline="0"/>
            <a:t>Dit formulier kun je uitstekend gebruiken wanneer je een OPP beschrijft voor een leerling.</a:t>
          </a:r>
        </a:p>
        <a:p>
          <a:pPr algn="l"/>
          <a:endParaRPr lang="nl-NL" sz="1100" baseline="0"/>
        </a:p>
        <a:p>
          <a:pPr algn="l"/>
          <a:r>
            <a:rPr lang="nl-NL" sz="1100" baseline="0"/>
            <a:t>Ook kun je in één oogopslag zien of eruit komt wat erin zit en of er wellicht sprake is van dyslexie of dyscalculie.</a:t>
          </a:r>
        </a:p>
        <a:p>
          <a:pPr algn="l"/>
          <a:endParaRPr lang="nl-NL" sz="1100" baseline="0"/>
        </a:p>
        <a:p>
          <a:pPr algn="l"/>
          <a:r>
            <a:rPr lang="nl-NL" sz="1100" baseline="0"/>
            <a:t>Daarnaast zijn de grafieken goed in te zetten bij bespreking met de ouders over het VO schooladvies.</a:t>
          </a:r>
        </a:p>
        <a:p>
          <a:pPr algn="l"/>
          <a:endParaRPr lang="nl-NL" sz="1100" baseline="0"/>
        </a:p>
        <a:p>
          <a:pPr algn="l"/>
          <a:endParaRPr lang="nl-NL" sz="1100"/>
        </a:p>
      </xdr:txBody>
    </xdr:sp>
    <xdr:clientData/>
  </xdr:twoCellAnchor>
  <xdr:twoCellAnchor editAs="oneCell">
    <xdr:from>
      <xdr:col>1</xdr:col>
      <xdr:colOff>57151</xdr:colOff>
      <xdr:row>4</xdr:row>
      <xdr:rowOff>66675</xdr:rowOff>
    </xdr:from>
    <xdr:to>
      <xdr:col>16</xdr:col>
      <xdr:colOff>57151</xdr:colOff>
      <xdr:row>37</xdr:row>
      <xdr:rowOff>103946</xdr:rowOff>
    </xdr:to>
    <xdr:pic>
      <xdr:nvPicPr>
        <xdr:cNvPr id="5" name="Afbeelding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1" y="809625"/>
          <a:ext cx="9144000" cy="5380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542925</xdr:colOff>
      <xdr:row>6</xdr:row>
      <xdr:rowOff>85725</xdr:rowOff>
    </xdr:from>
    <xdr:to>
      <xdr:col>19</xdr:col>
      <xdr:colOff>390525</xdr:colOff>
      <xdr:row>14</xdr:row>
      <xdr:rowOff>9525</xdr:rowOff>
    </xdr:to>
    <xdr:sp macro="" textlink="">
      <xdr:nvSpPr>
        <xdr:cNvPr id="6" name="Pijl: links 7">
          <a:hlinkClick xmlns:r="http://schemas.openxmlformats.org/officeDocument/2006/relationships" r:id="rId2"/>
          <a:extLst>
            <a:ext uri="{FF2B5EF4-FFF2-40B4-BE49-F238E27FC236}">
              <a16:creationId xmlns:a16="http://schemas.microsoft.com/office/drawing/2014/main" id="{00000000-0008-0000-0600-000006000000}"/>
            </a:ext>
          </a:extLst>
        </xdr:cNvPr>
        <xdr:cNvSpPr/>
      </xdr:nvSpPr>
      <xdr:spPr bwMode="auto">
        <a:xfrm flipH="1">
          <a:off x="10296525" y="11525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557585</xdr:colOff>
      <xdr:row>37</xdr:row>
      <xdr:rowOff>123825</xdr:rowOff>
    </xdr:from>
    <xdr:to>
      <xdr:col>16</xdr:col>
      <xdr:colOff>28574</xdr:colOff>
      <xdr:row>50</xdr:row>
      <xdr:rowOff>28575</xdr:rowOff>
    </xdr:to>
    <xdr:pic>
      <xdr:nvPicPr>
        <xdr:cNvPr id="7" name="Afbeelding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585" y="6210300"/>
          <a:ext cx="9224589"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390525</xdr:colOff>
      <xdr:row>37</xdr:row>
      <xdr:rowOff>152399</xdr:rowOff>
    </xdr:from>
    <xdr:to>
      <xdr:col>20</xdr:col>
      <xdr:colOff>47625</xdr:colOff>
      <xdr:row>50</xdr:row>
      <xdr:rowOff>19049</xdr:rowOff>
    </xdr:to>
    <xdr:sp macro="" textlink="">
      <xdr:nvSpPr>
        <xdr:cNvPr id="8" name="Afgeronde rechthoek 3">
          <a:extLst>
            <a:ext uri="{FF2B5EF4-FFF2-40B4-BE49-F238E27FC236}">
              <a16:creationId xmlns:a16="http://schemas.microsoft.com/office/drawing/2014/main" id="{00000000-0008-0000-0600-000008000000}"/>
            </a:ext>
          </a:extLst>
        </xdr:cNvPr>
        <xdr:cNvSpPr/>
      </xdr:nvSpPr>
      <xdr:spPr bwMode="auto">
        <a:xfrm>
          <a:off x="10144125" y="6238874"/>
          <a:ext cx="2095500" cy="19716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mate</a:t>
          </a:r>
          <a:r>
            <a:rPr lang="nl-NL" sz="1100" baseline="0"/>
            <a:t> van betrokkenheid wordt onderaan het blad weergegeven.</a:t>
          </a:r>
        </a:p>
        <a:p>
          <a:pPr algn="l"/>
          <a:r>
            <a:rPr lang="nl-NL" sz="1100" baseline="0"/>
            <a:t>Hiervoor vullen de leelringen 2x per jaar de LijV-meter (Lekker in je Vel) in.</a:t>
          </a:r>
        </a:p>
        <a:p>
          <a:pPr algn="l"/>
          <a:endParaRPr lang="nl-NL" sz="1100" baseline="0"/>
        </a:p>
        <a:p>
          <a:pPr algn="l"/>
          <a:r>
            <a:rPr lang="nl-NL" sz="1100" baseline="0"/>
            <a:t>zie ook www.meesterharrie.nl </a:t>
          </a:r>
        </a:p>
        <a:p>
          <a:pPr algn="l"/>
          <a:endParaRPr lang="nl-NL" sz="1100" baseline="0"/>
        </a:p>
        <a:p>
          <a:pPr algn="l"/>
          <a:endParaRPr lang="nl-NL"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381000</xdr:colOff>
      <xdr:row>15</xdr:row>
      <xdr:rowOff>66676</xdr:rowOff>
    </xdr:from>
    <xdr:to>
      <xdr:col>20</xdr:col>
      <xdr:colOff>38100</xdr:colOff>
      <xdr:row>40</xdr:row>
      <xdr:rowOff>66675</xdr:rowOff>
    </xdr:to>
    <xdr:sp macro="" textlink="">
      <xdr:nvSpPr>
        <xdr:cNvPr id="2" name="Afgeronde rechthoek 1">
          <a:extLst>
            <a:ext uri="{FF2B5EF4-FFF2-40B4-BE49-F238E27FC236}">
              <a16:creationId xmlns:a16="http://schemas.microsoft.com/office/drawing/2014/main" id="{00000000-0008-0000-0700-000002000000}"/>
            </a:ext>
          </a:extLst>
        </xdr:cNvPr>
        <xdr:cNvSpPr/>
      </xdr:nvSpPr>
      <xdr:spPr bwMode="auto">
        <a:xfrm>
          <a:off x="10134600" y="2590801"/>
          <a:ext cx="2095500" cy="4048124"/>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gegevens worden automatisch verzameld.</a:t>
          </a:r>
        </a:p>
        <a:p>
          <a:pPr algn="l"/>
          <a:endParaRPr lang="nl-NL" sz="1100"/>
        </a:p>
        <a:p>
          <a:pPr algn="l"/>
          <a:r>
            <a:rPr lang="nl-NL" sz="1100"/>
            <a:t>Wanneer</a:t>
          </a:r>
          <a:r>
            <a:rPr lang="nl-NL" sz="1100" baseline="0"/>
            <a:t> DLE's ingevuld worden naast de gegevens van de niveauwaarden, verschijnt deze grafiek.</a:t>
          </a:r>
          <a:endParaRPr lang="nl-NL" sz="1100"/>
        </a:p>
        <a:p>
          <a:pPr algn="l"/>
          <a:endParaRPr lang="nl-NL" sz="1100" baseline="0"/>
        </a:p>
        <a:p>
          <a:pPr algn="l"/>
          <a:r>
            <a:rPr lang="nl-NL" sz="1100" baseline="0"/>
            <a:t>Dit formulier kun je uitstekend gebruiken wanneer je een OPP beschrijft voor een leerling.</a:t>
          </a:r>
        </a:p>
        <a:p>
          <a:pPr algn="l"/>
          <a:endParaRPr lang="nl-NL" sz="1100" baseline="0"/>
        </a:p>
        <a:p>
          <a:pPr algn="l"/>
          <a:r>
            <a:rPr lang="nl-NL" sz="1100" baseline="0"/>
            <a:t>Ook kun je in één oogopslag zien of eruit komt wat erin zit en of er wellicht sprake is van dyslexie of dyscalculie.</a:t>
          </a:r>
        </a:p>
        <a:p>
          <a:pPr algn="l"/>
          <a:endParaRPr lang="nl-NL" sz="1100" baseline="0"/>
        </a:p>
        <a:p>
          <a:pPr algn="l"/>
          <a:r>
            <a:rPr lang="nl-NL" sz="1100" baseline="0"/>
            <a:t>Daarnaast zijn de grafieken goed in te zetten bij bespreking met de ouders over het VO schooladvies.</a:t>
          </a:r>
        </a:p>
        <a:p>
          <a:pPr algn="l"/>
          <a:endParaRPr lang="nl-NL" sz="1100" baseline="0"/>
        </a:p>
        <a:p>
          <a:pPr algn="l"/>
          <a:endParaRPr lang="nl-NL" sz="1100"/>
        </a:p>
      </xdr:txBody>
    </xdr:sp>
    <xdr:clientData/>
  </xdr:twoCellAnchor>
  <xdr:twoCellAnchor>
    <xdr:from>
      <xdr:col>16</xdr:col>
      <xdr:colOff>542925</xdr:colOff>
      <xdr:row>6</xdr:row>
      <xdr:rowOff>85725</xdr:rowOff>
    </xdr:from>
    <xdr:to>
      <xdr:col>19</xdr:col>
      <xdr:colOff>390525</xdr:colOff>
      <xdr:row>14</xdr:row>
      <xdr:rowOff>9525</xdr:rowOff>
    </xdr:to>
    <xdr:sp macro="" textlink="">
      <xdr:nvSpPr>
        <xdr:cNvPr id="4" name="Pijl: links 7">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bwMode="auto">
        <a:xfrm flipH="1">
          <a:off x="10296525" y="11525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590551</xdr:colOff>
      <xdr:row>4</xdr:row>
      <xdr:rowOff>108343</xdr:rowOff>
    </xdr:from>
    <xdr:to>
      <xdr:col>16</xdr:col>
      <xdr:colOff>38101</xdr:colOff>
      <xdr:row>39</xdr:row>
      <xdr:rowOff>57149</xdr:rowOff>
    </xdr:to>
    <xdr:pic>
      <xdr:nvPicPr>
        <xdr:cNvPr id="5" name="Afbeelding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1" y="851293"/>
          <a:ext cx="9201150" cy="5616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304800</xdr:colOff>
      <xdr:row>3</xdr:row>
      <xdr:rowOff>38100</xdr:rowOff>
    </xdr:from>
    <xdr:to>
      <xdr:col>23</xdr:col>
      <xdr:colOff>590550</xdr:colOff>
      <xdr:row>33</xdr:row>
      <xdr:rowOff>66675</xdr:rowOff>
    </xdr:to>
    <xdr:pic>
      <xdr:nvPicPr>
        <xdr:cNvPr id="2" name="Afbeelding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19125"/>
          <a:ext cx="14306550"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276225</xdr:colOff>
      <xdr:row>2</xdr:row>
      <xdr:rowOff>85724</xdr:rowOff>
    </xdr:from>
    <xdr:to>
      <xdr:col>23</xdr:col>
      <xdr:colOff>542925</xdr:colOff>
      <xdr:row>26</xdr:row>
      <xdr:rowOff>133349</xdr:rowOff>
    </xdr:to>
    <xdr:sp macro="" textlink="">
      <xdr:nvSpPr>
        <xdr:cNvPr id="4" name="Afgeronde rechthoek 3">
          <a:extLst>
            <a:ext uri="{FF2B5EF4-FFF2-40B4-BE49-F238E27FC236}">
              <a16:creationId xmlns:a16="http://schemas.microsoft.com/office/drawing/2014/main" id="{00000000-0008-0000-0800-000004000000}"/>
            </a:ext>
          </a:extLst>
        </xdr:cNvPr>
        <xdr:cNvSpPr/>
      </xdr:nvSpPr>
      <xdr:spPr bwMode="auto">
        <a:xfrm>
          <a:off x="12468225" y="504824"/>
          <a:ext cx="2095500" cy="393382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Per</a:t>
          </a:r>
          <a:r>
            <a:rPr lang="nl-NL" sz="1100" baseline="0"/>
            <a:t> vak noteer je de BASISAANPAK in de gegeven vakken. </a:t>
          </a:r>
        </a:p>
        <a:p>
          <a:pPr algn="l"/>
          <a:endParaRPr lang="nl-NL" sz="1100" baseline="0"/>
        </a:p>
        <a:p>
          <a:pPr algn="l"/>
          <a:r>
            <a:rPr lang="nl-NL" sz="1100" baseline="0"/>
            <a:t>De Basisaanpak is bedoeld voor de MIDDENMOOT. </a:t>
          </a:r>
        </a:p>
        <a:p>
          <a:pPr algn="l"/>
          <a:r>
            <a:rPr lang="nl-NL" sz="1100" baseline="0"/>
            <a:t>Hiertoe behoort het grootste gedeelte van de groep (sowieso 50% van de groep).</a:t>
          </a:r>
        </a:p>
        <a:p>
          <a:pPr algn="l"/>
          <a:endParaRPr lang="nl-NL" sz="1100" baseline="0"/>
        </a:p>
        <a:p>
          <a:pPr algn="l"/>
          <a:r>
            <a:rPr lang="nl-NL" sz="1100" baseline="0"/>
            <a:t>De beschreven aanpakken worden automatisch gekopieerd naar de betreffende vakken.</a:t>
          </a:r>
        </a:p>
        <a:p>
          <a:pPr algn="l"/>
          <a:endParaRPr lang="nl-NL" sz="1100" baseline="0"/>
        </a:p>
        <a:p>
          <a:pPr algn="l"/>
          <a:r>
            <a:rPr lang="nl-NL" sz="1100" baseline="0"/>
            <a:t>Onderzoek heeft uitgewezen dat de leerkracht zich tijdens de instructie met name richt op die middenmoot.</a:t>
          </a:r>
        </a:p>
        <a:p>
          <a:pPr algn="l"/>
          <a:endParaRPr lang="nl-NL" sz="1100" baseline="0"/>
        </a:p>
        <a:p>
          <a:pPr algn="l"/>
          <a:r>
            <a:rPr lang="nl-NL" sz="1100" baseline="0"/>
            <a:t>zie ook: www.masterclassopo.nl</a:t>
          </a:r>
        </a:p>
        <a:p>
          <a:pPr algn="l"/>
          <a:endParaRPr lang="nl-NL" sz="1100"/>
        </a:p>
      </xdr:txBody>
    </xdr:sp>
    <xdr:clientData/>
  </xdr:twoCellAnchor>
  <xdr:twoCellAnchor>
    <xdr:from>
      <xdr:col>20</xdr:col>
      <xdr:colOff>542925</xdr:colOff>
      <xdr:row>27</xdr:row>
      <xdr:rowOff>66675</xdr:rowOff>
    </xdr:from>
    <xdr:to>
      <xdr:col>23</xdr:col>
      <xdr:colOff>390525</xdr:colOff>
      <xdr:row>34</xdr:row>
      <xdr:rowOff>152400</xdr:rowOff>
    </xdr:to>
    <xdr:sp macro="" textlink="">
      <xdr:nvSpPr>
        <xdr:cNvPr id="5" name="Pijl: links 7">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bwMode="auto">
        <a:xfrm flipH="1">
          <a:off x="12734925" y="4533900"/>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floreantscholen.sharepoint.com/sites/triangel_leerkrachten/Gedeelde%20documenten/General/ZORG/GROEPSPLAN/GROEPSPLAN%202024-2025/Kardoen%20GP%20GROEP%207%20januari%202025.xlsx" TargetMode="External"/><Relationship Id="rId1" Type="http://schemas.openxmlformats.org/officeDocument/2006/relationships/externalLinkPath" Target="Kardoen%20GP%20GROEP%207%20januari%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P%20-%20MRT%202021%20-%20De%20Kardoen/maart%202021/10.%20GP%20GROEP%208B%20-%2017-03-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P%20-%20JAN%202020%20-%20De%20Kardoen/9.GP%20%20-%20JAN%202020%20-%20GROEP%20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Di%203%20-%20SIGNALERING/2018-2019/DiGi-3%20-%20groep%204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1"/>
      <sheetName val="info-2"/>
      <sheetName val="info-3"/>
      <sheetName val="info-4"/>
      <sheetName val="info-5"/>
      <sheetName val="info-6"/>
      <sheetName val="info-7"/>
      <sheetName val="info-8"/>
      <sheetName val="info-9"/>
      <sheetName val="info-10"/>
      <sheetName val="info-11"/>
      <sheetName val="info-12"/>
      <sheetName val="info-13"/>
      <sheetName val="info-14"/>
      <sheetName val="info-15"/>
      <sheetName val="info-16"/>
      <sheetName val="NIVEAU WAARDE - vorig jaar"/>
      <sheetName val="NIVEAU WAARDE - 1e toetsperiode"/>
      <sheetName val="NIVEAU WAARDE - 2e toetsperiode"/>
      <sheetName val="Referentieniveau"/>
      <sheetName val="schoolweging"/>
      <sheetName val="OPP vorige jaar"/>
      <sheetName val="OPP 1e periode"/>
      <sheetName val="OPP 2e periode"/>
      <sheetName val="ONTW.PERSPECTIEF"/>
      <sheetName val="DL - DLE"/>
      <sheetName val="OPO"/>
      <sheetName val="LIJV"/>
      <sheetName val="TOETSAFSPRAKEN"/>
      <sheetName val="NOTITIES"/>
      <sheetName val="INTENSIEF - 1e periode"/>
      <sheetName val="INTENSIEF - 2e periode"/>
      <sheetName val="BASISAANPAK - 1e periode"/>
      <sheetName val="BASISAANPAK - 2e periode"/>
      <sheetName val="VERRIJKT - 1e periode"/>
      <sheetName val="VERRIJKT - 2e periode"/>
      <sheetName val="BEGINBLAD"/>
      <sheetName val="AANLEG"/>
      <sheetName val="GROEPSBESPREKING"/>
      <sheetName val="SOCIAAL EMOTIONEEL"/>
      <sheetName val="VERWIJZING - VO"/>
      <sheetName val="2.2"/>
      <sheetName val="3.0"/>
      <sheetName val="TECHNISCH LEZEN - 1e periode"/>
      <sheetName val="TECHNISCH LEZEN - 2e periode"/>
      <sheetName val="BEGRIJPEND LEZEN - 1e periode"/>
      <sheetName val="BEGRIJPEND LEZEN - 2e periode"/>
      <sheetName val="SPELLEN - 1e periode"/>
      <sheetName val="SPELLEN - 2e periode"/>
      <sheetName val="REKENEN - 1e periode"/>
      <sheetName val="REKENEN - 2e periode"/>
      <sheetName val="HOOFDREKENEN - 1e periode"/>
      <sheetName val="HOOFDREKENEN - 2e periode"/>
      <sheetName val="DIVERSITEIT"/>
      <sheetName val="SIGNALERING HB"/>
      <sheetName val="LEERLING PROFIEL HB"/>
      <sheetName val="OUDERBRI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7">
          <cell r="P47" t="e">
            <v>#DIV/0!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info-3"/>
      <sheetName val="info-4"/>
      <sheetName val="info-5"/>
      <sheetName val="info-6"/>
      <sheetName val="info-7"/>
      <sheetName val="info-8"/>
      <sheetName val="info-9"/>
      <sheetName val="info-10"/>
      <sheetName val="info-11"/>
      <sheetName val="info-12"/>
      <sheetName val="info-13"/>
      <sheetName val="info-14"/>
      <sheetName val="NIVEAU WAARDE - vorig jaar"/>
      <sheetName val="NIVEAU WAARDE - 1e toetsperiode"/>
      <sheetName val="NIVEAU WAARDE - 2e toetsperiode"/>
      <sheetName val="schoolweging"/>
      <sheetName val="Referentieniveau"/>
      <sheetName val="OPP vorige jaar"/>
      <sheetName val="OPP 1e periode"/>
      <sheetName val="OPP 2e periode"/>
      <sheetName val="ONTW.PERSPECTIEF"/>
      <sheetName val="DL - DLE"/>
      <sheetName val="OPO"/>
      <sheetName val="LIJV"/>
      <sheetName val="TOETSAFSPRAKEN EN NOTOTIES"/>
      <sheetName val="INTENSIEF - 1e periode"/>
      <sheetName val="INTENSIEF - 2e periode"/>
      <sheetName val="BASISAANPAK - 1e periode"/>
      <sheetName val="BASISAANPAK - 2e periode"/>
      <sheetName val="VERRIJKT - 1e periode"/>
      <sheetName val="VERRIJKT - 2e periode"/>
      <sheetName val="BEGINBLAD"/>
      <sheetName val="AANLEG"/>
      <sheetName val="SOCIAAL EMOTIONEEL"/>
      <sheetName val="VERWIJZING - VO"/>
      <sheetName val="TECHNISCH LEZEN - 1e periode"/>
      <sheetName val="TECHNISCH LEZEN - 2e periode"/>
      <sheetName val="BEGRIJPEND LEZEN - 1e periode"/>
      <sheetName val="BEGRIJPEND LEZEN - 2e periode"/>
      <sheetName val="SPELLEN - 1e periode"/>
      <sheetName val="SPELLEN - 2e periode"/>
      <sheetName val="REKENEN - 1e periode"/>
      <sheetName val="REKENEN - 2e periode"/>
      <sheetName val="HOOFDREKENEN - 1e periode"/>
      <sheetName val="HOOFDREKENEN - 2e periode"/>
      <sheetName val="DIVERSITEIT"/>
      <sheetName val="SIGNALERING HB"/>
      <sheetName val="LEERLING PROFIEL HB"/>
      <sheetName val="OUDERBRI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S4" t="str">
            <v>1F</v>
          </cell>
          <cell r="T4" t="str">
            <v>1S</v>
          </cell>
          <cell r="W4" t="str">
            <v>1F</v>
          </cell>
          <cell r="X4" t="str">
            <v>1S</v>
          </cell>
          <cell r="AA4" t="str">
            <v>1F</v>
          </cell>
          <cell r="AB4" t="str">
            <v>1S</v>
          </cell>
        </row>
        <row r="5">
          <cell r="R5" t="str">
            <v>B6</v>
          </cell>
          <cell r="S5">
            <v>0</v>
          </cell>
          <cell r="T5">
            <v>0</v>
          </cell>
          <cell r="W5">
            <v>0.4</v>
          </cell>
          <cell r="X5">
            <v>0</v>
          </cell>
          <cell r="AA5">
            <v>0</v>
          </cell>
          <cell r="AB5">
            <v>0</v>
          </cell>
        </row>
        <row r="6">
          <cell r="R6" t="str">
            <v>M6</v>
          </cell>
          <cell r="S6">
            <v>0.4</v>
          </cell>
          <cell r="T6">
            <v>0</v>
          </cell>
          <cell r="W6">
            <v>0.5</v>
          </cell>
          <cell r="X6">
            <v>0</v>
          </cell>
          <cell r="AA6">
            <v>0.1</v>
          </cell>
          <cell r="AB6">
            <v>0</v>
          </cell>
        </row>
        <row r="7">
          <cell r="R7" t="str">
            <v>B7</v>
          </cell>
          <cell r="S7">
            <v>0.5</v>
          </cell>
          <cell r="T7">
            <v>0.05</v>
          </cell>
          <cell r="W7">
            <v>0.6</v>
          </cell>
          <cell r="X7">
            <v>0</v>
          </cell>
          <cell r="AA7">
            <v>0.4</v>
          </cell>
          <cell r="AB7">
            <v>0</v>
          </cell>
        </row>
        <row r="8">
          <cell r="R8" t="str">
            <v>M7</v>
          </cell>
          <cell r="S8">
            <v>0.7</v>
          </cell>
          <cell r="T8">
            <v>0.2</v>
          </cell>
          <cell r="W8">
            <v>0.75</v>
          </cell>
          <cell r="X8">
            <v>0.2</v>
          </cell>
          <cell r="AA8">
            <v>0.6</v>
          </cell>
          <cell r="AB8">
            <v>0.1</v>
          </cell>
        </row>
        <row r="9">
          <cell r="R9" t="str">
            <v>B8</v>
          </cell>
          <cell r="S9">
            <v>0.75</v>
          </cell>
          <cell r="T9">
            <v>0.25</v>
          </cell>
          <cell r="W9">
            <v>0.8</v>
          </cell>
          <cell r="X9">
            <v>0.25</v>
          </cell>
          <cell r="AA9">
            <v>0.75</v>
          </cell>
          <cell r="AB9">
            <v>0.2</v>
          </cell>
        </row>
        <row r="10">
          <cell r="R10" t="str">
            <v>M8</v>
          </cell>
          <cell r="S10">
            <v>0.8</v>
          </cell>
          <cell r="T10">
            <v>0.45</v>
          </cell>
          <cell r="W10">
            <v>0.85</v>
          </cell>
          <cell r="X10">
            <v>0.45</v>
          </cell>
          <cell r="AA10">
            <v>0.9</v>
          </cell>
          <cell r="AB10">
            <v>0.3</v>
          </cell>
        </row>
        <row r="11">
          <cell r="R11" t="str">
            <v>E8</v>
          </cell>
          <cell r="S11">
            <v>0.96499999999999997</v>
          </cell>
          <cell r="T11">
            <v>0.65</v>
          </cell>
          <cell r="W11">
            <v>0.96499999999999997</v>
          </cell>
          <cell r="X11">
            <v>0.65</v>
          </cell>
          <cell r="AA11">
            <v>0.96499999999999997</v>
          </cell>
          <cell r="AB11">
            <v>0.45</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info-3"/>
      <sheetName val="info-4"/>
      <sheetName val="info-5"/>
      <sheetName val="info-6"/>
      <sheetName val="info-7"/>
      <sheetName val="info-8"/>
      <sheetName val="info-9"/>
      <sheetName val="info-10"/>
      <sheetName val="info-11"/>
      <sheetName val="info-12"/>
      <sheetName val="info-13"/>
      <sheetName val="info-14"/>
      <sheetName val="info-15"/>
      <sheetName val="info-16"/>
      <sheetName val="info-17"/>
      <sheetName val="info-18"/>
      <sheetName val="info-19"/>
      <sheetName val="info-21"/>
      <sheetName val="info-22"/>
      <sheetName val="info-23"/>
      <sheetName val="info-24"/>
      <sheetName val="info-25"/>
      <sheetName val="info-26"/>
      <sheetName val="info-27"/>
      <sheetName val="info-28"/>
      <sheetName val="info-29"/>
      <sheetName val="BEGINBLAD"/>
      <sheetName val="NIVEAU WAARDE - voor vorige"/>
      <sheetName val="NIVEAU WAARDE - vorige afname"/>
      <sheetName val="NIVEAU WAARDE"/>
      <sheetName val="OPO"/>
      <sheetName val="LIJV"/>
      <sheetName val="INTENSIEF"/>
      <sheetName val="BASISAANPAK"/>
      <sheetName val="VERRIJKT"/>
      <sheetName val="TECHNISCH LEZEN"/>
      <sheetName val="EVALUATIE-TL"/>
      <sheetName val="SPELLEN"/>
      <sheetName val="EVALUATIE-SP"/>
      <sheetName val="BEGRIJPEND LEZEN"/>
      <sheetName val="EVALUATIE-BL"/>
      <sheetName val="REKENEN &amp; WISKUNDE"/>
      <sheetName val="EVALUATIE-R&amp;W"/>
      <sheetName val="HOOFDREKENEN"/>
      <sheetName val="EVALUATIE-HR"/>
      <sheetName val="KANJERLIJST 5-6-7-8"/>
      <sheetName val="LijV - LIJST 4-5-6-7-8"/>
      <sheetName val="SOCIAAL EMOTIONEEL"/>
      <sheetName val="TOTAAL OVERZICHT - BLADWIJZER"/>
      <sheetName val="TOTAAL OVERZICHT 3-4-5-6-7-8"/>
      <sheetName val="TIJDEN 3-8"/>
      <sheetName val="TIJDEN- PLUS"/>
      <sheetName val="GROEPSBESPREKING"/>
      <sheetName val="PLANNEN"/>
      <sheetName val="CIJFERLIJSTJE"/>
      <sheetName val="LEERLINGENKAART - INDIVIDUEEL"/>
      <sheetName val="MEERBEGAAFDHEID"/>
      <sheetName val="VERWIJZING - VO"/>
      <sheetName val="ONDERPRESTEREN"/>
      <sheetName val="RIO"/>
      <sheetName val="ONTW.PERSPECTIEF"/>
      <sheetName val="DIVERSITEIT"/>
      <sheetName val="OUDERBRI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6">
          <cell r="D6">
            <v>8</v>
          </cell>
        </row>
        <row r="7">
          <cell r="D7">
            <v>8</v>
          </cell>
        </row>
        <row r="8">
          <cell r="D8">
            <v>8</v>
          </cell>
        </row>
        <row r="9">
          <cell r="D9">
            <v>8</v>
          </cell>
        </row>
        <row r="10">
          <cell r="D10">
            <v>8</v>
          </cell>
        </row>
        <row r="11">
          <cell r="D11">
            <v>8</v>
          </cell>
        </row>
        <row r="12">
          <cell r="D12">
            <v>8</v>
          </cell>
        </row>
        <row r="13">
          <cell r="D13">
            <v>8</v>
          </cell>
        </row>
        <row r="14">
          <cell r="D14">
            <v>8</v>
          </cell>
        </row>
        <row r="15">
          <cell r="D15">
            <v>8</v>
          </cell>
        </row>
        <row r="16">
          <cell r="D16">
            <v>8</v>
          </cell>
        </row>
        <row r="17">
          <cell r="D17">
            <v>8</v>
          </cell>
        </row>
        <row r="18">
          <cell r="D18">
            <v>8</v>
          </cell>
        </row>
        <row r="19">
          <cell r="D19">
            <v>8</v>
          </cell>
        </row>
        <row r="20">
          <cell r="D20">
            <v>8</v>
          </cell>
        </row>
        <row r="21">
          <cell r="D21">
            <v>8</v>
          </cell>
        </row>
        <row r="22">
          <cell r="D22">
            <v>8</v>
          </cell>
        </row>
        <row r="23">
          <cell r="D23">
            <v>8</v>
          </cell>
        </row>
        <row r="24">
          <cell r="D24">
            <v>8</v>
          </cell>
        </row>
        <row r="25">
          <cell r="D25">
            <v>8</v>
          </cell>
        </row>
        <row r="26">
          <cell r="D26">
            <v>8</v>
          </cell>
        </row>
        <row r="27">
          <cell r="D27">
            <v>8</v>
          </cell>
        </row>
        <row r="28">
          <cell r="D28">
            <v>8</v>
          </cell>
        </row>
        <row r="29">
          <cell r="D29">
            <v>8</v>
          </cell>
        </row>
        <row r="30">
          <cell r="D30">
            <v>8</v>
          </cell>
        </row>
        <row r="31">
          <cell r="D31">
            <v>8</v>
          </cell>
        </row>
        <row r="32">
          <cell r="D32">
            <v>8</v>
          </cell>
        </row>
        <row r="33">
          <cell r="D33">
            <v>8</v>
          </cell>
        </row>
        <row r="34">
          <cell r="D34">
            <v>8</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Namenlijst 3-8"/>
      <sheetName val="Jaarlijkse signalering 3-8"/>
      <sheetName val="Leerlingprofiel 3-8"/>
    </sheetNames>
    <sheetDataSet>
      <sheetData sheetId="0">
        <row r="5">
          <cell r="C5" t="str">
            <v>Namen leerlingen:</v>
          </cell>
        </row>
      </sheetData>
      <sheetData sheetId="1">
        <row r="2">
          <cell r="F2">
            <v>1</v>
          </cell>
          <cell r="G2">
            <v>2</v>
          </cell>
          <cell r="H2">
            <v>3</v>
          </cell>
          <cell r="I2">
            <v>4</v>
          </cell>
          <cell r="J2">
            <v>5</v>
          </cell>
          <cell r="K2">
            <v>6</v>
          </cell>
          <cell r="L2">
            <v>7</v>
          </cell>
          <cell r="M2">
            <v>8</v>
          </cell>
          <cell r="N2">
            <v>9</v>
          </cell>
          <cell r="O2">
            <v>10</v>
          </cell>
          <cell r="P2">
            <v>11</v>
          </cell>
          <cell r="Q2">
            <v>12</v>
          </cell>
          <cell r="R2">
            <v>13</v>
          </cell>
          <cell r="S2">
            <v>14</v>
          </cell>
          <cell r="T2">
            <v>15</v>
          </cell>
          <cell r="U2">
            <v>16</v>
          </cell>
          <cell r="V2">
            <v>17</v>
          </cell>
          <cell r="W2">
            <v>18</v>
          </cell>
          <cell r="X2">
            <v>19</v>
          </cell>
          <cell r="Y2">
            <v>20</v>
          </cell>
          <cell r="Z2">
            <v>21</v>
          </cell>
          <cell r="AA2">
            <v>22</v>
          </cell>
          <cell r="AB2">
            <v>23</v>
          </cell>
          <cell r="AC2">
            <v>24</v>
          </cell>
          <cell r="AD2">
            <v>25</v>
          </cell>
          <cell r="AE2">
            <v>26</v>
          </cell>
          <cell r="AF2">
            <v>27</v>
          </cell>
          <cell r="AG2">
            <v>28</v>
          </cell>
          <cell r="AH2">
            <v>29</v>
          </cell>
          <cell r="AI2">
            <v>30</v>
          </cell>
          <cell r="AJ2">
            <v>31</v>
          </cell>
          <cell r="AK2">
            <v>32</v>
          </cell>
          <cell r="AL2">
            <v>33</v>
          </cell>
          <cell r="AM2">
            <v>34</v>
          </cell>
          <cell r="AN2">
            <v>35</v>
          </cell>
        </row>
        <row r="3">
          <cell r="F3" t="str">
            <v>Tess den Bakker</v>
          </cell>
          <cell r="G3" t="str">
            <v>Gerwin Beniers</v>
          </cell>
          <cell r="H3" t="str">
            <v>Manoah Boer</v>
          </cell>
          <cell r="I3" t="str">
            <v>Julia From</v>
          </cell>
          <cell r="J3" t="str">
            <v>Bram Grootemarsink</v>
          </cell>
          <cell r="K3" t="str">
            <v>Lise Grotenhuis</v>
          </cell>
          <cell r="L3" t="str">
            <v>Mila Hekman</v>
          </cell>
          <cell r="M3" t="str">
            <v>Nora Hekman</v>
          </cell>
          <cell r="N3" t="str">
            <v>Noor Homan</v>
          </cell>
          <cell r="O3" t="str">
            <v>Sem Katerberg</v>
          </cell>
          <cell r="P3" t="str">
            <v>Fem Nijhoff</v>
          </cell>
          <cell r="Q3" t="str">
            <v>Levi Olsman</v>
          </cell>
          <cell r="R3" t="str">
            <v>Tobi Ruijters</v>
          </cell>
          <cell r="S3" t="str">
            <v>Naomi Schenk</v>
          </cell>
          <cell r="T3" t="str">
            <v>Meike van der Tuin</v>
          </cell>
          <cell r="U3" t="str">
            <v>Julan van der Vegt</v>
          </cell>
          <cell r="V3" t="str">
            <v>Naud Vonk</v>
          </cell>
          <cell r="W3" t="str">
            <v>Chloë Vos</v>
          </cell>
          <cell r="X3" t="str">
            <v>Lieve Willems</v>
          </cell>
          <cell r="Y3" t="str">
            <v>Tygo Wolters</v>
          </cell>
          <cell r="Z3" t="str">
            <v>Jorden Zuidema</v>
          </cell>
          <cell r="AA3">
            <v>0</v>
          </cell>
          <cell r="AB3">
            <v>0</v>
          </cell>
          <cell r="AC3">
            <v>0</v>
          </cell>
          <cell r="AD3">
            <v>0</v>
          </cell>
          <cell r="AE3">
            <v>0</v>
          </cell>
          <cell r="AF3">
            <v>0</v>
          </cell>
          <cell r="AG3">
            <v>0</v>
          </cell>
          <cell r="AH3">
            <v>0</v>
          </cell>
          <cell r="AI3">
            <v>0</v>
          </cell>
          <cell r="AJ3">
            <v>0</v>
          </cell>
          <cell r="AK3">
            <v>0</v>
          </cell>
          <cell r="AL3">
            <v>0</v>
          </cell>
          <cell r="AM3">
            <v>0</v>
          </cell>
          <cell r="AN3">
            <v>0</v>
          </cell>
        </row>
        <row r="4">
          <cell r="F4">
            <v>3</v>
          </cell>
          <cell r="G4">
            <v>1</v>
          </cell>
          <cell r="H4">
            <v>3</v>
          </cell>
          <cell r="I4">
            <v>4</v>
          </cell>
          <cell r="J4">
            <v>3</v>
          </cell>
          <cell r="K4">
            <v>3</v>
          </cell>
          <cell r="L4">
            <v>5</v>
          </cell>
          <cell r="M4">
            <v>3</v>
          </cell>
          <cell r="N4">
            <v>2</v>
          </cell>
          <cell r="O4">
            <v>4</v>
          </cell>
          <cell r="P4">
            <v>4</v>
          </cell>
          <cell r="Q4">
            <v>3</v>
          </cell>
          <cell r="R4">
            <v>3</v>
          </cell>
          <cell r="S4">
            <v>3</v>
          </cell>
          <cell r="T4">
            <v>2</v>
          </cell>
          <cell r="U4">
            <v>3</v>
          </cell>
          <cell r="V4">
            <v>3</v>
          </cell>
          <cell r="W4">
            <v>5</v>
          </cell>
          <cell r="X4">
            <v>3</v>
          </cell>
          <cell r="Y4">
            <v>3</v>
          </cell>
          <cell r="Z4">
            <v>3</v>
          </cell>
        </row>
        <row r="5">
          <cell r="F5" t="str">
            <v>gemiddeld</v>
          </cell>
          <cell r="G5" t="str">
            <v>zwak</v>
          </cell>
          <cell r="H5" t="str">
            <v>gemiddeld</v>
          </cell>
          <cell r="I5" t="str">
            <v>boven gemiddeld</v>
          </cell>
          <cell r="J5" t="str">
            <v>gemiddeld</v>
          </cell>
          <cell r="K5" t="str">
            <v>gemiddeld</v>
          </cell>
          <cell r="L5" t="str">
            <v>goed</v>
          </cell>
          <cell r="M5" t="str">
            <v>gemiddeld</v>
          </cell>
          <cell r="N5" t="str">
            <v>beneden gemiddeld</v>
          </cell>
          <cell r="O5" t="str">
            <v>boven gemiddeld</v>
          </cell>
          <cell r="P5" t="str">
            <v>boven gemiddeld</v>
          </cell>
          <cell r="Q5" t="str">
            <v>gemiddeld</v>
          </cell>
          <cell r="R5" t="str">
            <v>gemiddeld</v>
          </cell>
          <cell r="S5" t="str">
            <v>gemiddeld</v>
          </cell>
          <cell r="T5" t="str">
            <v>beneden gemiddeld</v>
          </cell>
          <cell r="U5" t="str">
            <v>gemiddeld</v>
          </cell>
          <cell r="V5" t="str">
            <v>gemiddeld</v>
          </cell>
          <cell r="W5" t="str">
            <v>goed</v>
          </cell>
          <cell r="X5" t="str">
            <v>gemiddeld</v>
          </cell>
          <cell r="Y5" t="str">
            <v>gemiddeld</v>
          </cell>
          <cell r="Z5" t="str">
            <v>gemiddeld</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row>
        <row r="6">
          <cell r="F6" t="str">
            <v>signalering stopt</v>
          </cell>
          <cell r="G6" t="str">
            <v>signalering stopt</v>
          </cell>
          <cell r="H6" t="str">
            <v>signalering stopt</v>
          </cell>
          <cell r="I6" t="str">
            <v>vraag 1-12</v>
          </cell>
          <cell r="J6" t="str">
            <v>signalering stopt</v>
          </cell>
          <cell r="K6" t="str">
            <v>signalering stopt</v>
          </cell>
          <cell r="L6" t="str">
            <v>vraag 1-12</v>
          </cell>
          <cell r="M6" t="str">
            <v>signalering stopt</v>
          </cell>
          <cell r="N6" t="str">
            <v>signalering stopt</v>
          </cell>
          <cell r="O6" t="str">
            <v>vraag 1-12</v>
          </cell>
          <cell r="P6" t="str">
            <v>vraag 1-12</v>
          </cell>
          <cell r="Q6" t="str">
            <v>signalering stopt</v>
          </cell>
          <cell r="R6" t="str">
            <v>signalering stopt</v>
          </cell>
          <cell r="S6" t="str">
            <v>signalering stopt</v>
          </cell>
          <cell r="T6" t="str">
            <v>signalering stopt</v>
          </cell>
          <cell r="U6" t="str">
            <v>signalering stopt</v>
          </cell>
          <cell r="V6" t="str">
            <v>signalering stopt</v>
          </cell>
          <cell r="W6" t="str">
            <v>vraag 1-12</v>
          </cell>
          <cell r="X6" t="str">
            <v>signalering stopt</v>
          </cell>
          <cell r="Y6" t="str">
            <v>signalering stopt</v>
          </cell>
          <cell r="Z6" t="str">
            <v>signalering stopt</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row>
        <row r="9">
          <cell r="O9" t="str">
            <v>x</v>
          </cell>
        </row>
        <row r="12">
          <cell r="I12" t="str">
            <v>x</v>
          </cell>
          <cell r="O12" t="str">
            <v>x</v>
          </cell>
          <cell r="P12" t="str">
            <v>x</v>
          </cell>
        </row>
        <row r="13">
          <cell r="I13" t="str">
            <v>x</v>
          </cell>
          <cell r="L13" t="str">
            <v>x</v>
          </cell>
          <cell r="W13" t="str">
            <v>x</v>
          </cell>
        </row>
        <row r="16">
          <cell r="O16" t="str">
            <v>x</v>
          </cell>
        </row>
        <row r="20">
          <cell r="F20">
            <v>0</v>
          </cell>
          <cell r="G20">
            <v>0</v>
          </cell>
          <cell r="H20">
            <v>0</v>
          </cell>
          <cell r="I20">
            <v>2</v>
          </cell>
          <cell r="J20">
            <v>0</v>
          </cell>
          <cell r="K20">
            <v>0</v>
          </cell>
          <cell r="L20">
            <v>1</v>
          </cell>
          <cell r="M20">
            <v>0</v>
          </cell>
          <cell r="N20">
            <v>0</v>
          </cell>
          <cell r="O20">
            <v>3</v>
          </cell>
          <cell r="P20">
            <v>1</v>
          </cell>
          <cell r="Q20">
            <v>0</v>
          </cell>
          <cell r="R20">
            <v>0</v>
          </cell>
          <cell r="S20">
            <v>0</v>
          </cell>
          <cell r="T20">
            <v>0</v>
          </cell>
          <cell r="U20">
            <v>0</v>
          </cell>
          <cell r="V20">
            <v>0</v>
          </cell>
          <cell r="W20">
            <v>1</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F21">
            <v>0</v>
          </cell>
          <cell r="G21">
            <v>0</v>
          </cell>
          <cell r="H21">
            <v>0</v>
          </cell>
          <cell r="I21">
            <v>2</v>
          </cell>
          <cell r="J21">
            <v>0</v>
          </cell>
          <cell r="K21">
            <v>0</v>
          </cell>
          <cell r="L21">
            <v>1</v>
          </cell>
          <cell r="M21">
            <v>0</v>
          </cell>
          <cell r="N21">
            <v>0</v>
          </cell>
          <cell r="O21">
            <v>3</v>
          </cell>
          <cell r="P21">
            <v>1</v>
          </cell>
          <cell r="Q21">
            <v>0</v>
          </cell>
          <cell r="R21">
            <v>0</v>
          </cell>
          <cell r="S21">
            <v>0</v>
          </cell>
          <cell r="T21">
            <v>0</v>
          </cell>
          <cell r="U21">
            <v>0</v>
          </cell>
          <cell r="V21">
            <v>0</v>
          </cell>
          <cell r="W21">
            <v>1</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row>
        <row r="22">
          <cell r="F22" t="str">
            <v>signalering stopt</v>
          </cell>
          <cell r="G22" t="str">
            <v>signalering stopt</v>
          </cell>
          <cell r="H22" t="str">
            <v>signalering stopt</v>
          </cell>
          <cell r="I22" t="str">
            <v>signalering stopt</v>
          </cell>
          <cell r="J22" t="str">
            <v>signalering stopt</v>
          </cell>
          <cell r="K22" t="str">
            <v>signalering stopt</v>
          </cell>
          <cell r="L22" t="str">
            <v>signalering stopt</v>
          </cell>
          <cell r="M22" t="str">
            <v>signalering stopt</v>
          </cell>
          <cell r="N22" t="str">
            <v>signalering stopt</v>
          </cell>
          <cell r="O22" t="str">
            <v>signalering stopt</v>
          </cell>
          <cell r="P22" t="str">
            <v>signalering stopt</v>
          </cell>
          <cell r="Q22" t="str">
            <v>signalering stopt</v>
          </cell>
          <cell r="R22" t="str">
            <v>signalering stopt</v>
          </cell>
          <cell r="S22" t="str">
            <v>signalering stopt</v>
          </cell>
          <cell r="T22" t="str">
            <v>signalering stopt</v>
          </cell>
          <cell r="U22" t="str">
            <v>signalering stopt</v>
          </cell>
          <cell r="V22" t="str">
            <v>signalering stopt</v>
          </cell>
          <cell r="W22" t="str">
            <v>signalering stopt</v>
          </cell>
          <cell r="X22" t="str">
            <v>signalering stopt</v>
          </cell>
          <cell r="Y22" t="str">
            <v>signalering stopt</v>
          </cell>
          <cell r="Z22" t="str">
            <v>signalering stopt</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F34" t="str">
            <v/>
          </cell>
          <cell r="G34" t="str">
            <v/>
          </cell>
          <cell r="H34" t="str">
            <v/>
          </cell>
          <cell r="I34">
            <v>0</v>
          </cell>
          <cell r="J34" t="str">
            <v/>
          </cell>
          <cell r="K34" t="str">
            <v/>
          </cell>
          <cell r="L34">
            <v>0</v>
          </cell>
          <cell r="M34" t="str">
            <v/>
          </cell>
          <cell r="N34" t="str">
            <v/>
          </cell>
          <cell r="O34">
            <v>0</v>
          </cell>
          <cell r="P34">
            <v>0</v>
          </cell>
          <cell r="Q34" t="str">
            <v/>
          </cell>
          <cell r="R34" t="str">
            <v/>
          </cell>
          <cell r="S34" t="str">
            <v/>
          </cell>
          <cell r="T34" t="str">
            <v/>
          </cell>
          <cell r="U34" t="str">
            <v/>
          </cell>
          <cell r="V34" t="str">
            <v/>
          </cell>
          <cell r="W34">
            <v>0</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row>
        <row r="35">
          <cell r="F35" t="str">
            <v/>
          </cell>
          <cell r="G35" t="str">
            <v/>
          </cell>
          <cell r="H35" t="str">
            <v/>
          </cell>
          <cell r="I35">
            <v>1</v>
          </cell>
          <cell r="J35" t="str">
            <v/>
          </cell>
          <cell r="K35" t="str">
            <v/>
          </cell>
          <cell r="L35">
            <v>1</v>
          </cell>
          <cell r="M35" t="str">
            <v/>
          </cell>
          <cell r="N35" t="str">
            <v/>
          </cell>
          <cell r="O35">
            <v>1</v>
          </cell>
          <cell r="P35">
            <v>1</v>
          </cell>
          <cell r="Q35" t="str">
            <v/>
          </cell>
          <cell r="R35" t="str">
            <v/>
          </cell>
          <cell r="S35" t="str">
            <v/>
          </cell>
          <cell r="T35" t="str">
            <v/>
          </cell>
          <cell r="U35" t="str">
            <v/>
          </cell>
          <cell r="V35" t="str">
            <v/>
          </cell>
          <cell r="W35">
            <v>1</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row>
        <row r="36">
          <cell r="F36">
            <v>0</v>
          </cell>
          <cell r="G36">
            <v>0</v>
          </cell>
          <cell r="H36">
            <v>0</v>
          </cell>
          <cell r="I36">
            <v>1</v>
          </cell>
          <cell r="J36">
            <v>0</v>
          </cell>
          <cell r="K36">
            <v>0</v>
          </cell>
          <cell r="L36">
            <v>1</v>
          </cell>
          <cell r="M36">
            <v>0</v>
          </cell>
          <cell r="N36">
            <v>0</v>
          </cell>
          <cell r="O36">
            <v>1</v>
          </cell>
          <cell r="P36">
            <v>1</v>
          </cell>
          <cell r="Q36">
            <v>0</v>
          </cell>
          <cell r="R36">
            <v>0</v>
          </cell>
          <cell r="S36">
            <v>0</v>
          </cell>
          <cell r="T36">
            <v>0</v>
          </cell>
          <cell r="U36">
            <v>0</v>
          </cell>
          <cell r="V36">
            <v>0</v>
          </cell>
          <cell r="W36">
            <v>1</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row>
        <row r="37">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row>
      </sheetData>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7.xml"/><Relationship Id="rId1" Type="http://schemas.openxmlformats.org/officeDocument/2006/relationships/printerSettings" Target="../printerSettings/printerSettings30.bin"/><Relationship Id="rId4" Type="http://schemas.openxmlformats.org/officeDocument/2006/relationships/comments" Target="../comments1.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9.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1.xml"/><Relationship Id="rId1" Type="http://schemas.openxmlformats.org/officeDocument/2006/relationships/printerSettings" Target="../printerSettings/printerSettings33.bin"/><Relationship Id="rId4" Type="http://schemas.openxmlformats.org/officeDocument/2006/relationships/comments" Target="../comments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2.xml"/><Relationship Id="rId1" Type="http://schemas.openxmlformats.org/officeDocument/2006/relationships/printerSettings" Target="../printerSettings/printerSettings35.bin"/><Relationship Id="rId4" Type="http://schemas.openxmlformats.org/officeDocument/2006/relationships/comments" Target="../comments4.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3.xml"/><Relationship Id="rId1" Type="http://schemas.openxmlformats.org/officeDocument/2006/relationships/printerSettings" Target="../printerSettings/printerSettings36.bin"/><Relationship Id="rId4" Type="http://schemas.openxmlformats.org/officeDocument/2006/relationships/comments" Target="../comments5.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4.xml"/><Relationship Id="rId1" Type="http://schemas.openxmlformats.org/officeDocument/2006/relationships/printerSettings" Target="../printerSettings/printerSettings37.bin"/><Relationship Id="rId4" Type="http://schemas.openxmlformats.org/officeDocument/2006/relationships/comments" Target="../comments6.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5.xml"/><Relationship Id="rId1" Type="http://schemas.openxmlformats.org/officeDocument/2006/relationships/printerSettings" Target="../printerSettings/printerSettings38.bin"/><Relationship Id="rId4" Type="http://schemas.openxmlformats.org/officeDocument/2006/relationships/comments" Target="../comments7.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6.xml"/><Relationship Id="rId1" Type="http://schemas.openxmlformats.org/officeDocument/2006/relationships/printerSettings" Target="../printerSettings/printerSettings39.bin"/><Relationship Id="rId4" Type="http://schemas.openxmlformats.org/officeDocument/2006/relationships/comments" Target="../comments8.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7.xml"/><Relationship Id="rId1" Type="http://schemas.openxmlformats.org/officeDocument/2006/relationships/printerSettings" Target="../printerSettings/printerSettings40.bin"/><Relationship Id="rId4" Type="http://schemas.openxmlformats.org/officeDocument/2006/relationships/comments" Target="../comments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48.xml"/><Relationship Id="rId1" Type="http://schemas.openxmlformats.org/officeDocument/2006/relationships/printerSettings" Target="../printerSettings/printerSettings41.bin"/><Relationship Id="rId4" Type="http://schemas.openxmlformats.org/officeDocument/2006/relationships/comments" Target="../comments10.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49.xml"/><Relationship Id="rId1" Type="http://schemas.openxmlformats.org/officeDocument/2006/relationships/printerSettings" Target="../printerSettings/printerSettings42.bin"/><Relationship Id="rId4" Type="http://schemas.openxmlformats.org/officeDocument/2006/relationships/comments" Target="../comments11.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50.xml"/><Relationship Id="rId1" Type="http://schemas.openxmlformats.org/officeDocument/2006/relationships/printerSettings" Target="../printerSettings/printerSettings43.bin"/><Relationship Id="rId4" Type="http://schemas.openxmlformats.org/officeDocument/2006/relationships/comments" Target="../comments12.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51.xml"/><Relationship Id="rId1" Type="http://schemas.openxmlformats.org/officeDocument/2006/relationships/printerSettings" Target="../printerSettings/printerSettings44.bin"/><Relationship Id="rId4" Type="http://schemas.openxmlformats.org/officeDocument/2006/relationships/comments" Target="../comments13.xml"/></Relationships>
</file>

<file path=xl/worksheets/_rels/sheet54.xml.rels><?xml version="1.0" encoding="UTF-8" standalone="yes"?>
<Relationships xmlns="http://schemas.openxmlformats.org/package/2006/relationships"><Relationship Id="rId117" Type="http://schemas.openxmlformats.org/officeDocument/2006/relationships/ctrlProp" Target="../ctrlProps/ctrlProp150.xml"/><Relationship Id="rId21" Type="http://schemas.openxmlformats.org/officeDocument/2006/relationships/ctrlProp" Target="../ctrlProps/ctrlProp54.xml"/><Relationship Id="rId42" Type="http://schemas.openxmlformats.org/officeDocument/2006/relationships/ctrlProp" Target="../ctrlProps/ctrlProp75.xml"/><Relationship Id="rId63" Type="http://schemas.openxmlformats.org/officeDocument/2006/relationships/ctrlProp" Target="../ctrlProps/ctrlProp96.xml"/><Relationship Id="rId84" Type="http://schemas.openxmlformats.org/officeDocument/2006/relationships/ctrlProp" Target="../ctrlProps/ctrlProp117.xml"/><Relationship Id="rId138" Type="http://schemas.openxmlformats.org/officeDocument/2006/relationships/ctrlProp" Target="../ctrlProps/ctrlProp171.xml"/><Relationship Id="rId159" Type="http://schemas.openxmlformats.org/officeDocument/2006/relationships/ctrlProp" Target="../ctrlProps/ctrlProp192.xml"/><Relationship Id="rId170" Type="http://schemas.openxmlformats.org/officeDocument/2006/relationships/ctrlProp" Target="../ctrlProps/ctrlProp203.xml"/><Relationship Id="rId191" Type="http://schemas.openxmlformats.org/officeDocument/2006/relationships/ctrlProp" Target="../ctrlProps/ctrlProp224.xml"/><Relationship Id="rId107" Type="http://schemas.openxmlformats.org/officeDocument/2006/relationships/ctrlProp" Target="../ctrlProps/ctrlProp140.xml"/><Relationship Id="rId11" Type="http://schemas.openxmlformats.org/officeDocument/2006/relationships/ctrlProp" Target="../ctrlProps/ctrlProp44.xml"/><Relationship Id="rId32" Type="http://schemas.openxmlformats.org/officeDocument/2006/relationships/ctrlProp" Target="../ctrlProps/ctrlProp65.xml"/><Relationship Id="rId53" Type="http://schemas.openxmlformats.org/officeDocument/2006/relationships/ctrlProp" Target="../ctrlProps/ctrlProp86.xml"/><Relationship Id="rId74" Type="http://schemas.openxmlformats.org/officeDocument/2006/relationships/ctrlProp" Target="../ctrlProps/ctrlProp107.xml"/><Relationship Id="rId128" Type="http://schemas.openxmlformats.org/officeDocument/2006/relationships/ctrlProp" Target="../ctrlProps/ctrlProp161.xml"/><Relationship Id="rId149" Type="http://schemas.openxmlformats.org/officeDocument/2006/relationships/ctrlProp" Target="../ctrlProps/ctrlProp182.xml"/><Relationship Id="rId5" Type="http://schemas.openxmlformats.org/officeDocument/2006/relationships/ctrlProp" Target="../ctrlProps/ctrlProp38.xml"/><Relationship Id="rId95" Type="http://schemas.openxmlformats.org/officeDocument/2006/relationships/ctrlProp" Target="../ctrlProps/ctrlProp128.xml"/><Relationship Id="rId160" Type="http://schemas.openxmlformats.org/officeDocument/2006/relationships/ctrlProp" Target="../ctrlProps/ctrlProp193.xml"/><Relationship Id="rId181" Type="http://schemas.openxmlformats.org/officeDocument/2006/relationships/ctrlProp" Target="../ctrlProps/ctrlProp214.xml"/><Relationship Id="rId22" Type="http://schemas.openxmlformats.org/officeDocument/2006/relationships/ctrlProp" Target="../ctrlProps/ctrlProp55.xml"/><Relationship Id="rId43" Type="http://schemas.openxmlformats.org/officeDocument/2006/relationships/ctrlProp" Target="../ctrlProps/ctrlProp76.xml"/><Relationship Id="rId64" Type="http://schemas.openxmlformats.org/officeDocument/2006/relationships/ctrlProp" Target="../ctrlProps/ctrlProp97.xml"/><Relationship Id="rId118" Type="http://schemas.openxmlformats.org/officeDocument/2006/relationships/ctrlProp" Target="../ctrlProps/ctrlProp151.xml"/><Relationship Id="rId139" Type="http://schemas.openxmlformats.org/officeDocument/2006/relationships/ctrlProp" Target="../ctrlProps/ctrlProp172.xml"/><Relationship Id="rId85" Type="http://schemas.openxmlformats.org/officeDocument/2006/relationships/ctrlProp" Target="../ctrlProps/ctrlProp118.xml"/><Relationship Id="rId150" Type="http://schemas.openxmlformats.org/officeDocument/2006/relationships/ctrlProp" Target="../ctrlProps/ctrlProp183.xml"/><Relationship Id="rId171" Type="http://schemas.openxmlformats.org/officeDocument/2006/relationships/ctrlProp" Target="../ctrlProps/ctrlProp204.xml"/><Relationship Id="rId192" Type="http://schemas.openxmlformats.org/officeDocument/2006/relationships/comments" Target="../comments14.xml"/><Relationship Id="rId12" Type="http://schemas.openxmlformats.org/officeDocument/2006/relationships/ctrlProp" Target="../ctrlProps/ctrlProp45.xml"/><Relationship Id="rId33" Type="http://schemas.openxmlformats.org/officeDocument/2006/relationships/ctrlProp" Target="../ctrlProps/ctrlProp66.xml"/><Relationship Id="rId108" Type="http://schemas.openxmlformats.org/officeDocument/2006/relationships/ctrlProp" Target="../ctrlProps/ctrlProp141.xml"/><Relationship Id="rId129" Type="http://schemas.openxmlformats.org/officeDocument/2006/relationships/ctrlProp" Target="../ctrlProps/ctrlProp162.xml"/><Relationship Id="rId54" Type="http://schemas.openxmlformats.org/officeDocument/2006/relationships/ctrlProp" Target="../ctrlProps/ctrlProp87.xml"/><Relationship Id="rId75" Type="http://schemas.openxmlformats.org/officeDocument/2006/relationships/ctrlProp" Target="../ctrlProps/ctrlProp108.xml"/><Relationship Id="rId96" Type="http://schemas.openxmlformats.org/officeDocument/2006/relationships/ctrlProp" Target="../ctrlProps/ctrlProp129.xml"/><Relationship Id="rId140" Type="http://schemas.openxmlformats.org/officeDocument/2006/relationships/ctrlProp" Target="../ctrlProps/ctrlProp173.xml"/><Relationship Id="rId161" Type="http://schemas.openxmlformats.org/officeDocument/2006/relationships/ctrlProp" Target="../ctrlProps/ctrlProp194.xml"/><Relationship Id="rId182" Type="http://schemas.openxmlformats.org/officeDocument/2006/relationships/ctrlProp" Target="../ctrlProps/ctrlProp215.xml"/><Relationship Id="rId6" Type="http://schemas.openxmlformats.org/officeDocument/2006/relationships/ctrlProp" Target="../ctrlProps/ctrlProp39.xml"/><Relationship Id="rId23" Type="http://schemas.openxmlformats.org/officeDocument/2006/relationships/ctrlProp" Target="../ctrlProps/ctrlProp56.xml"/><Relationship Id="rId119" Type="http://schemas.openxmlformats.org/officeDocument/2006/relationships/ctrlProp" Target="../ctrlProps/ctrlProp152.xml"/><Relationship Id="rId44" Type="http://schemas.openxmlformats.org/officeDocument/2006/relationships/ctrlProp" Target="../ctrlProps/ctrlProp77.xml"/><Relationship Id="rId65" Type="http://schemas.openxmlformats.org/officeDocument/2006/relationships/ctrlProp" Target="../ctrlProps/ctrlProp98.xml"/><Relationship Id="rId86" Type="http://schemas.openxmlformats.org/officeDocument/2006/relationships/ctrlProp" Target="../ctrlProps/ctrlProp119.xml"/><Relationship Id="rId130" Type="http://schemas.openxmlformats.org/officeDocument/2006/relationships/ctrlProp" Target="../ctrlProps/ctrlProp163.xml"/><Relationship Id="rId151" Type="http://schemas.openxmlformats.org/officeDocument/2006/relationships/ctrlProp" Target="../ctrlProps/ctrlProp184.xml"/><Relationship Id="rId172" Type="http://schemas.openxmlformats.org/officeDocument/2006/relationships/ctrlProp" Target="../ctrlProps/ctrlProp205.xml"/><Relationship Id="rId13" Type="http://schemas.openxmlformats.org/officeDocument/2006/relationships/ctrlProp" Target="../ctrlProps/ctrlProp46.xml"/><Relationship Id="rId18" Type="http://schemas.openxmlformats.org/officeDocument/2006/relationships/ctrlProp" Target="../ctrlProps/ctrlProp51.xml"/><Relationship Id="rId39" Type="http://schemas.openxmlformats.org/officeDocument/2006/relationships/ctrlProp" Target="../ctrlProps/ctrlProp72.xml"/><Relationship Id="rId109" Type="http://schemas.openxmlformats.org/officeDocument/2006/relationships/ctrlProp" Target="../ctrlProps/ctrlProp142.xml"/><Relationship Id="rId34" Type="http://schemas.openxmlformats.org/officeDocument/2006/relationships/ctrlProp" Target="../ctrlProps/ctrlProp67.xml"/><Relationship Id="rId50" Type="http://schemas.openxmlformats.org/officeDocument/2006/relationships/ctrlProp" Target="../ctrlProps/ctrlProp83.xml"/><Relationship Id="rId55" Type="http://schemas.openxmlformats.org/officeDocument/2006/relationships/ctrlProp" Target="../ctrlProps/ctrlProp88.xml"/><Relationship Id="rId76" Type="http://schemas.openxmlformats.org/officeDocument/2006/relationships/ctrlProp" Target="../ctrlProps/ctrlProp109.xml"/><Relationship Id="rId97" Type="http://schemas.openxmlformats.org/officeDocument/2006/relationships/ctrlProp" Target="../ctrlProps/ctrlProp130.xml"/><Relationship Id="rId104" Type="http://schemas.openxmlformats.org/officeDocument/2006/relationships/ctrlProp" Target="../ctrlProps/ctrlProp137.xml"/><Relationship Id="rId120" Type="http://schemas.openxmlformats.org/officeDocument/2006/relationships/ctrlProp" Target="../ctrlProps/ctrlProp153.xml"/><Relationship Id="rId125" Type="http://schemas.openxmlformats.org/officeDocument/2006/relationships/ctrlProp" Target="../ctrlProps/ctrlProp158.xml"/><Relationship Id="rId141" Type="http://schemas.openxmlformats.org/officeDocument/2006/relationships/ctrlProp" Target="../ctrlProps/ctrlProp174.xml"/><Relationship Id="rId146" Type="http://schemas.openxmlformats.org/officeDocument/2006/relationships/ctrlProp" Target="../ctrlProps/ctrlProp179.xml"/><Relationship Id="rId167" Type="http://schemas.openxmlformats.org/officeDocument/2006/relationships/ctrlProp" Target="../ctrlProps/ctrlProp200.xml"/><Relationship Id="rId188" Type="http://schemas.openxmlformats.org/officeDocument/2006/relationships/ctrlProp" Target="../ctrlProps/ctrlProp221.xml"/><Relationship Id="rId7" Type="http://schemas.openxmlformats.org/officeDocument/2006/relationships/ctrlProp" Target="../ctrlProps/ctrlProp40.xml"/><Relationship Id="rId71" Type="http://schemas.openxmlformats.org/officeDocument/2006/relationships/ctrlProp" Target="../ctrlProps/ctrlProp104.xml"/><Relationship Id="rId92" Type="http://schemas.openxmlformats.org/officeDocument/2006/relationships/ctrlProp" Target="../ctrlProps/ctrlProp125.xml"/><Relationship Id="rId162" Type="http://schemas.openxmlformats.org/officeDocument/2006/relationships/ctrlProp" Target="../ctrlProps/ctrlProp195.xml"/><Relationship Id="rId183" Type="http://schemas.openxmlformats.org/officeDocument/2006/relationships/ctrlProp" Target="../ctrlProps/ctrlProp216.xml"/><Relationship Id="rId2" Type="http://schemas.openxmlformats.org/officeDocument/2006/relationships/drawing" Target="../drawings/drawing52.xml"/><Relationship Id="rId29" Type="http://schemas.openxmlformats.org/officeDocument/2006/relationships/ctrlProp" Target="../ctrlProps/ctrlProp62.xml"/><Relationship Id="rId24" Type="http://schemas.openxmlformats.org/officeDocument/2006/relationships/ctrlProp" Target="../ctrlProps/ctrlProp57.xml"/><Relationship Id="rId40" Type="http://schemas.openxmlformats.org/officeDocument/2006/relationships/ctrlProp" Target="../ctrlProps/ctrlProp73.xml"/><Relationship Id="rId45" Type="http://schemas.openxmlformats.org/officeDocument/2006/relationships/ctrlProp" Target="../ctrlProps/ctrlProp78.xml"/><Relationship Id="rId66" Type="http://schemas.openxmlformats.org/officeDocument/2006/relationships/ctrlProp" Target="../ctrlProps/ctrlProp99.xml"/><Relationship Id="rId87" Type="http://schemas.openxmlformats.org/officeDocument/2006/relationships/ctrlProp" Target="../ctrlProps/ctrlProp120.xml"/><Relationship Id="rId110" Type="http://schemas.openxmlformats.org/officeDocument/2006/relationships/ctrlProp" Target="../ctrlProps/ctrlProp143.xml"/><Relationship Id="rId115" Type="http://schemas.openxmlformats.org/officeDocument/2006/relationships/ctrlProp" Target="../ctrlProps/ctrlProp148.xml"/><Relationship Id="rId131" Type="http://schemas.openxmlformats.org/officeDocument/2006/relationships/ctrlProp" Target="../ctrlProps/ctrlProp164.xml"/><Relationship Id="rId136" Type="http://schemas.openxmlformats.org/officeDocument/2006/relationships/ctrlProp" Target="../ctrlProps/ctrlProp169.xml"/><Relationship Id="rId157" Type="http://schemas.openxmlformats.org/officeDocument/2006/relationships/ctrlProp" Target="../ctrlProps/ctrlProp190.xml"/><Relationship Id="rId178" Type="http://schemas.openxmlformats.org/officeDocument/2006/relationships/ctrlProp" Target="../ctrlProps/ctrlProp211.xml"/><Relationship Id="rId61" Type="http://schemas.openxmlformats.org/officeDocument/2006/relationships/ctrlProp" Target="../ctrlProps/ctrlProp94.xml"/><Relationship Id="rId82" Type="http://schemas.openxmlformats.org/officeDocument/2006/relationships/ctrlProp" Target="../ctrlProps/ctrlProp115.xml"/><Relationship Id="rId152" Type="http://schemas.openxmlformats.org/officeDocument/2006/relationships/ctrlProp" Target="../ctrlProps/ctrlProp185.xml"/><Relationship Id="rId173" Type="http://schemas.openxmlformats.org/officeDocument/2006/relationships/ctrlProp" Target="../ctrlProps/ctrlProp206.xml"/><Relationship Id="rId19" Type="http://schemas.openxmlformats.org/officeDocument/2006/relationships/ctrlProp" Target="../ctrlProps/ctrlProp52.xml"/><Relationship Id="rId14" Type="http://schemas.openxmlformats.org/officeDocument/2006/relationships/ctrlProp" Target="../ctrlProps/ctrlProp47.xml"/><Relationship Id="rId30" Type="http://schemas.openxmlformats.org/officeDocument/2006/relationships/ctrlProp" Target="../ctrlProps/ctrlProp63.xml"/><Relationship Id="rId35" Type="http://schemas.openxmlformats.org/officeDocument/2006/relationships/ctrlProp" Target="../ctrlProps/ctrlProp68.xml"/><Relationship Id="rId56" Type="http://schemas.openxmlformats.org/officeDocument/2006/relationships/ctrlProp" Target="../ctrlProps/ctrlProp89.xml"/><Relationship Id="rId77" Type="http://schemas.openxmlformats.org/officeDocument/2006/relationships/ctrlProp" Target="../ctrlProps/ctrlProp110.xml"/><Relationship Id="rId100" Type="http://schemas.openxmlformats.org/officeDocument/2006/relationships/ctrlProp" Target="../ctrlProps/ctrlProp133.xml"/><Relationship Id="rId105" Type="http://schemas.openxmlformats.org/officeDocument/2006/relationships/ctrlProp" Target="../ctrlProps/ctrlProp138.xml"/><Relationship Id="rId126" Type="http://schemas.openxmlformats.org/officeDocument/2006/relationships/ctrlProp" Target="../ctrlProps/ctrlProp159.xml"/><Relationship Id="rId147" Type="http://schemas.openxmlformats.org/officeDocument/2006/relationships/ctrlProp" Target="../ctrlProps/ctrlProp180.xml"/><Relationship Id="rId168" Type="http://schemas.openxmlformats.org/officeDocument/2006/relationships/ctrlProp" Target="../ctrlProps/ctrlProp201.xml"/><Relationship Id="rId8" Type="http://schemas.openxmlformats.org/officeDocument/2006/relationships/ctrlProp" Target="../ctrlProps/ctrlProp41.xml"/><Relationship Id="rId51" Type="http://schemas.openxmlformats.org/officeDocument/2006/relationships/ctrlProp" Target="../ctrlProps/ctrlProp84.xml"/><Relationship Id="rId72" Type="http://schemas.openxmlformats.org/officeDocument/2006/relationships/ctrlProp" Target="../ctrlProps/ctrlProp105.xml"/><Relationship Id="rId93" Type="http://schemas.openxmlformats.org/officeDocument/2006/relationships/ctrlProp" Target="../ctrlProps/ctrlProp126.xml"/><Relationship Id="rId98" Type="http://schemas.openxmlformats.org/officeDocument/2006/relationships/ctrlProp" Target="../ctrlProps/ctrlProp131.xml"/><Relationship Id="rId121" Type="http://schemas.openxmlformats.org/officeDocument/2006/relationships/ctrlProp" Target="../ctrlProps/ctrlProp154.xml"/><Relationship Id="rId142" Type="http://schemas.openxmlformats.org/officeDocument/2006/relationships/ctrlProp" Target="../ctrlProps/ctrlProp175.xml"/><Relationship Id="rId163" Type="http://schemas.openxmlformats.org/officeDocument/2006/relationships/ctrlProp" Target="../ctrlProps/ctrlProp196.xml"/><Relationship Id="rId184" Type="http://schemas.openxmlformats.org/officeDocument/2006/relationships/ctrlProp" Target="../ctrlProps/ctrlProp217.xml"/><Relationship Id="rId189" Type="http://schemas.openxmlformats.org/officeDocument/2006/relationships/ctrlProp" Target="../ctrlProps/ctrlProp222.xml"/><Relationship Id="rId3" Type="http://schemas.openxmlformats.org/officeDocument/2006/relationships/vmlDrawing" Target="../drawings/vmlDrawing15.vml"/><Relationship Id="rId25" Type="http://schemas.openxmlformats.org/officeDocument/2006/relationships/ctrlProp" Target="../ctrlProps/ctrlProp58.xml"/><Relationship Id="rId46" Type="http://schemas.openxmlformats.org/officeDocument/2006/relationships/ctrlProp" Target="../ctrlProps/ctrlProp79.xml"/><Relationship Id="rId67" Type="http://schemas.openxmlformats.org/officeDocument/2006/relationships/ctrlProp" Target="../ctrlProps/ctrlProp100.xml"/><Relationship Id="rId116" Type="http://schemas.openxmlformats.org/officeDocument/2006/relationships/ctrlProp" Target="../ctrlProps/ctrlProp149.xml"/><Relationship Id="rId137" Type="http://schemas.openxmlformats.org/officeDocument/2006/relationships/ctrlProp" Target="../ctrlProps/ctrlProp170.xml"/><Relationship Id="rId158" Type="http://schemas.openxmlformats.org/officeDocument/2006/relationships/ctrlProp" Target="../ctrlProps/ctrlProp191.xml"/><Relationship Id="rId20" Type="http://schemas.openxmlformats.org/officeDocument/2006/relationships/ctrlProp" Target="../ctrlProps/ctrlProp53.xml"/><Relationship Id="rId41" Type="http://schemas.openxmlformats.org/officeDocument/2006/relationships/ctrlProp" Target="../ctrlProps/ctrlProp74.xml"/><Relationship Id="rId62" Type="http://schemas.openxmlformats.org/officeDocument/2006/relationships/ctrlProp" Target="../ctrlProps/ctrlProp95.xml"/><Relationship Id="rId83" Type="http://schemas.openxmlformats.org/officeDocument/2006/relationships/ctrlProp" Target="../ctrlProps/ctrlProp116.xml"/><Relationship Id="rId88" Type="http://schemas.openxmlformats.org/officeDocument/2006/relationships/ctrlProp" Target="../ctrlProps/ctrlProp121.xml"/><Relationship Id="rId111" Type="http://schemas.openxmlformats.org/officeDocument/2006/relationships/ctrlProp" Target="../ctrlProps/ctrlProp144.xml"/><Relationship Id="rId132" Type="http://schemas.openxmlformats.org/officeDocument/2006/relationships/ctrlProp" Target="../ctrlProps/ctrlProp165.xml"/><Relationship Id="rId153" Type="http://schemas.openxmlformats.org/officeDocument/2006/relationships/ctrlProp" Target="../ctrlProps/ctrlProp186.xml"/><Relationship Id="rId174" Type="http://schemas.openxmlformats.org/officeDocument/2006/relationships/ctrlProp" Target="../ctrlProps/ctrlProp207.xml"/><Relationship Id="rId179" Type="http://schemas.openxmlformats.org/officeDocument/2006/relationships/ctrlProp" Target="../ctrlProps/ctrlProp212.xml"/><Relationship Id="rId190" Type="http://schemas.openxmlformats.org/officeDocument/2006/relationships/ctrlProp" Target="../ctrlProps/ctrlProp223.xml"/><Relationship Id="rId15" Type="http://schemas.openxmlformats.org/officeDocument/2006/relationships/ctrlProp" Target="../ctrlProps/ctrlProp48.xml"/><Relationship Id="rId36" Type="http://schemas.openxmlformats.org/officeDocument/2006/relationships/ctrlProp" Target="../ctrlProps/ctrlProp69.xml"/><Relationship Id="rId57" Type="http://schemas.openxmlformats.org/officeDocument/2006/relationships/ctrlProp" Target="../ctrlProps/ctrlProp90.xml"/><Relationship Id="rId106" Type="http://schemas.openxmlformats.org/officeDocument/2006/relationships/ctrlProp" Target="../ctrlProps/ctrlProp139.xml"/><Relationship Id="rId127" Type="http://schemas.openxmlformats.org/officeDocument/2006/relationships/ctrlProp" Target="../ctrlProps/ctrlProp160.xml"/><Relationship Id="rId10" Type="http://schemas.openxmlformats.org/officeDocument/2006/relationships/ctrlProp" Target="../ctrlProps/ctrlProp43.xml"/><Relationship Id="rId31" Type="http://schemas.openxmlformats.org/officeDocument/2006/relationships/ctrlProp" Target="../ctrlProps/ctrlProp64.xml"/><Relationship Id="rId52" Type="http://schemas.openxmlformats.org/officeDocument/2006/relationships/ctrlProp" Target="../ctrlProps/ctrlProp85.xml"/><Relationship Id="rId73" Type="http://schemas.openxmlformats.org/officeDocument/2006/relationships/ctrlProp" Target="../ctrlProps/ctrlProp106.xml"/><Relationship Id="rId78" Type="http://schemas.openxmlformats.org/officeDocument/2006/relationships/ctrlProp" Target="../ctrlProps/ctrlProp111.xml"/><Relationship Id="rId94" Type="http://schemas.openxmlformats.org/officeDocument/2006/relationships/ctrlProp" Target="../ctrlProps/ctrlProp127.xml"/><Relationship Id="rId99" Type="http://schemas.openxmlformats.org/officeDocument/2006/relationships/ctrlProp" Target="../ctrlProps/ctrlProp132.xml"/><Relationship Id="rId101" Type="http://schemas.openxmlformats.org/officeDocument/2006/relationships/ctrlProp" Target="../ctrlProps/ctrlProp134.xml"/><Relationship Id="rId122" Type="http://schemas.openxmlformats.org/officeDocument/2006/relationships/ctrlProp" Target="../ctrlProps/ctrlProp155.xml"/><Relationship Id="rId143" Type="http://schemas.openxmlformats.org/officeDocument/2006/relationships/ctrlProp" Target="../ctrlProps/ctrlProp176.xml"/><Relationship Id="rId148" Type="http://schemas.openxmlformats.org/officeDocument/2006/relationships/ctrlProp" Target="../ctrlProps/ctrlProp181.xml"/><Relationship Id="rId164" Type="http://schemas.openxmlformats.org/officeDocument/2006/relationships/ctrlProp" Target="../ctrlProps/ctrlProp197.xml"/><Relationship Id="rId169" Type="http://schemas.openxmlformats.org/officeDocument/2006/relationships/ctrlProp" Target="../ctrlProps/ctrlProp202.xml"/><Relationship Id="rId185" Type="http://schemas.openxmlformats.org/officeDocument/2006/relationships/ctrlProp" Target="../ctrlProps/ctrlProp218.xml"/><Relationship Id="rId4" Type="http://schemas.openxmlformats.org/officeDocument/2006/relationships/ctrlProp" Target="../ctrlProps/ctrlProp37.xml"/><Relationship Id="rId9" Type="http://schemas.openxmlformats.org/officeDocument/2006/relationships/ctrlProp" Target="../ctrlProps/ctrlProp42.xml"/><Relationship Id="rId180" Type="http://schemas.openxmlformats.org/officeDocument/2006/relationships/ctrlProp" Target="../ctrlProps/ctrlProp213.xml"/><Relationship Id="rId26" Type="http://schemas.openxmlformats.org/officeDocument/2006/relationships/ctrlProp" Target="../ctrlProps/ctrlProp59.xml"/><Relationship Id="rId47" Type="http://schemas.openxmlformats.org/officeDocument/2006/relationships/ctrlProp" Target="../ctrlProps/ctrlProp80.xml"/><Relationship Id="rId68" Type="http://schemas.openxmlformats.org/officeDocument/2006/relationships/ctrlProp" Target="../ctrlProps/ctrlProp101.xml"/><Relationship Id="rId89" Type="http://schemas.openxmlformats.org/officeDocument/2006/relationships/ctrlProp" Target="../ctrlProps/ctrlProp122.xml"/><Relationship Id="rId112" Type="http://schemas.openxmlformats.org/officeDocument/2006/relationships/ctrlProp" Target="../ctrlProps/ctrlProp145.xml"/><Relationship Id="rId133" Type="http://schemas.openxmlformats.org/officeDocument/2006/relationships/ctrlProp" Target="../ctrlProps/ctrlProp166.xml"/><Relationship Id="rId154" Type="http://schemas.openxmlformats.org/officeDocument/2006/relationships/ctrlProp" Target="../ctrlProps/ctrlProp187.xml"/><Relationship Id="rId175" Type="http://schemas.openxmlformats.org/officeDocument/2006/relationships/ctrlProp" Target="../ctrlProps/ctrlProp208.xml"/><Relationship Id="rId16" Type="http://schemas.openxmlformats.org/officeDocument/2006/relationships/ctrlProp" Target="../ctrlProps/ctrlProp49.xml"/><Relationship Id="rId37" Type="http://schemas.openxmlformats.org/officeDocument/2006/relationships/ctrlProp" Target="../ctrlProps/ctrlProp70.xml"/><Relationship Id="rId58" Type="http://schemas.openxmlformats.org/officeDocument/2006/relationships/ctrlProp" Target="../ctrlProps/ctrlProp91.xml"/><Relationship Id="rId79" Type="http://schemas.openxmlformats.org/officeDocument/2006/relationships/ctrlProp" Target="../ctrlProps/ctrlProp112.xml"/><Relationship Id="rId102" Type="http://schemas.openxmlformats.org/officeDocument/2006/relationships/ctrlProp" Target="../ctrlProps/ctrlProp135.xml"/><Relationship Id="rId123" Type="http://schemas.openxmlformats.org/officeDocument/2006/relationships/ctrlProp" Target="../ctrlProps/ctrlProp156.xml"/><Relationship Id="rId144" Type="http://schemas.openxmlformats.org/officeDocument/2006/relationships/ctrlProp" Target="../ctrlProps/ctrlProp177.xml"/><Relationship Id="rId90" Type="http://schemas.openxmlformats.org/officeDocument/2006/relationships/ctrlProp" Target="../ctrlProps/ctrlProp123.xml"/><Relationship Id="rId165" Type="http://schemas.openxmlformats.org/officeDocument/2006/relationships/ctrlProp" Target="../ctrlProps/ctrlProp198.xml"/><Relationship Id="rId186" Type="http://schemas.openxmlformats.org/officeDocument/2006/relationships/ctrlProp" Target="../ctrlProps/ctrlProp219.xml"/><Relationship Id="rId27" Type="http://schemas.openxmlformats.org/officeDocument/2006/relationships/ctrlProp" Target="../ctrlProps/ctrlProp60.xml"/><Relationship Id="rId48" Type="http://schemas.openxmlformats.org/officeDocument/2006/relationships/ctrlProp" Target="../ctrlProps/ctrlProp81.xml"/><Relationship Id="rId69" Type="http://schemas.openxmlformats.org/officeDocument/2006/relationships/ctrlProp" Target="../ctrlProps/ctrlProp102.xml"/><Relationship Id="rId113" Type="http://schemas.openxmlformats.org/officeDocument/2006/relationships/ctrlProp" Target="../ctrlProps/ctrlProp146.xml"/><Relationship Id="rId134" Type="http://schemas.openxmlformats.org/officeDocument/2006/relationships/ctrlProp" Target="../ctrlProps/ctrlProp167.xml"/><Relationship Id="rId80" Type="http://schemas.openxmlformats.org/officeDocument/2006/relationships/ctrlProp" Target="../ctrlProps/ctrlProp113.xml"/><Relationship Id="rId155" Type="http://schemas.openxmlformats.org/officeDocument/2006/relationships/ctrlProp" Target="../ctrlProps/ctrlProp188.xml"/><Relationship Id="rId176" Type="http://schemas.openxmlformats.org/officeDocument/2006/relationships/ctrlProp" Target="../ctrlProps/ctrlProp209.xml"/><Relationship Id="rId17" Type="http://schemas.openxmlformats.org/officeDocument/2006/relationships/ctrlProp" Target="../ctrlProps/ctrlProp50.xml"/><Relationship Id="rId38" Type="http://schemas.openxmlformats.org/officeDocument/2006/relationships/ctrlProp" Target="../ctrlProps/ctrlProp71.xml"/><Relationship Id="rId59" Type="http://schemas.openxmlformats.org/officeDocument/2006/relationships/ctrlProp" Target="../ctrlProps/ctrlProp92.xml"/><Relationship Id="rId103" Type="http://schemas.openxmlformats.org/officeDocument/2006/relationships/ctrlProp" Target="../ctrlProps/ctrlProp136.xml"/><Relationship Id="rId124" Type="http://schemas.openxmlformats.org/officeDocument/2006/relationships/ctrlProp" Target="../ctrlProps/ctrlProp157.xml"/><Relationship Id="rId70" Type="http://schemas.openxmlformats.org/officeDocument/2006/relationships/ctrlProp" Target="../ctrlProps/ctrlProp103.xml"/><Relationship Id="rId91" Type="http://schemas.openxmlformats.org/officeDocument/2006/relationships/ctrlProp" Target="../ctrlProps/ctrlProp124.xml"/><Relationship Id="rId145" Type="http://schemas.openxmlformats.org/officeDocument/2006/relationships/ctrlProp" Target="../ctrlProps/ctrlProp178.xml"/><Relationship Id="rId166" Type="http://schemas.openxmlformats.org/officeDocument/2006/relationships/ctrlProp" Target="../ctrlProps/ctrlProp199.xml"/><Relationship Id="rId187" Type="http://schemas.openxmlformats.org/officeDocument/2006/relationships/ctrlProp" Target="../ctrlProps/ctrlProp220.xml"/><Relationship Id="rId1" Type="http://schemas.openxmlformats.org/officeDocument/2006/relationships/printerSettings" Target="../printerSettings/printerSettings45.bin"/><Relationship Id="rId28" Type="http://schemas.openxmlformats.org/officeDocument/2006/relationships/ctrlProp" Target="../ctrlProps/ctrlProp61.xml"/><Relationship Id="rId49" Type="http://schemas.openxmlformats.org/officeDocument/2006/relationships/ctrlProp" Target="../ctrlProps/ctrlProp82.xml"/><Relationship Id="rId114" Type="http://schemas.openxmlformats.org/officeDocument/2006/relationships/ctrlProp" Target="../ctrlProps/ctrlProp147.xml"/><Relationship Id="rId60" Type="http://schemas.openxmlformats.org/officeDocument/2006/relationships/ctrlProp" Target="../ctrlProps/ctrlProp93.xml"/><Relationship Id="rId81" Type="http://schemas.openxmlformats.org/officeDocument/2006/relationships/ctrlProp" Target="../ctrlProps/ctrlProp114.xml"/><Relationship Id="rId135" Type="http://schemas.openxmlformats.org/officeDocument/2006/relationships/ctrlProp" Target="../ctrlProps/ctrlProp168.xml"/><Relationship Id="rId156" Type="http://schemas.openxmlformats.org/officeDocument/2006/relationships/ctrlProp" Target="../ctrlProps/ctrlProp189.xml"/><Relationship Id="rId177" Type="http://schemas.openxmlformats.org/officeDocument/2006/relationships/ctrlProp" Target="../ctrlProps/ctrlProp210.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
  <sheetViews>
    <sheetView showGridLines="0" showRowColHeaders="0" zoomScale="125" zoomScaleNormal="125" workbookViewId="0"/>
  </sheetViews>
  <sheetFormatPr defaultRowHeight="12.5" x14ac:dyDescent="0.25"/>
  <sheetData>
    <row r="3" spans="2:2" ht="20" x14ac:dyDescent="0.4">
      <c r="B3" s="18" t="s">
        <v>0</v>
      </c>
    </row>
  </sheetData>
  <sheetProtection algorithmName="SHA-512" hashValue="El+aflJwCgTpfLFrTg1ouxcZhjFtEJAyqxMnY4W3c64p3R/okpGswZLNYFU4UBDO2D22hVkbwiuY4QV7qWaILw==" saltValue="OkzUQZwf6FTkwmwRoPbOuw==" spinCount="100000" sheet="1" objects="1" scenarios="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32</v>
      </c>
    </row>
  </sheetData>
  <sheetProtection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FD76-33DA-49C1-98F6-9AD872537590}">
  <dimension ref="B2"/>
  <sheetViews>
    <sheetView showGridLines="0" showRowColHeaders="0" topLeftCell="A4" zoomScaleNormal="100" workbookViewId="0"/>
  </sheetViews>
  <sheetFormatPr defaultColWidth="9.1796875" defaultRowHeight="12.5" x14ac:dyDescent="0.25"/>
  <cols>
    <col min="1" max="16384" width="9.1796875" style="51"/>
  </cols>
  <sheetData>
    <row r="2" spans="2:2" ht="20" x14ac:dyDescent="0.4">
      <c r="B2" s="135" t="s">
        <v>33</v>
      </c>
    </row>
  </sheetData>
  <sheetProtection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34</v>
      </c>
    </row>
  </sheetData>
  <sheetProtection sheet="1" objects="1" scenarios="1"/>
  <pageMargins left="0.7" right="0.7" top="0.75" bottom="0.75" header="0.3" footer="0.3"/>
  <pageSetup paperSize="9" orientation="portrait" horizontalDpi="4294967293"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
  <sheetViews>
    <sheetView showGridLines="0" showRowColHeaders="0" zoomScale="125" zoomScaleNormal="125" workbookViewId="0"/>
  </sheetViews>
  <sheetFormatPr defaultColWidth="9.1796875" defaultRowHeight="12.5" x14ac:dyDescent="0.25"/>
  <cols>
    <col min="1" max="16384" width="9.1796875" style="51"/>
  </cols>
  <sheetData>
    <row r="3" spans="2:2" ht="20" x14ac:dyDescent="0.25">
      <c r="B3" s="245" t="s">
        <v>35</v>
      </c>
    </row>
  </sheetData>
  <sheetProtection sheet="1" objects="1" scenarios="1"/>
  <pageMargins left="0.7" right="0.7" top="0.75" bottom="0.75" header="0.3" footer="0.3"/>
  <pageSetup paperSize="9" orientation="portrait" horizontalDpi="4294967293"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3"/>
  <sheetViews>
    <sheetView showGridLines="0" showRowColHeaders="0" zoomScale="125" zoomScaleNormal="125" workbookViewId="0"/>
  </sheetViews>
  <sheetFormatPr defaultColWidth="9.1796875" defaultRowHeight="12.5" x14ac:dyDescent="0.25"/>
  <cols>
    <col min="1" max="16384" width="9.1796875" style="51"/>
  </cols>
  <sheetData>
    <row r="3" spans="2:2" ht="20" x14ac:dyDescent="0.25">
      <c r="B3" s="245" t="s">
        <v>36</v>
      </c>
    </row>
  </sheetData>
  <sheetProtection sheet="1" objects="1" scenarios="1"/>
  <pageMargins left="0.7" right="0.7" top="0.75" bottom="0.75" header="0.3" footer="0.3"/>
  <pageSetup paperSize="9" orientation="portrait" horizontalDpi="4294967293"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4E9A-61C4-4FC6-B794-EF35D21A359A}">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37</v>
      </c>
    </row>
  </sheetData>
  <pageMargins left="0.7" right="0.7" top="0.75" bottom="0.75" header="0.3" footer="0.3"/>
  <pageSetup paperSize="9" orientation="portrait" horizontalDpi="4294967293"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C1B6-D611-48BF-81CB-C6BC94725FF9}">
  <sheetPr>
    <pageSetUpPr fitToPage="1"/>
  </sheetPr>
  <dimension ref="B3:B60"/>
  <sheetViews>
    <sheetView showGridLines="0" showRowColHeaders="0" zoomScaleNormal="100" workbookViewId="0">
      <selection activeCell="V49" sqref="V49"/>
    </sheetView>
  </sheetViews>
  <sheetFormatPr defaultRowHeight="12.5" x14ac:dyDescent="0.25"/>
  <cols>
    <col min="8" max="8" width="8.7265625" customWidth="1"/>
    <col min="17" max="17" width="7.1796875" customWidth="1"/>
  </cols>
  <sheetData>
    <row r="3" spans="2:2" ht="13" x14ac:dyDescent="0.3">
      <c r="B3" s="339" t="s">
        <v>38</v>
      </c>
    </row>
    <row r="8" spans="2:2" ht="13" x14ac:dyDescent="0.3">
      <c r="B8" s="638" t="s">
        <v>39</v>
      </c>
    </row>
    <row r="9" spans="2:2" x14ac:dyDescent="0.25">
      <c r="B9" s="338" t="s">
        <v>40</v>
      </c>
    </row>
    <row r="10" spans="2:2" ht="13" x14ac:dyDescent="0.3">
      <c r="B10" s="338" t="s">
        <v>41</v>
      </c>
    </row>
    <row r="11" spans="2:2" ht="13" x14ac:dyDescent="0.3">
      <c r="B11" s="338" t="s">
        <v>42</v>
      </c>
    </row>
    <row r="18" spans="2:2" ht="13" x14ac:dyDescent="0.3">
      <c r="B18" s="638" t="s">
        <v>43</v>
      </c>
    </row>
    <row r="19" spans="2:2" ht="13" x14ac:dyDescent="0.3">
      <c r="B19" s="338" t="s">
        <v>44</v>
      </c>
    </row>
    <row r="20" spans="2:2" ht="13" x14ac:dyDescent="0.3">
      <c r="B20" s="338" t="s">
        <v>45</v>
      </c>
    </row>
    <row r="21" spans="2:2" x14ac:dyDescent="0.25">
      <c r="B21" s="338"/>
    </row>
    <row r="22" spans="2:2" x14ac:dyDescent="0.25">
      <c r="B22" s="338"/>
    </row>
    <row r="23" spans="2:2" x14ac:dyDescent="0.25">
      <c r="B23" s="338"/>
    </row>
    <row r="24" spans="2:2" x14ac:dyDescent="0.25">
      <c r="B24" s="338"/>
    </row>
    <row r="25" spans="2:2" x14ac:dyDescent="0.25">
      <c r="B25" s="338"/>
    </row>
    <row r="26" spans="2:2" x14ac:dyDescent="0.25">
      <c r="B26" s="338"/>
    </row>
    <row r="27" spans="2:2" x14ac:dyDescent="0.25">
      <c r="B27" s="338"/>
    </row>
    <row r="28" spans="2:2" x14ac:dyDescent="0.25">
      <c r="B28" s="338"/>
    </row>
    <row r="32" spans="2:2" ht="13" x14ac:dyDescent="0.3">
      <c r="B32" s="638" t="s">
        <v>46</v>
      </c>
    </row>
    <row r="33" spans="2:2" x14ac:dyDescent="0.25">
      <c r="B33" s="338" t="s">
        <v>47</v>
      </c>
    </row>
    <row r="34" spans="2:2" ht="13" x14ac:dyDescent="0.3">
      <c r="B34" s="338" t="s">
        <v>45</v>
      </c>
    </row>
    <row r="38" spans="2:2" ht="13" x14ac:dyDescent="0.3">
      <c r="B38" s="638" t="s">
        <v>48</v>
      </c>
    </row>
    <row r="39" spans="2:2" ht="13" x14ac:dyDescent="0.3">
      <c r="B39" s="338" t="s">
        <v>49</v>
      </c>
    </row>
    <row r="40" spans="2:2" ht="13" x14ac:dyDescent="0.3">
      <c r="B40" s="338" t="s">
        <v>50</v>
      </c>
    </row>
    <row r="41" spans="2:2" ht="13" x14ac:dyDescent="0.3">
      <c r="B41" s="338" t="s">
        <v>51</v>
      </c>
    </row>
    <row r="42" spans="2:2" x14ac:dyDescent="0.25">
      <c r="B42" s="338"/>
    </row>
    <row r="43" spans="2:2" ht="13" x14ac:dyDescent="0.3">
      <c r="B43" s="639" t="s">
        <v>52</v>
      </c>
    </row>
    <row r="52" spans="2:2" ht="13" x14ac:dyDescent="0.3">
      <c r="B52" s="638" t="s">
        <v>53</v>
      </c>
    </row>
    <row r="53" spans="2:2" x14ac:dyDescent="0.25">
      <c r="B53" s="338" t="s">
        <v>47</v>
      </c>
    </row>
    <row r="54" spans="2:2" ht="13" x14ac:dyDescent="0.3">
      <c r="B54" s="338" t="s">
        <v>54</v>
      </c>
    </row>
    <row r="55" spans="2:2" ht="13" x14ac:dyDescent="0.3">
      <c r="B55" s="338" t="s">
        <v>55</v>
      </c>
    </row>
    <row r="58" spans="2:2" ht="13" x14ac:dyDescent="0.3">
      <c r="B58" s="638"/>
    </row>
    <row r="59" spans="2:2" x14ac:dyDescent="0.25">
      <c r="B59" s="338"/>
    </row>
    <row r="60" spans="2:2" x14ac:dyDescent="0.25">
      <c r="B60" s="338"/>
    </row>
  </sheetData>
  <pageMargins left="0.23622047244094491" right="0.23622047244094491" top="0.74803149606299213" bottom="0.74803149606299213" header="0.31496062992125984" footer="0.31496062992125984"/>
  <pageSetup paperSize="9" scale="75" orientation="landscape" horizontalDpi="4294967293" verticalDpi="0" r:id="rId1"/>
  <headerFooter>
    <oddHeader>&amp;C&amp;"Arial,Vet"Zo werk je met het groepsplan - gemakkelijk en eenvoudig!</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7">
    <tabColor rgb="FFCCFFFF"/>
    <pageSetUpPr fitToPage="1"/>
  </sheetPr>
  <dimension ref="A1:AD63"/>
  <sheetViews>
    <sheetView topLeftCell="A39" zoomScale="80" zoomScaleNormal="80" workbookViewId="0">
      <selection activeCell="D49" sqref="D49"/>
    </sheetView>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thickBot="1" x14ac:dyDescent="0.3">
      <c r="A2" s="338"/>
      <c r="B2" s="537"/>
      <c r="C2" s="349" t="s">
        <v>57</v>
      </c>
      <c r="D2" s="944" t="str">
        <f>BEGINBLAD!$I$2</f>
        <v>groep 6</v>
      </c>
      <c r="E2" s="945"/>
      <c r="F2" s="945"/>
      <c r="G2" s="945"/>
      <c r="H2" s="946"/>
      <c r="I2" s="182"/>
      <c r="J2" s="182"/>
      <c r="K2" s="182"/>
      <c r="L2" s="182"/>
      <c r="M2" s="182"/>
      <c r="N2" s="182"/>
      <c r="O2" s="947" t="s">
        <v>576</v>
      </c>
      <c r="P2" s="948"/>
      <c r="Q2" s="949"/>
      <c r="R2" s="338"/>
      <c r="S2" s="537"/>
      <c r="T2" s="348" t="s">
        <v>58</v>
      </c>
      <c r="U2" s="354">
        <v>32</v>
      </c>
      <c r="V2" s="354"/>
      <c r="W2" s="354">
        <v>33</v>
      </c>
      <c r="X2" s="354">
        <v>33</v>
      </c>
      <c r="Y2" s="354">
        <v>33</v>
      </c>
      <c r="Z2" s="182"/>
      <c r="AA2" s="182"/>
      <c r="AB2" s="350">
        <f>AVERAGE(U2:AA2)</f>
        <v>32.75</v>
      </c>
      <c r="AC2" s="182"/>
      <c r="AD2" s="182"/>
    </row>
    <row r="3" spans="1:30" ht="21.65" hidden="1" customHeight="1" x14ac:dyDescent="0.25">
      <c r="A3" s="338"/>
      <c r="B3" s="537"/>
      <c r="C3" s="7"/>
      <c r="D3" s="347"/>
      <c r="E3" s="347"/>
      <c r="F3" s="347"/>
      <c r="G3" s="347"/>
      <c r="H3" s="347"/>
      <c r="I3" s="182"/>
      <c r="J3" s="182"/>
      <c r="K3" s="182"/>
      <c r="L3" s="182"/>
      <c r="M3" s="182"/>
      <c r="N3" s="182"/>
      <c r="O3" s="950"/>
      <c r="P3" s="951"/>
      <c r="Q3" s="952"/>
      <c r="R3" s="338"/>
      <c r="S3" s="537"/>
      <c r="T3" s="343"/>
      <c r="U3" s="347">
        <f>U2+5</f>
        <v>37</v>
      </c>
      <c r="V3" s="347">
        <f t="shared" ref="V3:Y3" si="0">V2+5</f>
        <v>5</v>
      </c>
      <c r="W3" s="347">
        <f t="shared" si="0"/>
        <v>38</v>
      </c>
      <c r="X3" s="347">
        <f t="shared" si="0"/>
        <v>38</v>
      </c>
      <c r="Y3" s="347">
        <f t="shared" si="0"/>
        <v>38</v>
      </c>
      <c r="Z3" s="182"/>
      <c r="AA3" s="182"/>
      <c r="AB3" s="182"/>
      <c r="AC3" s="182"/>
      <c r="AD3" s="182"/>
    </row>
    <row r="4" spans="1:30" ht="21.65" hidden="1" customHeight="1" x14ac:dyDescent="0.25">
      <c r="A4" s="338"/>
      <c r="B4" s="537"/>
      <c r="C4" s="7"/>
      <c r="D4" s="347"/>
      <c r="E4" s="347"/>
      <c r="F4" s="347"/>
      <c r="G4" s="347"/>
      <c r="H4" s="347"/>
      <c r="I4" s="182"/>
      <c r="J4" s="182"/>
      <c r="K4" s="182"/>
      <c r="L4" s="182"/>
      <c r="M4" s="182"/>
      <c r="N4" s="182"/>
      <c r="O4" s="950"/>
      <c r="P4" s="951"/>
      <c r="Q4" s="952"/>
      <c r="R4" s="338"/>
      <c r="S4" s="537"/>
      <c r="T4" s="343"/>
      <c r="U4" s="347">
        <f>U2-5</f>
        <v>27</v>
      </c>
      <c r="V4" s="347">
        <f t="shared" ref="V4:Y4" si="1">V2-5</f>
        <v>-5</v>
      </c>
      <c r="W4" s="347">
        <f t="shared" si="1"/>
        <v>28</v>
      </c>
      <c r="X4" s="347">
        <f t="shared" si="1"/>
        <v>28</v>
      </c>
      <c r="Y4" s="347">
        <f t="shared" si="1"/>
        <v>28</v>
      </c>
      <c r="Z4" s="182"/>
      <c r="AA4" s="182"/>
      <c r="AB4" s="182"/>
      <c r="AC4" s="182"/>
      <c r="AD4" s="182"/>
    </row>
    <row r="5" spans="1:30" x14ac:dyDescent="0.25">
      <c r="A5" s="338"/>
      <c r="B5" s="537"/>
      <c r="C5" s="41" t="s">
        <v>59</v>
      </c>
      <c r="D5" s="182"/>
      <c r="E5" s="182"/>
      <c r="F5" s="182"/>
      <c r="G5" s="182"/>
      <c r="H5" s="182"/>
      <c r="I5" s="182"/>
      <c r="J5" s="182"/>
      <c r="K5" s="182"/>
      <c r="L5" s="182"/>
      <c r="M5" s="182"/>
      <c r="N5" s="182"/>
      <c r="O5" s="950"/>
      <c r="P5" s="951"/>
      <c r="Q5" s="952"/>
      <c r="R5" s="338"/>
      <c r="S5" s="537"/>
      <c r="T5" s="41" t="s">
        <v>60</v>
      </c>
      <c r="U5" s="182"/>
      <c r="V5" s="182"/>
      <c r="W5" s="182"/>
      <c r="X5" s="182"/>
      <c r="Y5" s="182"/>
      <c r="Z5" s="182"/>
      <c r="AA5" s="182"/>
      <c r="AB5" s="182"/>
      <c r="AC5" s="182"/>
      <c r="AD5" s="182"/>
    </row>
    <row r="6" spans="1:30" ht="60" customHeight="1" thickBot="1" x14ac:dyDescent="0.4">
      <c r="A6" s="338"/>
      <c r="B6" s="537"/>
      <c r="C6" s="13" t="s">
        <v>61</v>
      </c>
      <c r="D6" s="136"/>
      <c r="E6" s="136"/>
      <c r="F6" s="136"/>
      <c r="G6" s="136"/>
      <c r="H6" s="136"/>
      <c r="I6" s="182"/>
      <c r="J6" s="182"/>
      <c r="K6" s="182"/>
      <c r="L6" s="182"/>
      <c r="M6" s="182"/>
      <c r="N6" s="182"/>
      <c r="O6" s="953"/>
      <c r="P6" s="954"/>
      <c r="Q6" s="955"/>
      <c r="R6" s="338"/>
      <c r="S6" s="537"/>
      <c r="T6" s="13" t="s">
        <v>61</v>
      </c>
      <c r="U6" s="136"/>
      <c r="V6" s="136"/>
      <c r="W6" s="136"/>
      <c r="X6" s="136"/>
      <c r="Y6" s="136"/>
      <c r="Z6" s="182"/>
      <c r="AA6" s="182"/>
      <c r="AB6" s="182"/>
      <c r="AC6" s="182"/>
      <c r="AD6" s="182"/>
    </row>
    <row r="7" spans="1:30" ht="5.15" customHeight="1" x14ac:dyDescent="0.25">
      <c r="A7" s="338"/>
      <c r="B7" s="537"/>
      <c r="C7" s="6"/>
      <c r="D7" s="182"/>
      <c r="E7" s="182"/>
      <c r="F7" s="182"/>
      <c r="G7" s="182"/>
      <c r="H7" s="182"/>
      <c r="I7" s="182"/>
      <c r="J7" s="182"/>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62</v>
      </c>
      <c r="B8" s="538"/>
      <c r="C8" s="539" t="s">
        <v>63</v>
      </c>
      <c r="D8" s="137" t="s">
        <v>64</v>
      </c>
      <c r="E8" s="137" t="s">
        <v>65</v>
      </c>
      <c r="F8" s="137" t="s">
        <v>66</v>
      </c>
      <c r="G8" s="137" t="s">
        <v>67</v>
      </c>
      <c r="H8" s="137" t="s">
        <v>68</v>
      </c>
      <c r="I8" s="137" t="s">
        <v>69</v>
      </c>
      <c r="J8" s="137" t="s">
        <v>70</v>
      </c>
      <c r="K8" s="540"/>
      <c r="L8" s="31" t="s">
        <v>71</v>
      </c>
      <c r="M8" s="31" t="s">
        <v>72</v>
      </c>
      <c r="N8" s="14"/>
      <c r="O8" s="31" t="s">
        <v>575</v>
      </c>
      <c r="P8" s="31" t="s">
        <v>73</v>
      </c>
      <c r="Q8" s="31" t="s">
        <v>74</v>
      </c>
      <c r="R8" s="16" t="s">
        <v>62</v>
      </c>
      <c r="S8" s="538"/>
      <c r="T8" s="539" t="s">
        <v>63</v>
      </c>
      <c r="U8" s="137" t="s">
        <v>64</v>
      </c>
      <c r="V8" s="137" t="s">
        <v>65</v>
      </c>
      <c r="W8" s="137" t="s">
        <v>66</v>
      </c>
      <c r="X8" s="137" t="s">
        <v>67</v>
      </c>
      <c r="Y8" s="137" t="s">
        <v>68</v>
      </c>
      <c r="Z8" s="137" t="s">
        <v>69</v>
      </c>
      <c r="AA8" s="137" t="s">
        <v>70</v>
      </c>
      <c r="AB8" s="540"/>
      <c r="AC8" s="31" t="s">
        <v>71</v>
      </c>
      <c r="AD8" s="31" t="s">
        <v>75</v>
      </c>
    </row>
    <row r="9" spans="1:30" ht="19.5" customHeight="1" x14ac:dyDescent="0.25">
      <c r="A9" s="15">
        <f>BEGINBLAD!D4</f>
        <v>6</v>
      </c>
      <c r="B9" s="30">
        <v>1</v>
      </c>
      <c r="C9" s="541" t="str">
        <f>BEGINBLAD!C4</f>
        <v>leerling 1</v>
      </c>
      <c r="D9" s="918">
        <v>4.2</v>
      </c>
      <c r="E9" s="918">
        <v>4.5999999999999996</v>
      </c>
      <c r="F9" s="918">
        <v>4.5999999999999996</v>
      </c>
      <c r="G9" s="918">
        <v>4.3</v>
      </c>
      <c r="H9" s="918">
        <v>4.2</v>
      </c>
      <c r="I9" s="30">
        <f t="shared" ref="I9:I44" si="2">SUM(D9:H9)</f>
        <v>21.9</v>
      </c>
      <c r="J9" s="30">
        <f t="shared" ref="J9:J44" si="3">COUNTA(D9:H9)</f>
        <v>5</v>
      </c>
      <c r="K9" s="9"/>
      <c r="L9" s="32">
        <f t="shared" ref="L9:L44" si="4">IF(J9=0,"",IF(J9&gt;0,I9/J9))</f>
        <v>4.38</v>
      </c>
      <c r="M9" s="32" t="str">
        <f>IF(L9="","",IF(L9&gt;4.5,"A-1+",IF(L9&gt;4.2,"A-1",IF(L9&gt;=4,"A-2",IF(L9&gt;3.3,"B-2",IF(L9&gt;=3,"B-3",IF(L9&gt;2.5,"C-3",IF(L9&gt;=2,"C-4",IF(L9&gt;1.5,"D-4",IF(L9&gt;=1,"D-5",IF(L9&gt;0.5,"E-5",IF(L9&gt;=0,"E-5-"))))))))))))</f>
        <v>A-1</v>
      </c>
      <c r="N9" s="12"/>
      <c r="O9" s="925" t="str">
        <f>IF(A9&lt;6,"",IF(F9="","",IF(F9&lt;0.9,"&lt;1F",IF(F9&gt;=2.7,"2F",IF(F9&gt;=0.9,"1F")))))</f>
        <v>2F</v>
      </c>
      <c r="P9" s="925" t="str">
        <f>IF(A9&lt;6,"",IF(E9="","",IF(E9&lt;0.6,"&lt;1F",IF(E9&gt;=3,"2F",IF(E9&gt;=0.6,"1F")))))</f>
        <v>2F</v>
      </c>
      <c r="Q9" s="925" t="str">
        <f>IF(A9&lt;6,"",IF(G9="","",IF(G9&lt;1.3,"&lt;1F",IF(G9&gt;=3.2,"1S",IF(G9&gt;=1.3,"1F")))))</f>
        <v>1S</v>
      </c>
      <c r="R9" s="15">
        <f>BEGINBLAD!D4</f>
        <v>6</v>
      </c>
      <c r="S9" s="30">
        <v>1</v>
      </c>
      <c r="T9" s="541" t="str">
        <f>BEGINBLAD!C4</f>
        <v>leerling 1</v>
      </c>
      <c r="U9" s="344">
        <v>42</v>
      </c>
      <c r="V9" s="344"/>
      <c r="W9" s="344">
        <v>43</v>
      </c>
      <c r="X9" s="344">
        <v>45</v>
      </c>
      <c r="Y9" s="344">
        <v>53</v>
      </c>
      <c r="Z9" s="30">
        <f t="shared" ref="Z9:Z42" si="5">SUM(U9:Y9)</f>
        <v>183</v>
      </c>
      <c r="AA9" s="30">
        <f t="shared" ref="AA9:AA42" si="6">COUNTA(U9:Y9)</f>
        <v>4</v>
      </c>
      <c r="AB9" s="9"/>
      <c r="AC9" s="353">
        <f t="shared" ref="AC9:AC44" si="7">IF(AA9=0,"",IF(AA9&gt;0,Z9/AA9))</f>
        <v>45.75</v>
      </c>
      <c r="AD9" s="352">
        <f>IF(AA9=0,"",IF(AA9&gt;0,AC9/AB$2))</f>
        <v>1.3969465648854962</v>
      </c>
    </row>
    <row r="10" spans="1:30" ht="19.5" customHeight="1" x14ac:dyDescent="0.25">
      <c r="A10" s="15">
        <f>BEGINBLAD!D5</f>
        <v>6</v>
      </c>
      <c r="B10" s="30">
        <v>2</v>
      </c>
      <c r="C10" s="541" t="str">
        <f>BEGINBLAD!C5</f>
        <v>leerling 2</v>
      </c>
      <c r="D10" s="918">
        <v>4.5999999999999996</v>
      </c>
      <c r="E10" s="918">
        <v>4.8</v>
      </c>
      <c r="F10" s="918">
        <v>5</v>
      </c>
      <c r="G10" s="918">
        <v>4.2</v>
      </c>
      <c r="H10" s="918">
        <v>4.8</v>
      </c>
      <c r="I10" s="30">
        <f t="shared" si="2"/>
        <v>23.4</v>
      </c>
      <c r="J10" s="30">
        <f t="shared" si="3"/>
        <v>5</v>
      </c>
      <c r="K10" s="9"/>
      <c r="L10" s="32">
        <f t="shared" si="4"/>
        <v>4.68</v>
      </c>
      <c r="M10" s="32" t="str">
        <f t="shared" ref="M10:M44" si="8">IF(L10="","",IF(L10&gt;4.5,"A-1+",IF(L10&gt;4.2,"A-1",IF(L10&gt;=4,"A-2",IF(L10&gt;3.3,"B-2",IF(L10&gt;=3,"B-3",IF(L10&gt;2.5,"C-3",IF(L10&gt;=2,"C-4",IF(L10&gt;1.5,"D-4",IF(L10&gt;=1,"D-5",IF(L10&gt;0.5,"E-5",IF(L10&gt;=0,"E-5-"))))))))))))</f>
        <v>A-1+</v>
      </c>
      <c r="N10" s="12"/>
      <c r="O10" s="925" t="str">
        <f t="shared" ref="O10:O44" si="9">IF(A10&lt;6,"",IF(F10="","",IF(F10&lt;0.9,"&lt;1F",IF(F10&gt;=2.7,"2F",IF(F10&gt;=0.9,"1F")))))</f>
        <v>2F</v>
      </c>
      <c r="P10" s="925" t="str">
        <f t="shared" ref="P10:P44" si="10">IF(A10&lt;6,"",IF(E10="","",IF(E10&lt;0.6,"&lt;1F",IF(E10&gt;=3,"2F",IF(E10&gt;=0.6,"1F")))))</f>
        <v>2F</v>
      </c>
      <c r="Q10" s="925" t="str">
        <f t="shared" ref="Q10:Q44" si="11">IF(A10&lt;6,"",IF(G10="","",IF(G10&lt;1.3,"&lt;1F",IF(G10&gt;=3.2,"1S",IF(G10&gt;=1.3,"1F")))))</f>
        <v>1S</v>
      </c>
      <c r="R10" s="15">
        <f>BEGINBLAD!D5</f>
        <v>6</v>
      </c>
      <c r="S10" s="30">
        <v>2</v>
      </c>
      <c r="T10" s="541" t="str">
        <f>BEGINBLAD!C5</f>
        <v>leerling 2</v>
      </c>
      <c r="U10" s="344">
        <v>57</v>
      </c>
      <c r="V10" s="344"/>
      <c r="W10" s="344">
        <v>43</v>
      </c>
      <c r="X10" s="344">
        <v>43</v>
      </c>
      <c r="Y10" s="344">
        <v>60</v>
      </c>
      <c r="Z10" s="30">
        <f t="shared" si="5"/>
        <v>203</v>
      </c>
      <c r="AA10" s="30">
        <f t="shared" si="6"/>
        <v>4</v>
      </c>
      <c r="AB10" s="9"/>
      <c r="AC10" s="353">
        <f t="shared" si="7"/>
        <v>50.75</v>
      </c>
      <c r="AD10" s="352">
        <f t="shared" ref="AD10:AD44" si="12">IF(AA10=0,"",IF(AA10&gt;0,AC10/AB$2))</f>
        <v>1.5496183206106871</v>
      </c>
    </row>
    <row r="11" spans="1:30" ht="19.5" customHeight="1" x14ac:dyDescent="0.25">
      <c r="A11" s="15">
        <f>BEGINBLAD!D6</f>
        <v>6</v>
      </c>
      <c r="B11" s="30">
        <v>3</v>
      </c>
      <c r="C11" s="541" t="str">
        <f>BEGINBLAD!C6</f>
        <v>leerling 3</v>
      </c>
      <c r="D11" s="918">
        <v>4.3</v>
      </c>
      <c r="E11" s="918">
        <v>4.4000000000000004</v>
      </c>
      <c r="F11" s="918">
        <v>3.2</v>
      </c>
      <c r="G11" s="918">
        <v>4.7</v>
      </c>
      <c r="H11" s="918">
        <v>4.9000000000000004</v>
      </c>
      <c r="I11" s="30">
        <f t="shared" si="2"/>
        <v>21.5</v>
      </c>
      <c r="J11" s="30">
        <f t="shared" si="3"/>
        <v>5</v>
      </c>
      <c r="K11" s="9"/>
      <c r="L11" s="32">
        <f t="shared" si="4"/>
        <v>4.3</v>
      </c>
      <c r="M11" s="32" t="str">
        <f t="shared" si="8"/>
        <v>A-1</v>
      </c>
      <c r="N11" s="12"/>
      <c r="O11" s="925" t="str">
        <f t="shared" si="9"/>
        <v>2F</v>
      </c>
      <c r="P11" s="925" t="str">
        <f t="shared" si="10"/>
        <v>2F</v>
      </c>
      <c r="Q11" s="925" t="str">
        <f t="shared" si="11"/>
        <v>1S</v>
      </c>
      <c r="R11" s="15">
        <f>BEGINBLAD!D6</f>
        <v>6</v>
      </c>
      <c r="S11" s="30">
        <v>3</v>
      </c>
      <c r="T11" s="541" t="str">
        <f>BEGINBLAD!C6</f>
        <v>leerling 3</v>
      </c>
      <c r="U11" s="344">
        <v>38</v>
      </c>
      <c r="V11" s="344"/>
      <c r="W11" s="344">
        <v>41</v>
      </c>
      <c r="X11" s="344">
        <v>45</v>
      </c>
      <c r="Y11" s="344">
        <v>57</v>
      </c>
      <c r="Z11" s="30">
        <f t="shared" si="5"/>
        <v>181</v>
      </c>
      <c r="AA11" s="30">
        <f t="shared" si="6"/>
        <v>4</v>
      </c>
      <c r="AB11" s="9"/>
      <c r="AC11" s="353">
        <f t="shared" si="7"/>
        <v>45.25</v>
      </c>
      <c r="AD11" s="352">
        <f t="shared" si="12"/>
        <v>1.3816793893129771</v>
      </c>
    </row>
    <row r="12" spans="1:30" ht="19.5" customHeight="1" x14ac:dyDescent="0.25">
      <c r="A12" s="15">
        <f>BEGINBLAD!D7</f>
        <v>6</v>
      </c>
      <c r="B12" s="30">
        <v>4</v>
      </c>
      <c r="C12" s="541" t="str">
        <f>BEGINBLAD!C7</f>
        <v>leerling 4</v>
      </c>
      <c r="D12" s="918">
        <v>4.5999999999999996</v>
      </c>
      <c r="E12" s="918">
        <v>4.8</v>
      </c>
      <c r="F12" s="918">
        <v>4.4000000000000004</v>
      </c>
      <c r="G12" s="918">
        <v>4</v>
      </c>
      <c r="H12" s="918">
        <v>4.9000000000000004</v>
      </c>
      <c r="I12" s="30">
        <f t="shared" si="2"/>
        <v>22.699999999999996</v>
      </c>
      <c r="J12" s="30">
        <f t="shared" si="3"/>
        <v>5</v>
      </c>
      <c r="K12" s="9"/>
      <c r="L12" s="32">
        <f t="shared" si="4"/>
        <v>4.5399999999999991</v>
      </c>
      <c r="M12" s="32" t="str">
        <f t="shared" si="8"/>
        <v>A-1+</v>
      </c>
      <c r="N12" s="12"/>
      <c r="O12" s="925" t="str">
        <f t="shared" si="9"/>
        <v>2F</v>
      </c>
      <c r="P12" s="925" t="str">
        <f t="shared" si="10"/>
        <v>2F</v>
      </c>
      <c r="Q12" s="925" t="str">
        <f t="shared" si="11"/>
        <v>1S</v>
      </c>
      <c r="R12" s="15">
        <f>BEGINBLAD!D7</f>
        <v>6</v>
      </c>
      <c r="S12" s="30">
        <v>4</v>
      </c>
      <c r="T12" s="541" t="str">
        <f>BEGINBLAD!C7</f>
        <v>leerling 4</v>
      </c>
      <c r="U12" s="344">
        <v>46</v>
      </c>
      <c r="V12" s="344"/>
      <c r="W12" s="344">
        <v>43</v>
      </c>
      <c r="X12" s="344">
        <v>45</v>
      </c>
      <c r="Y12" s="344">
        <v>56</v>
      </c>
      <c r="Z12" s="30">
        <f t="shared" si="5"/>
        <v>190</v>
      </c>
      <c r="AA12" s="30">
        <f t="shared" si="6"/>
        <v>4</v>
      </c>
      <c r="AB12" s="9"/>
      <c r="AC12" s="353">
        <f t="shared" si="7"/>
        <v>47.5</v>
      </c>
      <c r="AD12" s="352">
        <f t="shared" si="12"/>
        <v>1.4503816793893129</v>
      </c>
    </row>
    <row r="13" spans="1:30" ht="19.5" customHeight="1" x14ac:dyDescent="0.25">
      <c r="A13" s="15">
        <f>BEGINBLAD!D8</f>
        <v>6</v>
      </c>
      <c r="B13" s="30">
        <v>5</v>
      </c>
      <c r="C13" s="541" t="str">
        <f>BEGINBLAD!C8</f>
        <v>leerling 5</v>
      </c>
      <c r="D13" s="918">
        <v>4.3</v>
      </c>
      <c r="E13" s="918">
        <v>3.6</v>
      </c>
      <c r="F13" s="918">
        <v>4.4000000000000004</v>
      </c>
      <c r="G13" s="918">
        <v>4.2</v>
      </c>
      <c r="H13" s="918">
        <v>4.4000000000000004</v>
      </c>
      <c r="I13" s="30">
        <f t="shared" si="2"/>
        <v>20.9</v>
      </c>
      <c r="J13" s="30">
        <f t="shared" si="3"/>
        <v>5</v>
      </c>
      <c r="K13" s="9"/>
      <c r="L13" s="32">
        <f t="shared" si="4"/>
        <v>4.18</v>
      </c>
      <c r="M13" s="32" t="str">
        <f t="shared" si="8"/>
        <v>A-2</v>
      </c>
      <c r="N13" s="12"/>
      <c r="O13" s="925" t="str">
        <f t="shared" si="9"/>
        <v>2F</v>
      </c>
      <c r="P13" s="925" t="str">
        <f t="shared" si="10"/>
        <v>2F</v>
      </c>
      <c r="Q13" s="925" t="str">
        <f t="shared" si="11"/>
        <v>1S</v>
      </c>
      <c r="R13" s="15">
        <f>BEGINBLAD!D8</f>
        <v>6</v>
      </c>
      <c r="S13" s="30">
        <v>5</v>
      </c>
      <c r="T13" s="541" t="str">
        <f>BEGINBLAD!C8</f>
        <v>leerling 5</v>
      </c>
      <c r="U13" s="344">
        <v>46</v>
      </c>
      <c r="V13" s="344"/>
      <c r="W13" s="344">
        <v>43</v>
      </c>
      <c r="X13" s="344">
        <v>45</v>
      </c>
      <c r="Y13" s="344">
        <v>33</v>
      </c>
      <c r="Z13" s="30">
        <f t="shared" si="5"/>
        <v>167</v>
      </c>
      <c r="AA13" s="30">
        <f t="shared" si="6"/>
        <v>4</v>
      </c>
      <c r="AB13" s="9"/>
      <c r="AC13" s="353">
        <f t="shared" si="7"/>
        <v>41.75</v>
      </c>
      <c r="AD13" s="352">
        <f t="shared" si="12"/>
        <v>1.2748091603053435</v>
      </c>
    </row>
    <row r="14" spans="1:30" ht="19.5" customHeight="1" x14ac:dyDescent="0.25">
      <c r="A14" s="15">
        <f>BEGINBLAD!D9</f>
        <v>6</v>
      </c>
      <c r="B14" s="30">
        <v>6</v>
      </c>
      <c r="C14" s="541" t="str">
        <f>BEGINBLAD!C9</f>
        <v>leerling 6</v>
      </c>
      <c r="D14" s="918">
        <v>3</v>
      </c>
      <c r="E14" s="918">
        <v>3.1</v>
      </c>
      <c r="F14" s="918">
        <v>4.4000000000000004</v>
      </c>
      <c r="G14" s="918">
        <v>4.2</v>
      </c>
      <c r="H14" s="918">
        <v>4.5</v>
      </c>
      <c r="I14" s="30">
        <f t="shared" si="2"/>
        <v>19.2</v>
      </c>
      <c r="J14" s="30">
        <f t="shared" si="3"/>
        <v>5</v>
      </c>
      <c r="K14" s="9"/>
      <c r="L14" s="32">
        <f t="shared" si="4"/>
        <v>3.84</v>
      </c>
      <c r="M14" s="32" t="str">
        <f t="shared" si="8"/>
        <v>B-2</v>
      </c>
      <c r="N14" s="12"/>
      <c r="O14" s="925" t="str">
        <f t="shared" si="9"/>
        <v>2F</v>
      </c>
      <c r="P14" s="925" t="str">
        <f t="shared" si="10"/>
        <v>2F</v>
      </c>
      <c r="Q14" s="925" t="str">
        <f t="shared" si="11"/>
        <v>1S</v>
      </c>
      <c r="R14" s="15">
        <f>BEGINBLAD!D9</f>
        <v>6</v>
      </c>
      <c r="S14" s="30">
        <v>6</v>
      </c>
      <c r="T14" s="541" t="str">
        <f>BEGINBLAD!C9</f>
        <v>leerling 6</v>
      </c>
      <c r="U14" s="344">
        <v>39</v>
      </c>
      <c r="V14" s="344"/>
      <c r="W14" s="344">
        <v>25</v>
      </c>
      <c r="X14" s="344">
        <v>39</v>
      </c>
      <c r="Y14" s="344">
        <v>51</v>
      </c>
      <c r="Z14" s="30">
        <f t="shared" si="5"/>
        <v>154</v>
      </c>
      <c r="AA14" s="30">
        <f t="shared" si="6"/>
        <v>4</v>
      </c>
      <c r="AB14" s="9"/>
      <c r="AC14" s="353">
        <f t="shared" si="7"/>
        <v>38.5</v>
      </c>
      <c r="AD14" s="352">
        <f t="shared" si="12"/>
        <v>1.1755725190839694</v>
      </c>
    </row>
    <row r="15" spans="1:30" ht="19.5" customHeight="1" x14ac:dyDescent="0.25">
      <c r="A15" s="15">
        <f>BEGINBLAD!D10</f>
        <v>6</v>
      </c>
      <c r="B15" s="30">
        <v>7</v>
      </c>
      <c r="C15" s="541" t="str">
        <f>BEGINBLAD!C10</f>
        <v>leerling 7</v>
      </c>
      <c r="D15" s="918">
        <v>3</v>
      </c>
      <c r="E15" s="918">
        <v>3.3</v>
      </c>
      <c r="F15" s="918">
        <v>1.9</v>
      </c>
      <c r="G15" s="918">
        <v>4.2</v>
      </c>
      <c r="H15" s="918">
        <v>2.5</v>
      </c>
      <c r="I15" s="30">
        <f t="shared" si="2"/>
        <v>14.899999999999999</v>
      </c>
      <c r="J15" s="30">
        <f t="shared" si="3"/>
        <v>5</v>
      </c>
      <c r="K15" s="9"/>
      <c r="L15" s="32">
        <f t="shared" si="4"/>
        <v>2.9799999999999995</v>
      </c>
      <c r="M15" s="32" t="str">
        <f t="shared" si="8"/>
        <v>C-3</v>
      </c>
      <c r="N15" s="12"/>
      <c r="O15" s="925" t="str">
        <f t="shared" si="9"/>
        <v>1F</v>
      </c>
      <c r="P15" s="925" t="str">
        <f t="shared" si="10"/>
        <v>2F</v>
      </c>
      <c r="Q15" s="925" t="str">
        <f t="shared" si="11"/>
        <v>1S</v>
      </c>
      <c r="R15" s="15">
        <f>BEGINBLAD!D10</f>
        <v>6</v>
      </c>
      <c r="S15" s="30">
        <v>7</v>
      </c>
      <c r="T15" s="541" t="str">
        <f>BEGINBLAD!C10</f>
        <v>leerling 7</v>
      </c>
      <c r="U15" s="344">
        <v>33</v>
      </c>
      <c r="V15" s="344"/>
      <c r="W15" s="344">
        <v>22</v>
      </c>
      <c r="X15" s="344">
        <v>36</v>
      </c>
      <c r="Y15" s="344">
        <v>31</v>
      </c>
      <c r="Z15" s="30">
        <f t="shared" si="5"/>
        <v>122</v>
      </c>
      <c r="AA15" s="30">
        <f t="shared" si="6"/>
        <v>4</v>
      </c>
      <c r="AB15" s="9"/>
      <c r="AC15" s="353">
        <f t="shared" si="7"/>
        <v>30.5</v>
      </c>
      <c r="AD15" s="352">
        <f t="shared" si="12"/>
        <v>0.93129770992366412</v>
      </c>
    </row>
    <row r="16" spans="1:30" ht="19.5" customHeight="1" x14ac:dyDescent="0.25">
      <c r="A16" s="15">
        <f>BEGINBLAD!D11</f>
        <v>6</v>
      </c>
      <c r="B16" s="30">
        <v>8</v>
      </c>
      <c r="C16" s="541" t="str">
        <f>BEGINBLAD!C11</f>
        <v>leerling 8</v>
      </c>
      <c r="D16" s="918">
        <v>2.8</v>
      </c>
      <c r="E16" s="918">
        <v>2.2000000000000002</v>
      </c>
      <c r="F16" s="918">
        <v>2.9</v>
      </c>
      <c r="G16" s="918">
        <v>2.5</v>
      </c>
      <c r="H16" s="918">
        <v>3.2</v>
      </c>
      <c r="I16" s="30">
        <f t="shared" si="2"/>
        <v>13.600000000000001</v>
      </c>
      <c r="J16" s="30">
        <f t="shared" si="3"/>
        <v>5</v>
      </c>
      <c r="K16" s="9"/>
      <c r="L16" s="32">
        <f t="shared" si="4"/>
        <v>2.72</v>
      </c>
      <c r="M16" s="32" t="str">
        <f t="shared" si="8"/>
        <v>C-3</v>
      </c>
      <c r="N16" s="12"/>
      <c r="O16" s="925" t="str">
        <f t="shared" si="9"/>
        <v>2F</v>
      </c>
      <c r="P16" s="925" t="str">
        <f t="shared" si="10"/>
        <v>1F</v>
      </c>
      <c r="Q16" s="925" t="str">
        <f t="shared" si="11"/>
        <v>1F</v>
      </c>
      <c r="R16" s="15">
        <f>BEGINBLAD!D11</f>
        <v>6</v>
      </c>
      <c r="S16" s="30">
        <v>8</v>
      </c>
      <c r="T16" s="541" t="str">
        <f>BEGINBLAD!C11</f>
        <v>leerling 8</v>
      </c>
      <c r="U16" s="344">
        <v>24</v>
      </c>
      <c r="V16" s="344"/>
      <c r="W16" s="344">
        <v>39</v>
      </c>
      <c r="X16" s="344">
        <v>44</v>
      </c>
      <c r="Y16" s="344">
        <v>36</v>
      </c>
      <c r="Z16" s="30">
        <f t="shared" si="5"/>
        <v>143</v>
      </c>
      <c r="AA16" s="30">
        <f t="shared" si="6"/>
        <v>4</v>
      </c>
      <c r="AB16" s="9"/>
      <c r="AC16" s="353">
        <f t="shared" si="7"/>
        <v>35.75</v>
      </c>
      <c r="AD16" s="352">
        <f t="shared" si="12"/>
        <v>1.0916030534351144</v>
      </c>
    </row>
    <row r="17" spans="1:30" ht="19.5" customHeight="1" x14ac:dyDescent="0.25">
      <c r="A17" s="15">
        <f>BEGINBLAD!D12</f>
        <v>0</v>
      </c>
      <c r="B17" s="30">
        <v>9</v>
      </c>
      <c r="C17" s="541">
        <f>BEGINBLAD!C12</f>
        <v>0</v>
      </c>
      <c r="D17" s="918"/>
      <c r="E17" s="918"/>
      <c r="F17" s="918"/>
      <c r="G17" s="919"/>
      <c r="H17" s="918"/>
      <c r="I17" s="30">
        <f t="shared" si="2"/>
        <v>0</v>
      </c>
      <c r="J17" s="30">
        <f t="shared" si="3"/>
        <v>0</v>
      </c>
      <c r="K17" s="9"/>
      <c r="L17" s="32" t="str">
        <f t="shared" si="4"/>
        <v/>
      </c>
      <c r="M17" s="32" t="str">
        <f t="shared" si="8"/>
        <v/>
      </c>
      <c r="N17" s="12"/>
      <c r="O17" s="925" t="str">
        <f t="shared" si="9"/>
        <v/>
      </c>
      <c r="P17" s="925" t="str">
        <f t="shared" si="10"/>
        <v/>
      </c>
      <c r="Q17" s="925"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18"/>
      <c r="E18" s="918"/>
      <c r="F18" s="918"/>
      <c r="G18" s="919"/>
      <c r="H18" s="918"/>
      <c r="I18" s="30">
        <f t="shared" si="2"/>
        <v>0</v>
      </c>
      <c r="J18" s="30">
        <f t="shared" si="3"/>
        <v>0</v>
      </c>
      <c r="K18" s="9"/>
      <c r="L18" s="32" t="str">
        <f t="shared" si="4"/>
        <v/>
      </c>
      <c r="M18" s="32" t="str">
        <f t="shared" si="8"/>
        <v/>
      </c>
      <c r="N18" s="12"/>
      <c r="O18" s="925" t="str">
        <f t="shared" si="9"/>
        <v/>
      </c>
      <c r="P18" s="925" t="str">
        <f t="shared" si="10"/>
        <v/>
      </c>
      <c r="Q18" s="925"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18"/>
      <c r="E19" s="918"/>
      <c r="F19" s="918"/>
      <c r="G19" s="919"/>
      <c r="H19" s="918"/>
      <c r="I19" s="30">
        <f t="shared" si="2"/>
        <v>0</v>
      </c>
      <c r="J19" s="30">
        <f t="shared" si="3"/>
        <v>0</v>
      </c>
      <c r="K19" s="9"/>
      <c r="L19" s="32" t="str">
        <f t="shared" si="4"/>
        <v/>
      </c>
      <c r="M19" s="32" t="str">
        <f t="shared" si="8"/>
        <v/>
      </c>
      <c r="N19" s="12"/>
      <c r="O19" s="925" t="str">
        <f t="shared" si="9"/>
        <v/>
      </c>
      <c r="P19" s="925" t="str">
        <f t="shared" si="10"/>
        <v/>
      </c>
      <c r="Q19" s="925"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18"/>
      <c r="E20" s="918"/>
      <c r="F20" s="918"/>
      <c r="G20" s="918"/>
      <c r="H20" s="918"/>
      <c r="I20" s="30">
        <f t="shared" si="2"/>
        <v>0</v>
      </c>
      <c r="J20" s="30">
        <f t="shared" si="3"/>
        <v>0</v>
      </c>
      <c r="K20" s="9"/>
      <c r="L20" s="32" t="str">
        <f t="shared" si="4"/>
        <v/>
      </c>
      <c r="M20" s="32" t="str">
        <f t="shared" si="8"/>
        <v/>
      </c>
      <c r="N20" s="12"/>
      <c r="O20" s="925" t="str">
        <f t="shared" si="9"/>
        <v/>
      </c>
      <c r="P20" s="925" t="str">
        <f t="shared" si="10"/>
        <v/>
      </c>
      <c r="Q20" s="925"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18"/>
      <c r="E21" s="918"/>
      <c r="F21" s="918"/>
      <c r="G21" s="919"/>
      <c r="H21" s="918"/>
      <c r="I21" s="30">
        <f t="shared" si="2"/>
        <v>0</v>
      </c>
      <c r="J21" s="30">
        <f t="shared" si="3"/>
        <v>0</v>
      </c>
      <c r="K21" s="9"/>
      <c r="L21" s="32" t="str">
        <f t="shared" si="4"/>
        <v/>
      </c>
      <c r="M21" s="32" t="str">
        <f t="shared" si="8"/>
        <v/>
      </c>
      <c r="N21" s="12"/>
      <c r="O21" s="925" t="str">
        <f t="shared" si="9"/>
        <v/>
      </c>
      <c r="P21" s="925" t="str">
        <f t="shared" si="10"/>
        <v/>
      </c>
      <c r="Q21" s="925"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18"/>
      <c r="E22" s="918"/>
      <c r="F22" s="918"/>
      <c r="G22" s="919"/>
      <c r="H22" s="918"/>
      <c r="I22" s="30">
        <f t="shared" si="2"/>
        <v>0</v>
      </c>
      <c r="J22" s="30">
        <f t="shared" si="3"/>
        <v>0</v>
      </c>
      <c r="K22" s="9"/>
      <c r="L22" s="32" t="str">
        <f t="shared" si="4"/>
        <v/>
      </c>
      <c r="M22" s="32" t="str">
        <f t="shared" si="8"/>
        <v/>
      </c>
      <c r="N22" s="12"/>
      <c r="O22" s="925" t="str">
        <f t="shared" si="9"/>
        <v/>
      </c>
      <c r="P22" s="925" t="str">
        <f t="shared" si="10"/>
        <v/>
      </c>
      <c r="Q22" s="925"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18"/>
      <c r="E23" s="918"/>
      <c r="F23" s="918"/>
      <c r="G23" s="919"/>
      <c r="H23" s="918"/>
      <c r="I23" s="30">
        <f t="shared" si="2"/>
        <v>0</v>
      </c>
      <c r="J23" s="30">
        <f t="shared" si="3"/>
        <v>0</v>
      </c>
      <c r="K23" s="9"/>
      <c r="L23" s="32" t="str">
        <f t="shared" si="4"/>
        <v/>
      </c>
      <c r="M23" s="32" t="str">
        <f t="shared" si="8"/>
        <v/>
      </c>
      <c r="N23" s="12"/>
      <c r="O23" s="925" t="str">
        <f t="shared" si="9"/>
        <v/>
      </c>
      <c r="P23" s="925" t="str">
        <f t="shared" si="10"/>
        <v/>
      </c>
      <c r="Q23" s="925" t="str">
        <f t="shared" si="11"/>
        <v/>
      </c>
      <c r="R23" s="15">
        <f>BEGINBLAD!D18</f>
        <v>0</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18"/>
      <c r="E24" s="918"/>
      <c r="F24" s="918"/>
      <c r="G24" s="918"/>
      <c r="H24" s="918"/>
      <c r="I24" s="30">
        <f t="shared" si="2"/>
        <v>0</v>
      </c>
      <c r="J24" s="30">
        <f t="shared" si="3"/>
        <v>0</v>
      </c>
      <c r="K24" s="9"/>
      <c r="L24" s="32" t="str">
        <f t="shared" si="4"/>
        <v/>
      </c>
      <c r="M24" s="32" t="str">
        <f t="shared" si="8"/>
        <v/>
      </c>
      <c r="N24" s="12"/>
      <c r="O24" s="925" t="str">
        <f t="shared" si="9"/>
        <v/>
      </c>
      <c r="P24" s="925" t="str">
        <f t="shared" si="10"/>
        <v/>
      </c>
      <c r="Q24" s="925"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18"/>
      <c r="E25" s="918"/>
      <c r="F25" s="918"/>
      <c r="G25" s="918"/>
      <c r="H25" s="918"/>
      <c r="I25" s="30">
        <f t="shared" si="2"/>
        <v>0</v>
      </c>
      <c r="J25" s="30">
        <f t="shared" si="3"/>
        <v>0</v>
      </c>
      <c r="K25" s="9"/>
      <c r="L25" s="32" t="str">
        <f t="shared" si="4"/>
        <v/>
      </c>
      <c r="M25" s="32" t="str">
        <f t="shared" si="8"/>
        <v/>
      </c>
      <c r="N25" s="12"/>
      <c r="O25" s="925" t="str">
        <f t="shared" si="9"/>
        <v/>
      </c>
      <c r="P25" s="925" t="str">
        <f t="shared" si="10"/>
        <v/>
      </c>
      <c r="Q25" s="925"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18"/>
      <c r="E26" s="918"/>
      <c r="F26" s="918"/>
      <c r="G26" s="918"/>
      <c r="H26" s="918"/>
      <c r="I26" s="30">
        <f t="shared" si="2"/>
        <v>0</v>
      </c>
      <c r="J26" s="30">
        <f t="shared" si="3"/>
        <v>0</v>
      </c>
      <c r="K26" s="9"/>
      <c r="L26" s="32" t="str">
        <f t="shared" si="4"/>
        <v/>
      </c>
      <c r="M26" s="32" t="str">
        <f t="shared" si="8"/>
        <v/>
      </c>
      <c r="N26" s="12"/>
      <c r="O26" s="925" t="str">
        <f t="shared" si="9"/>
        <v/>
      </c>
      <c r="P26" s="925" t="str">
        <f t="shared" si="10"/>
        <v/>
      </c>
      <c r="Q26" s="925"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18"/>
      <c r="E27" s="918"/>
      <c r="F27" s="918"/>
      <c r="G27" s="918"/>
      <c r="H27" s="918"/>
      <c r="I27" s="30">
        <f t="shared" si="2"/>
        <v>0</v>
      </c>
      <c r="J27" s="30">
        <f t="shared" si="3"/>
        <v>0</v>
      </c>
      <c r="K27" s="9"/>
      <c r="L27" s="32" t="str">
        <f t="shared" si="4"/>
        <v/>
      </c>
      <c r="M27" s="32" t="str">
        <f t="shared" si="8"/>
        <v/>
      </c>
      <c r="N27" s="12"/>
      <c r="O27" s="925" t="str">
        <f t="shared" si="9"/>
        <v/>
      </c>
      <c r="P27" s="925" t="str">
        <f t="shared" si="10"/>
        <v/>
      </c>
      <c r="Q27" s="925"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18"/>
      <c r="E28" s="918"/>
      <c r="F28" s="918"/>
      <c r="G28" s="918"/>
      <c r="H28" s="918"/>
      <c r="I28" s="30">
        <f t="shared" si="2"/>
        <v>0</v>
      </c>
      <c r="J28" s="30">
        <f t="shared" si="3"/>
        <v>0</v>
      </c>
      <c r="K28" s="9"/>
      <c r="L28" s="32" t="str">
        <f t="shared" si="4"/>
        <v/>
      </c>
      <c r="M28" s="32" t="str">
        <f t="shared" si="8"/>
        <v/>
      </c>
      <c r="N28" s="12"/>
      <c r="O28" s="925" t="str">
        <f t="shared" si="9"/>
        <v/>
      </c>
      <c r="P28" s="925" t="str">
        <f t="shared" si="10"/>
        <v/>
      </c>
      <c r="Q28" s="925"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18"/>
      <c r="E29" s="918"/>
      <c r="F29" s="918"/>
      <c r="G29" s="918"/>
      <c r="H29" s="918"/>
      <c r="I29" s="30">
        <f t="shared" si="2"/>
        <v>0</v>
      </c>
      <c r="J29" s="30">
        <f t="shared" si="3"/>
        <v>0</v>
      </c>
      <c r="K29" s="9"/>
      <c r="L29" s="32" t="str">
        <f t="shared" si="4"/>
        <v/>
      </c>
      <c r="M29" s="32" t="str">
        <f t="shared" si="8"/>
        <v/>
      </c>
      <c r="N29" s="12"/>
      <c r="O29" s="925" t="str">
        <f t="shared" si="9"/>
        <v/>
      </c>
      <c r="P29" s="925" t="str">
        <f t="shared" si="10"/>
        <v/>
      </c>
      <c r="Q29" s="925"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18"/>
      <c r="E30" s="918"/>
      <c r="F30" s="918"/>
      <c r="G30" s="918"/>
      <c r="H30" s="918"/>
      <c r="I30" s="30">
        <f t="shared" si="2"/>
        <v>0</v>
      </c>
      <c r="J30" s="30">
        <f t="shared" si="3"/>
        <v>0</v>
      </c>
      <c r="K30" s="9"/>
      <c r="L30" s="32" t="str">
        <f t="shared" si="4"/>
        <v/>
      </c>
      <c r="M30" s="32" t="str">
        <f t="shared" si="8"/>
        <v/>
      </c>
      <c r="N30" s="12"/>
      <c r="O30" s="925" t="str">
        <f t="shared" si="9"/>
        <v/>
      </c>
      <c r="P30" s="925" t="str">
        <f t="shared" si="10"/>
        <v/>
      </c>
      <c r="Q30" s="925"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18"/>
      <c r="E31" s="918"/>
      <c r="F31" s="918"/>
      <c r="G31" s="918"/>
      <c r="H31" s="918"/>
      <c r="I31" s="30">
        <f t="shared" si="2"/>
        <v>0</v>
      </c>
      <c r="J31" s="30">
        <f t="shared" si="3"/>
        <v>0</v>
      </c>
      <c r="K31" s="9"/>
      <c r="L31" s="32" t="str">
        <f t="shared" si="4"/>
        <v/>
      </c>
      <c r="M31" s="32" t="str">
        <f t="shared" si="8"/>
        <v/>
      </c>
      <c r="N31" s="12"/>
      <c r="O31" s="925" t="str">
        <f t="shared" si="9"/>
        <v/>
      </c>
      <c r="P31" s="925" t="str">
        <f t="shared" si="10"/>
        <v/>
      </c>
      <c r="Q31" s="925"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18"/>
      <c r="E32" s="918"/>
      <c r="F32" s="918"/>
      <c r="G32" s="918"/>
      <c r="H32" s="918"/>
      <c r="I32" s="30">
        <f t="shared" si="2"/>
        <v>0</v>
      </c>
      <c r="J32" s="30">
        <f t="shared" si="3"/>
        <v>0</v>
      </c>
      <c r="K32" s="9"/>
      <c r="L32" s="32" t="str">
        <f t="shared" si="4"/>
        <v/>
      </c>
      <c r="M32" s="32" t="str">
        <f t="shared" si="8"/>
        <v/>
      </c>
      <c r="N32" s="12"/>
      <c r="O32" s="925" t="str">
        <f t="shared" si="9"/>
        <v/>
      </c>
      <c r="P32" s="925" t="str">
        <f t="shared" si="10"/>
        <v/>
      </c>
      <c r="Q32" s="925"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18"/>
      <c r="E33" s="918"/>
      <c r="F33" s="918"/>
      <c r="G33" s="918"/>
      <c r="H33" s="918"/>
      <c r="I33" s="30">
        <f t="shared" si="2"/>
        <v>0</v>
      </c>
      <c r="J33" s="30">
        <f t="shared" si="3"/>
        <v>0</v>
      </c>
      <c r="K33" s="9"/>
      <c r="L33" s="32" t="str">
        <f t="shared" si="4"/>
        <v/>
      </c>
      <c r="M33" s="32" t="str">
        <f t="shared" si="8"/>
        <v/>
      </c>
      <c r="N33" s="12"/>
      <c r="O33" s="925" t="str">
        <f t="shared" si="9"/>
        <v/>
      </c>
      <c r="P33" s="925" t="str">
        <f t="shared" si="10"/>
        <v/>
      </c>
      <c r="Q33" s="925"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18"/>
      <c r="E34" s="918"/>
      <c r="F34" s="918"/>
      <c r="G34" s="918"/>
      <c r="H34" s="918"/>
      <c r="I34" s="30">
        <f t="shared" si="2"/>
        <v>0</v>
      </c>
      <c r="J34" s="30">
        <f t="shared" si="3"/>
        <v>0</v>
      </c>
      <c r="K34" s="9"/>
      <c r="L34" s="32" t="str">
        <f t="shared" si="4"/>
        <v/>
      </c>
      <c r="M34" s="32" t="str">
        <f t="shared" si="8"/>
        <v/>
      </c>
      <c r="N34" s="12"/>
      <c r="O34" s="925" t="str">
        <f t="shared" si="9"/>
        <v/>
      </c>
      <c r="P34" s="925" t="str">
        <f t="shared" si="10"/>
        <v/>
      </c>
      <c r="Q34" s="925"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18"/>
      <c r="E35" s="918"/>
      <c r="F35" s="918"/>
      <c r="G35" s="918"/>
      <c r="H35" s="918"/>
      <c r="I35" s="30">
        <f t="shared" si="2"/>
        <v>0</v>
      </c>
      <c r="J35" s="30">
        <f t="shared" si="3"/>
        <v>0</v>
      </c>
      <c r="K35" s="9"/>
      <c r="L35" s="32" t="str">
        <f t="shared" si="4"/>
        <v/>
      </c>
      <c r="M35" s="32" t="str">
        <f t="shared" si="8"/>
        <v/>
      </c>
      <c r="N35" s="12"/>
      <c r="O35" s="925" t="str">
        <f t="shared" si="9"/>
        <v/>
      </c>
      <c r="P35" s="925" t="str">
        <f t="shared" si="10"/>
        <v/>
      </c>
      <c r="Q35" s="925"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0"/>
      <c r="E36" s="918"/>
      <c r="F36" s="918"/>
      <c r="G36" s="918"/>
      <c r="H36" s="920"/>
      <c r="I36" s="30">
        <f t="shared" si="2"/>
        <v>0</v>
      </c>
      <c r="J36" s="30">
        <f t="shared" si="3"/>
        <v>0</v>
      </c>
      <c r="K36" s="9"/>
      <c r="L36" s="32" t="str">
        <f t="shared" si="4"/>
        <v/>
      </c>
      <c r="M36" s="32" t="str">
        <f t="shared" si="8"/>
        <v/>
      </c>
      <c r="N36" s="12"/>
      <c r="O36" s="925" t="str">
        <f t="shared" si="9"/>
        <v/>
      </c>
      <c r="P36" s="925" t="str">
        <f t="shared" si="10"/>
        <v/>
      </c>
      <c r="Q36" s="925"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0"/>
      <c r="E37" s="918"/>
      <c r="F37" s="918"/>
      <c r="G37" s="918"/>
      <c r="H37" s="920"/>
      <c r="I37" s="30">
        <f t="shared" si="2"/>
        <v>0</v>
      </c>
      <c r="J37" s="30">
        <f t="shared" si="3"/>
        <v>0</v>
      </c>
      <c r="K37" s="9"/>
      <c r="L37" s="32" t="str">
        <f t="shared" si="4"/>
        <v/>
      </c>
      <c r="M37" s="32" t="str">
        <f t="shared" si="8"/>
        <v/>
      </c>
      <c r="N37" s="12"/>
      <c r="O37" s="925" t="str">
        <f t="shared" si="9"/>
        <v/>
      </c>
      <c r="P37" s="925" t="str">
        <f t="shared" si="10"/>
        <v/>
      </c>
      <c r="Q37" s="925"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1"/>
      <c r="E38" s="921"/>
      <c r="F38" s="921"/>
      <c r="G38" s="922"/>
      <c r="H38" s="922"/>
      <c r="I38" s="30">
        <f t="shared" si="2"/>
        <v>0</v>
      </c>
      <c r="J38" s="30">
        <f t="shared" si="3"/>
        <v>0</v>
      </c>
      <c r="K38" s="9"/>
      <c r="L38" s="32" t="str">
        <f t="shared" si="4"/>
        <v/>
      </c>
      <c r="M38" s="32" t="str">
        <f t="shared" si="8"/>
        <v/>
      </c>
      <c r="N38" s="12"/>
      <c r="O38" s="925" t="str">
        <f t="shared" si="9"/>
        <v/>
      </c>
      <c r="P38" s="925" t="str">
        <f t="shared" si="10"/>
        <v/>
      </c>
      <c r="Q38" s="925"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1"/>
      <c r="E39" s="921"/>
      <c r="F39" s="921"/>
      <c r="G39" s="921"/>
      <c r="H39" s="921"/>
      <c r="I39" s="30">
        <f t="shared" si="2"/>
        <v>0</v>
      </c>
      <c r="J39" s="30">
        <f t="shared" si="3"/>
        <v>0</v>
      </c>
      <c r="K39" s="9"/>
      <c r="L39" s="32" t="str">
        <f t="shared" si="4"/>
        <v/>
      </c>
      <c r="M39" s="32" t="str">
        <f t="shared" si="8"/>
        <v/>
      </c>
      <c r="N39" s="12"/>
      <c r="O39" s="925" t="str">
        <f t="shared" si="9"/>
        <v/>
      </c>
      <c r="P39" s="925" t="str">
        <f t="shared" si="10"/>
        <v/>
      </c>
      <c r="Q39" s="925"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1"/>
      <c r="E40" s="921"/>
      <c r="F40" s="921"/>
      <c r="G40" s="921"/>
      <c r="H40" s="921"/>
      <c r="I40" s="30">
        <f t="shared" si="2"/>
        <v>0</v>
      </c>
      <c r="J40" s="30">
        <f t="shared" si="3"/>
        <v>0</v>
      </c>
      <c r="K40" s="9"/>
      <c r="L40" s="32" t="str">
        <f t="shared" si="4"/>
        <v/>
      </c>
      <c r="M40" s="32" t="str">
        <f t="shared" si="8"/>
        <v/>
      </c>
      <c r="N40" s="12"/>
      <c r="O40" s="925" t="str">
        <f t="shared" si="9"/>
        <v/>
      </c>
      <c r="P40" s="925" t="str">
        <f t="shared" si="10"/>
        <v/>
      </c>
      <c r="Q40" s="925"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1"/>
      <c r="E41" s="921"/>
      <c r="F41" s="921"/>
      <c r="G41" s="921"/>
      <c r="H41" s="921"/>
      <c r="I41" s="30">
        <f t="shared" si="2"/>
        <v>0</v>
      </c>
      <c r="J41" s="30">
        <f t="shared" si="3"/>
        <v>0</v>
      </c>
      <c r="K41" s="9"/>
      <c r="L41" s="32" t="str">
        <f t="shared" si="4"/>
        <v/>
      </c>
      <c r="M41" s="32" t="str">
        <f t="shared" si="8"/>
        <v/>
      </c>
      <c r="N41" s="12"/>
      <c r="O41" s="925" t="str">
        <f t="shared" si="9"/>
        <v/>
      </c>
      <c r="P41" s="925" t="str">
        <f t="shared" si="10"/>
        <v/>
      </c>
      <c r="Q41" s="925"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1"/>
      <c r="E42" s="921"/>
      <c r="F42" s="921"/>
      <c r="G42" s="921"/>
      <c r="H42" s="921"/>
      <c r="I42" s="30">
        <f t="shared" si="2"/>
        <v>0</v>
      </c>
      <c r="J42" s="30">
        <f t="shared" si="3"/>
        <v>0</v>
      </c>
      <c r="K42" s="9"/>
      <c r="L42" s="32"/>
      <c r="M42" s="32" t="str">
        <f t="shared" si="8"/>
        <v/>
      </c>
      <c r="N42" s="12"/>
      <c r="O42" s="925" t="str">
        <f t="shared" si="9"/>
        <v/>
      </c>
      <c r="P42" s="925" t="str">
        <f t="shared" si="10"/>
        <v/>
      </c>
      <c r="Q42" s="925"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1"/>
      <c r="E43" s="921"/>
      <c r="F43" s="921"/>
      <c r="G43" s="921"/>
      <c r="H43" s="921"/>
      <c r="I43" s="30">
        <f t="shared" si="2"/>
        <v>0</v>
      </c>
      <c r="J43" s="30">
        <f t="shared" si="3"/>
        <v>0</v>
      </c>
      <c r="K43" s="9"/>
      <c r="L43" s="32" t="str">
        <f t="shared" si="4"/>
        <v/>
      </c>
      <c r="M43" s="32" t="str">
        <f t="shared" si="8"/>
        <v/>
      </c>
      <c r="N43" s="12"/>
      <c r="O43" s="925" t="str">
        <f t="shared" si="9"/>
        <v/>
      </c>
      <c r="P43" s="925" t="str">
        <f t="shared" si="10"/>
        <v/>
      </c>
      <c r="Q43" s="925" t="str">
        <f t="shared" si="11"/>
        <v/>
      </c>
      <c r="R43" s="15">
        <f>BEGINBLAD!D38</f>
        <v>0</v>
      </c>
      <c r="S43" s="30">
        <v>35</v>
      </c>
      <c r="T43" s="541">
        <f>BEGINBLAD!C38</f>
        <v>0</v>
      </c>
      <c r="U43" s="346"/>
      <c r="V43" s="344"/>
      <c r="W43" s="344"/>
      <c r="X43" s="344"/>
      <c r="Y43" s="344"/>
      <c r="Z43" s="30">
        <f t="shared" ref="Z43:Z44" si="13">SUM(U43:Y43)</f>
        <v>0</v>
      </c>
      <c r="AA43" s="30">
        <f t="shared" ref="AA43:AA44" si="14">COUNTA(U43:Y43)</f>
        <v>0</v>
      </c>
      <c r="AB43" s="9"/>
      <c r="AC43" s="353" t="str">
        <f t="shared" si="7"/>
        <v/>
      </c>
      <c r="AD43" s="352" t="str">
        <f t="shared" si="12"/>
        <v/>
      </c>
    </row>
    <row r="44" spans="1:30" ht="19.5" customHeight="1" x14ac:dyDescent="0.25">
      <c r="A44" s="15">
        <f>BEGINBLAD!D38</f>
        <v>0</v>
      </c>
      <c r="B44" s="30">
        <v>36</v>
      </c>
      <c r="C44" s="541">
        <f>BEGINBLAD!C39</f>
        <v>0</v>
      </c>
      <c r="D44" s="921"/>
      <c r="E44" s="921"/>
      <c r="F44" s="921"/>
      <c r="G44" s="921"/>
      <c r="H44" s="921"/>
      <c r="I44" s="30">
        <f t="shared" si="2"/>
        <v>0</v>
      </c>
      <c r="J44" s="30">
        <f t="shared" si="3"/>
        <v>0</v>
      </c>
      <c r="K44" s="9"/>
      <c r="L44" s="32" t="str">
        <f t="shared" si="4"/>
        <v/>
      </c>
      <c r="M44" s="32" t="str">
        <f t="shared" si="8"/>
        <v/>
      </c>
      <c r="N44" s="12"/>
      <c r="O44" s="925" t="str">
        <f t="shared" si="9"/>
        <v/>
      </c>
      <c r="P44" s="925" t="str">
        <f t="shared" si="10"/>
        <v/>
      </c>
      <c r="Q44" s="925" t="str">
        <f t="shared" si="11"/>
        <v/>
      </c>
      <c r="R44" s="15">
        <f>BEGINBLAD!D39</f>
        <v>0</v>
      </c>
      <c r="S44" s="30">
        <v>36</v>
      </c>
      <c r="T44" s="541">
        <f>BEGINBLAD!C39</f>
        <v>0</v>
      </c>
      <c r="U44" s="346"/>
      <c r="V44" s="344"/>
      <c r="W44" s="344"/>
      <c r="X44" s="344"/>
      <c r="Y44" s="344"/>
      <c r="Z44" s="30">
        <f t="shared" si="13"/>
        <v>0</v>
      </c>
      <c r="AA44" s="30">
        <f t="shared" si="14"/>
        <v>0</v>
      </c>
      <c r="AB44" s="9"/>
      <c r="AC44" s="353" t="str">
        <f t="shared" si="7"/>
        <v/>
      </c>
      <c r="AD44" s="352" t="str">
        <f t="shared" si="12"/>
        <v/>
      </c>
    </row>
    <row r="45" spans="1:30" ht="19.5" customHeight="1" x14ac:dyDescent="0.25">
      <c r="A45" s="338"/>
      <c r="B45" s="537"/>
      <c r="C45" s="10" t="s">
        <v>71</v>
      </c>
      <c r="D45" s="542">
        <f t="shared" ref="D45:J45" si="15">AVERAGE(D9:D44)</f>
        <v>3.8500000000000005</v>
      </c>
      <c r="E45" s="542">
        <f t="shared" si="15"/>
        <v>3.85</v>
      </c>
      <c r="F45" s="542">
        <f t="shared" si="15"/>
        <v>3.8499999999999996</v>
      </c>
      <c r="G45" s="542">
        <f t="shared" si="15"/>
        <v>4.0374999999999996</v>
      </c>
      <c r="H45" s="542">
        <f t="shared" si="15"/>
        <v>4.1750000000000007</v>
      </c>
      <c r="I45" s="542">
        <f t="shared" si="15"/>
        <v>4.3916666666666666</v>
      </c>
      <c r="J45" s="542">
        <f t="shared" si="15"/>
        <v>1.1111111111111112</v>
      </c>
      <c r="K45" s="543"/>
      <c r="L45" s="542">
        <f>AVERAGE(L9:L44)</f>
        <v>3.9524999999999997</v>
      </c>
      <c r="M45" s="182"/>
      <c r="N45" s="555" t="s">
        <v>77</v>
      </c>
      <c r="O45" s="646">
        <f>O48/O52</f>
        <v>0</v>
      </c>
      <c r="P45" s="646">
        <f t="shared" ref="P45:Q45" si="16">P48/P52</f>
        <v>0</v>
      </c>
      <c r="Q45" s="646">
        <f t="shared" si="16"/>
        <v>0</v>
      </c>
      <c r="R45" s="338"/>
      <c r="S45" s="537"/>
      <c r="T45" s="10"/>
      <c r="U45" s="543"/>
      <c r="V45" s="543"/>
      <c r="W45" s="543"/>
      <c r="X45" s="543"/>
      <c r="Y45" s="543"/>
      <c r="Z45" s="543"/>
      <c r="AA45" s="543"/>
      <c r="AB45" s="543"/>
      <c r="AC45" s="543"/>
      <c r="AD45" s="182"/>
    </row>
    <row r="46" spans="1:30" ht="19.5" customHeight="1" x14ac:dyDescent="0.25">
      <c r="A46" s="338"/>
      <c r="B46" s="537"/>
      <c r="C46" s="10" t="s">
        <v>72</v>
      </c>
      <c r="D46" s="11" t="str">
        <f>IF(D45="","",IF(D45&gt;4.5,"A-1+",IF(D45&gt;4,"A-1",IF(D45&gt;=4,"A-2",IF(D45&gt;3.4,"B-2",IF(D45&gt;=3,"B-3",IF(D45&gt;2.5,"C-3",IF(D45&gt;=2,"C-4",IF(D45&gt;1.6,"D-4",IF(D45&gt;=1,"D-5",IF(D45&gt;0.5,"E-5",IF(D45&gt;=0,"E-5-"))))))))))))</f>
        <v>B-2</v>
      </c>
      <c r="E46" s="11" t="str">
        <f t="shared" ref="E46:H46" si="17">IF(E45="","",IF(E45&gt;4.5,"A-1+",IF(E45&gt;4.2,"A-1",IF(E45&gt;=4,"A-2",IF(E45&gt;3.3,"B-2",IF(E45&gt;=3,"B-3",IF(E45&gt;2.4,"C-3",IF(E45&gt;=2,"C-4",IF(E45&gt;1.5,"D-4",IF(E45&gt;=1,"D-5",IF(E45&gt;0.5,"E-5",IF(E45&gt;=0,"E-5-"))))))))))))</f>
        <v>B-2</v>
      </c>
      <c r="F46" s="11" t="str">
        <f t="shared" si="17"/>
        <v>B-2</v>
      </c>
      <c r="G46" s="11" t="str">
        <f t="shared" si="17"/>
        <v>A-2</v>
      </c>
      <c r="H46" s="11" t="str">
        <f t="shared" si="17"/>
        <v>A-2</v>
      </c>
      <c r="I46" s="11" t="str">
        <f t="shared" ref="I46:K46" si="18">IF(I45="","",IF(I45&gt;=4.5,"A+",IF(I45&gt;=4,"A",IF(I45&gt;=3,"B",IF(I45&gt;2.3,"C",IF(I45&gt;=2,"C-",IF(I45&gt;=1,"D",IF(I45&gt;0,"E"))))))))</f>
        <v>A</v>
      </c>
      <c r="J46" s="11" t="str">
        <f t="shared" si="18"/>
        <v>D</v>
      </c>
      <c r="K46" s="12" t="str">
        <f t="shared" si="18"/>
        <v/>
      </c>
      <c r="L46" s="11" t="str">
        <f>IF(L45="","",IF(L45&gt;4.5,"A-1+",IF(L45&gt;4.2,"A-1",IF(L45&gt;=4,"A-2",IF(L45&gt;3.3,"B-2",IF(L45&gt;=3,"B-3",IF(L45&gt;2.4,"C-3",IF(L45&gt;=2,"C-4",IF(L45&gt;1.5,"D-4",IF(L45&gt;=1,"D-5",IF(L45&gt;0.5,"E-5",IF(L45&gt;=0,"E-5-"))))))))))))</f>
        <v>B-2</v>
      </c>
      <c r="M46" s="182"/>
      <c r="N46" s="555" t="s">
        <v>76</v>
      </c>
      <c r="O46" s="646">
        <f>O51/O52</f>
        <v>1</v>
      </c>
      <c r="P46" s="646">
        <f t="shared" ref="P46:Q46" si="19">P51/P52</f>
        <v>1</v>
      </c>
      <c r="Q46" s="646">
        <f t="shared" si="19"/>
        <v>1</v>
      </c>
      <c r="R46" s="338"/>
      <c r="S46" s="537"/>
      <c r="T46" s="10"/>
      <c r="U46" s="12"/>
      <c r="V46" s="12"/>
      <c r="W46" s="12"/>
      <c r="X46" s="12"/>
      <c r="Y46" s="12"/>
      <c r="Z46" s="12"/>
      <c r="AA46" s="12"/>
      <c r="AB46" s="12"/>
      <c r="AC46" s="12"/>
      <c r="AD46" s="182"/>
    </row>
    <row r="47" spans="1:30" ht="19.5" customHeight="1" x14ac:dyDescent="0.25">
      <c r="A47" s="338"/>
      <c r="B47" s="537"/>
      <c r="C47" s="41">
        <f>BEGINBLAD!$D$40</f>
        <v>8</v>
      </c>
      <c r="D47" s="590"/>
      <c r="E47" s="590"/>
      <c r="F47" s="590"/>
      <c r="G47" s="590"/>
      <c r="H47" s="590"/>
      <c r="I47" s="182"/>
      <c r="J47" s="182"/>
      <c r="K47" s="182"/>
      <c r="L47" s="182"/>
      <c r="M47" s="182"/>
      <c r="N47" s="555" t="s">
        <v>78</v>
      </c>
      <c r="O47" s="646">
        <f>O50/O52</f>
        <v>0.875</v>
      </c>
      <c r="P47" s="646">
        <f t="shared" ref="P47:Q47" si="20">P50/P52</f>
        <v>0.875</v>
      </c>
      <c r="Q47" s="646">
        <f t="shared" si="20"/>
        <v>0.875</v>
      </c>
      <c r="R47" s="338"/>
      <c r="S47" s="537"/>
      <c r="T47" s="41"/>
      <c r="U47" s="182"/>
      <c r="V47" s="182"/>
      <c r="W47" s="182"/>
      <c r="X47" s="182"/>
      <c r="Y47" s="182"/>
      <c r="Z47" s="182"/>
      <c r="AA47" s="182"/>
      <c r="AB47" s="182"/>
      <c r="AC47" s="182"/>
      <c r="AD47" s="182"/>
    </row>
    <row r="48" spans="1:30" ht="19.5" customHeight="1" x14ac:dyDescent="0.25">
      <c r="A48" s="338"/>
      <c r="B48" s="316"/>
      <c r="C48" s="586" t="s">
        <v>81</v>
      </c>
      <c r="D48" s="590"/>
      <c r="E48" s="590"/>
      <c r="F48" s="590"/>
      <c r="G48" s="590"/>
      <c r="H48" s="590"/>
      <c r="I48" s="540"/>
      <c r="J48" s="540"/>
      <c r="K48" s="540"/>
      <c r="L48" s="589"/>
      <c r="M48" s="878"/>
      <c r="N48" s="907" t="s">
        <v>77</v>
      </c>
      <c r="O48" s="907">
        <f>O52-O51</f>
        <v>0</v>
      </c>
      <c r="P48" s="907">
        <f t="shared" ref="P48:Q48" si="21">P52-P51</f>
        <v>0</v>
      </c>
      <c r="Q48" s="907">
        <f t="shared" si="21"/>
        <v>0</v>
      </c>
      <c r="R48" s="879"/>
      <c r="S48" s="537"/>
      <c r="T48" s="41"/>
      <c r="U48" s="182"/>
      <c r="V48" s="182"/>
      <c r="W48" s="182"/>
      <c r="X48" s="182"/>
      <c r="Y48" s="182"/>
      <c r="Z48" s="182"/>
      <c r="AA48" s="182"/>
      <c r="AB48" s="182"/>
      <c r="AC48" s="182"/>
      <c r="AD48" s="182"/>
    </row>
    <row r="49" spans="1:30" ht="19.5" customHeight="1" x14ac:dyDescent="0.25">
      <c r="A49" s="338"/>
      <c r="B49" s="316"/>
      <c r="C49" s="586"/>
      <c r="D49" s="943">
        <f>LARGE(D9:D44,D51+1)</f>
        <v>4.3</v>
      </c>
      <c r="E49" s="943">
        <f t="shared" ref="E49:H49" si="22">LARGE(E9:E44,E51+1)</f>
        <v>4.5999999999999996</v>
      </c>
      <c r="F49" s="943">
        <f t="shared" si="22"/>
        <v>4.4000000000000004</v>
      </c>
      <c r="G49" s="943">
        <f t="shared" si="22"/>
        <v>4.2</v>
      </c>
      <c r="H49" s="943">
        <f t="shared" si="22"/>
        <v>4.8</v>
      </c>
      <c r="I49" s="540"/>
      <c r="J49" s="540"/>
      <c r="K49" s="540"/>
      <c r="L49" s="589"/>
      <c r="M49" s="878"/>
      <c r="N49" s="907" t="s">
        <v>76</v>
      </c>
      <c r="O49" s="907">
        <f>COUNTIF(O9:O44,"1F")</f>
        <v>1</v>
      </c>
      <c r="P49" s="907">
        <f>COUNTIF(P9:P44,"1F")</f>
        <v>1</v>
      </c>
      <c r="Q49" s="907">
        <f>COUNTIF(Q9:Q44,"1F")</f>
        <v>1</v>
      </c>
      <c r="R49" s="879"/>
      <c r="S49" s="537"/>
      <c r="T49" s="41"/>
      <c r="U49" s="182"/>
      <c r="V49" s="182"/>
      <c r="W49" s="182"/>
      <c r="X49" s="182"/>
      <c r="Y49" s="182"/>
      <c r="Z49" s="182"/>
      <c r="AA49" s="182"/>
      <c r="AB49" s="182"/>
      <c r="AC49" s="182"/>
      <c r="AD49" s="182"/>
    </row>
    <row r="50" spans="1:30" ht="19.5" customHeight="1" x14ac:dyDescent="0.25">
      <c r="A50" s="338"/>
      <c r="B50" s="316"/>
      <c r="C50" s="588" t="s">
        <v>84</v>
      </c>
      <c r="D50" s="943">
        <f>SMALL(D9:D44,(D51+1))</f>
        <v>3</v>
      </c>
      <c r="E50" s="943">
        <f t="shared" ref="E50:H50" si="23">SMALL(E9:E44,(E51+1))</f>
        <v>3.3</v>
      </c>
      <c r="F50" s="943">
        <f t="shared" si="23"/>
        <v>3.2</v>
      </c>
      <c r="G50" s="943">
        <f t="shared" si="23"/>
        <v>4.2</v>
      </c>
      <c r="H50" s="943">
        <f t="shared" si="23"/>
        <v>4.2</v>
      </c>
      <c r="I50" s="182"/>
      <c r="J50" s="182"/>
      <c r="K50" s="182"/>
      <c r="L50" s="127"/>
      <c r="M50" s="705"/>
      <c r="N50" s="907" t="s">
        <v>82</v>
      </c>
      <c r="O50" s="907">
        <f>COUNTIF(O9:O44,"2F")</f>
        <v>7</v>
      </c>
      <c r="P50" s="907">
        <f>COUNTIF(P9:P44,"2F")</f>
        <v>7</v>
      </c>
      <c r="Q50" s="907">
        <f>COUNTIF(Q9:Q44,"1S")</f>
        <v>7</v>
      </c>
      <c r="R50" s="879"/>
      <c r="S50" s="537"/>
      <c r="T50" s="41"/>
      <c r="U50" s="182"/>
      <c r="V50" s="182"/>
      <c r="W50" s="182"/>
      <c r="X50" s="182"/>
      <c r="Y50" s="182"/>
      <c r="Z50" s="182"/>
      <c r="AA50" s="182"/>
      <c r="AB50" s="182"/>
      <c r="AC50" s="182"/>
      <c r="AD50" s="182"/>
    </row>
    <row r="51" spans="1:30" ht="19.5" customHeight="1" x14ac:dyDescent="0.25">
      <c r="A51" s="338"/>
      <c r="B51" s="591"/>
      <c r="C51" s="636"/>
      <c r="D51" s="943">
        <f>D52*0.25</f>
        <v>2</v>
      </c>
      <c r="E51" s="943">
        <f t="shared" ref="E51:H51" si="24">E52*0.25</f>
        <v>2</v>
      </c>
      <c r="F51" s="943">
        <f t="shared" si="24"/>
        <v>2</v>
      </c>
      <c r="G51" s="943">
        <f t="shared" si="24"/>
        <v>2</v>
      </c>
      <c r="H51" s="943">
        <f t="shared" si="24"/>
        <v>2</v>
      </c>
      <c r="I51" s="127"/>
      <c r="J51" s="127"/>
      <c r="K51" s="127"/>
      <c r="L51" s="590"/>
      <c r="M51" s="705"/>
      <c r="N51" s="907" t="s">
        <v>79</v>
      </c>
      <c r="O51" s="907">
        <f>SUM(O49:O50)</f>
        <v>8</v>
      </c>
      <c r="P51" s="907">
        <f>SUM(P49:P50)</f>
        <v>8</v>
      </c>
      <c r="Q51" s="907">
        <f>SUM(Q49:Q50)</f>
        <v>8</v>
      </c>
      <c r="R51" s="879"/>
      <c r="S51" s="537"/>
      <c r="T51" s="41"/>
      <c r="U51" s="182"/>
      <c r="V51" s="182"/>
      <c r="W51" s="182"/>
      <c r="X51" s="182"/>
      <c r="Y51" s="182"/>
      <c r="Z51" s="182"/>
      <c r="AA51" s="182"/>
      <c r="AB51" s="182"/>
      <c r="AC51" s="182"/>
      <c r="AD51" s="182"/>
    </row>
    <row r="52" spans="1:30" x14ac:dyDescent="0.25">
      <c r="A52" s="338"/>
      <c r="B52" s="537"/>
      <c r="C52" s="566"/>
      <c r="D52" s="943">
        <f>COUNT(D9:D44)</f>
        <v>8</v>
      </c>
      <c r="E52" s="943">
        <f t="shared" ref="E52:H52" si="25">COUNT(E9:E44)</f>
        <v>8</v>
      </c>
      <c r="F52" s="943">
        <f t="shared" si="25"/>
        <v>8</v>
      </c>
      <c r="G52" s="943">
        <f t="shared" si="25"/>
        <v>8</v>
      </c>
      <c r="H52" s="943">
        <f t="shared" si="25"/>
        <v>8</v>
      </c>
      <c r="I52" s="127"/>
      <c r="J52" s="127"/>
      <c r="K52" s="127"/>
      <c r="L52" s="590"/>
      <c r="M52" s="705"/>
      <c r="N52" s="907" t="s">
        <v>85</v>
      </c>
      <c r="O52" s="907">
        <f>COUNTIF(O9:O44,"&gt;""")</f>
        <v>8</v>
      </c>
      <c r="P52" s="907">
        <f t="shared" ref="P52:Q52" si="26">COUNTIF(P9:P44,"&gt;""")</f>
        <v>8</v>
      </c>
      <c r="Q52" s="907">
        <f t="shared" si="26"/>
        <v>8</v>
      </c>
      <c r="R52" s="879"/>
      <c r="S52" s="537"/>
      <c r="T52" s="41"/>
      <c r="U52" s="182"/>
      <c r="V52" s="182"/>
      <c r="W52" s="182"/>
      <c r="X52" s="182"/>
      <c r="Y52" s="182"/>
      <c r="Z52" s="182"/>
      <c r="AA52" s="182"/>
      <c r="AB52" s="182"/>
      <c r="AC52" s="182"/>
      <c r="AD52" s="182"/>
    </row>
    <row r="53" spans="1:30" x14ac:dyDescent="0.25">
      <c r="A53" s="338"/>
      <c r="B53" s="537"/>
      <c r="C53" s="566"/>
      <c r="D53" s="943"/>
      <c r="E53" s="943"/>
      <c r="F53" s="943"/>
      <c r="G53" s="943"/>
      <c r="H53" s="943"/>
      <c r="I53" s="127"/>
      <c r="J53" s="127"/>
      <c r="K53" s="127"/>
      <c r="L53" s="590"/>
      <c r="M53" s="127"/>
      <c r="N53" s="590"/>
      <c r="O53" s="590"/>
      <c r="P53" s="590"/>
      <c r="Q53" s="590"/>
      <c r="R53" s="338"/>
      <c r="S53" s="537"/>
      <c r="T53" s="41"/>
      <c r="U53" s="182"/>
      <c r="V53" s="182"/>
      <c r="W53" s="182"/>
      <c r="X53" s="182"/>
      <c r="Y53" s="182"/>
      <c r="Z53" s="182"/>
      <c r="AA53" s="182"/>
      <c r="AB53" s="182"/>
      <c r="AC53" s="182"/>
      <c r="AD53" s="182"/>
    </row>
    <row r="54" spans="1:30" x14ac:dyDescent="0.25">
      <c r="A54" s="338"/>
      <c r="B54" s="537"/>
      <c r="C54" s="566"/>
      <c r="D54" s="590"/>
      <c r="E54" s="590"/>
      <c r="F54" s="590"/>
      <c r="G54" s="590"/>
      <c r="H54" s="590"/>
      <c r="I54" s="127"/>
      <c r="J54" s="127"/>
      <c r="K54" s="127"/>
      <c r="L54" s="590"/>
      <c r="M54" s="127"/>
      <c r="N54" s="590"/>
      <c r="O54" s="590"/>
      <c r="P54" s="590"/>
      <c r="Q54" s="590"/>
      <c r="R54" s="338"/>
      <c r="S54" s="537"/>
      <c r="T54" s="41"/>
      <c r="U54" s="182"/>
      <c r="V54" s="182"/>
      <c r="W54" s="182"/>
      <c r="X54" s="182"/>
      <c r="Y54" s="182"/>
      <c r="Z54" s="182"/>
      <c r="AA54" s="182"/>
      <c r="AB54" s="182"/>
      <c r="AC54" s="182"/>
      <c r="AD54" s="182"/>
    </row>
    <row r="55" spans="1:30" x14ac:dyDescent="0.25">
      <c r="A55" s="338"/>
      <c r="B55" s="537"/>
      <c r="C55" s="566"/>
      <c r="D55" s="590"/>
      <c r="E55" s="590"/>
      <c r="F55" s="590"/>
      <c r="G55" s="590"/>
      <c r="H55" s="590"/>
      <c r="I55" s="127"/>
      <c r="J55" s="127"/>
      <c r="K55" s="127"/>
      <c r="L55" s="127"/>
      <c r="M55" s="127"/>
      <c r="N55" s="127"/>
      <c r="O55" s="127"/>
      <c r="P55" s="127"/>
      <c r="Q55" s="127"/>
      <c r="R55" s="338"/>
      <c r="S55" s="537"/>
      <c r="T55" s="41"/>
      <c r="U55" s="182"/>
      <c r="V55" s="182"/>
      <c r="W55" s="182"/>
      <c r="X55" s="182"/>
      <c r="Y55" s="182"/>
      <c r="Z55" s="182"/>
      <c r="AA55" s="182"/>
      <c r="AB55" s="182"/>
      <c r="AC55" s="182"/>
      <c r="AD55" s="182"/>
    </row>
    <row r="56" spans="1:30" x14ac:dyDescent="0.25">
      <c r="A56" s="338"/>
      <c r="B56" s="537"/>
      <c r="C56" s="566"/>
      <c r="D56" s="590"/>
      <c r="E56" s="590"/>
      <c r="F56" s="590"/>
      <c r="G56" s="590"/>
      <c r="H56" s="590"/>
      <c r="I56" s="127"/>
      <c r="J56" s="127"/>
      <c r="K56" s="127"/>
      <c r="L56" s="127"/>
      <c r="M56" s="127"/>
      <c r="N56" s="127"/>
      <c r="O56" s="127"/>
      <c r="P56" s="127"/>
      <c r="Q56" s="127"/>
      <c r="R56" s="338"/>
      <c r="S56" s="537"/>
      <c r="T56" s="41"/>
      <c r="U56" s="182"/>
      <c r="V56" s="182"/>
      <c r="W56" s="182"/>
      <c r="X56" s="182"/>
      <c r="Y56" s="182"/>
      <c r="Z56" s="182"/>
      <c r="AA56" s="182"/>
      <c r="AB56" s="182"/>
      <c r="AC56" s="182"/>
      <c r="AD56" s="182"/>
    </row>
    <row r="57" spans="1:30" x14ac:dyDescent="0.25">
      <c r="A57" s="338"/>
      <c r="B57" s="537"/>
      <c r="C57" s="566"/>
      <c r="D57" s="590"/>
      <c r="E57" s="590"/>
      <c r="F57" s="590"/>
      <c r="G57" s="590"/>
      <c r="H57" s="590"/>
      <c r="I57" s="127"/>
      <c r="J57" s="127"/>
      <c r="K57" s="127"/>
      <c r="L57" s="127"/>
      <c r="M57" s="127"/>
      <c r="N57" s="127"/>
      <c r="O57" s="127"/>
      <c r="P57" s="127"/>
      <c r="Q57" s="127"/>
      <c r="R57" s="338"/>
      <c r="S57" s="537"/>
      <c r="T57" s="41"/>
      <c r="U57" s="182"/>
      <c r="V57" s="182"/>
      <c r="W57" s="182"/>
      <c r="X57" s="182"/>
      <c r="Y57" s="182"/>
      <c r="Z57" s="182"/>
      <c r="AA57" s="182"/>
      <c r="AB57" s="182"/>
      <c r="AC57" s="182"/>
      <c r="AD57" s="182"/>
    </row>
    <row r="58" spans="1:30" x14ac:dyDescent="0.25">
      <c r="A58" s="338"/>
      <c r="B58" s="537"/>
      <c r="C58" s="566"/>
      <c r="D58" s="590"/>
      <c r="E58" s="590"/>
      <c r="F58" s="590"/>
      <c r="G58" s="590"/>
      <c r="H58" s="590"/>
      <c r="I58" s="127"/>
      <c r="J58" s="127"/>
      <c r="K58" s="127"/>
      <c r="L58" s="182"/>
      <c r="M58" s="182"/>
      <c r="N58" s="182"/>
      <c r="O58" s="182"/>
      <c r="P58" s="182"/>
      <c r="Q58" s="182"/>
      <c r="R58" s="338"/>
      <c r="S58" s="537"/>
      <c r="T58" s="41"/>
      <c r="U58" s="182"/>
      <c r="V58" s="182"/>
      <c r="W58" s="182"/>
      <c r="X58" s="182"/>
      <c r="Y58" s="182"/>
      <c r="Z58" s="182"/>
      <c r="AA58" s="182"/>
      <c r="AB58" s="182"/>
      <c r="AC58" s="182"/>
      <c r="AD58" s="182"/>
    </row>
    <row r="59" spans="1:30" x14ac:dyDescent="0.25">
      <c r="A59" s="338"/>
      <c r="B59" s="537"/>
      <c r="C59" s="566"/>
      <c r="D59" s="590"/>
      <c r="E59" s="590"/>
      <c r="F59" s="590"/>
      <c r="G59" s="590"/>
      <c r="H59" s="590"/>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x14ac:dyDescent="0.25">
      <c r="A60" s="338"/>
      <c r="B60" s="537"/>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537"/>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537"/>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sheetData>
  <mergeCells count="2">
    <mergeCell ref="D2:H2"/>
    <mergeCell ref="O2:Q6"/>
  </mergeCells>
  <phoneticPr fontId="19" type="noConversion"/>
  <conditionalFormatting sqref="A8:A44">
    <cfRule type="cellIs" dxfId="1457" priority="3724" operator="greaterThan">
      <formula>0</formula>
    </cfRule>
  </conditionalFormatting>
  <conditionalFormatting sqref="C9:C44">
    <cfRule type="expression" dxfId="1456" priority="3764" stopIfTrue="1">
      <formula>$M9=""</formula>
    </cfRule>
    <cfRule type="expression" dxfId="1455" priority="3765" stopIfTrue="1">
      <formula>$M9="A+"</formula>
    </cfRule>
  </conditionalFormatting>
  <conditionalFormatting sqref="D9:H44">
    <cfRule type="cellIs" dxfId="1454" priority="16" operator="between">
      <formula>0.1</formula>
      <formula>1.5</formula>
    </cfRule>
    <cfRule type="cellIs" dxfId="1453" priority="17" operator="equal">
      <formula>""</formula>
    </cfRule>
    <cfRule type="cellIs" dxfId="1452" priority="14" operator="between">
      <formula>2.6</formula>
      <formula>2.9</formula>
    </cfRule>
    <cfRule type="cellIs" dxfId="1451" priority="12" operator="between">
      <formula>4</formula>
      <formula>5</formula>
    </cfRule>
    <cfRule type="cellIs" dxfId="1450" priority="13" operator="between">
      <formula>3</formula>
      <formula>3.9</formula>
    </cfRule>
    <cfRule type="cellIs" dxfId="1449" priority="15" operator="between">
      <formula>1.6</formula>
      <formula>2.5</formula>
    </cfRule>
  </conditionalFormatting>
  <conditionalFormatting sqref="D45:H45">
    <cfRule type="cellIs" dxfId="1448" priority="11" operator="between">
      <formula>1.6</formula>
      <formula>2.599</formula>
    </cfRule>
  </conditionalFormatting>
  <conditionalFormatting sqref="D46:H46">
    <cfRule type="cellIs" dxfId="1447" priority="8" operator="between">
      <formula>"C-4"</formula>
      <formula>"D-4"</formula>
    </cfRule>
  </conditionalFormatting>
  <conditionalFormatting sqref="D45:L45 L9:L44">
    <cfRule type="cellIs" dxfId="1446" priority="25" stopIfTrue="1" operator="between">
      <formula>0.001</formula>
      <formula>1.599</formula>
    </cfRule>
  </conditionalFormatting>
  <conditionalFormatting sqref="L9:L44 D45:L45">
    <cfRule type="cellIs" dxfId="1445" priority="26" stopIfTrue="1" operator="between">
      <formula>3</formula>
      <formula>3.999</formula>
    </cfRule>
    <cfRule type="cellIs" dxfId="1444" priority="27" stopIfTrue="1" operator="between">
      <formula>4</formula>
      <formula>5</formula>
    </cfRule>
  </conditionalFormatting>
  <conditionalFormatting sqref="L9:L45">
    <cfRule type="cellIs" dxfId="1443" priority="9" operator="between">
      <formula>1.6</formula>
      <formula>2.599</formula>
    </cfRule>
  </conditionalFormatting>
  <conditionalFormatting sqref="L46">
    <cfRule type="cellIs" dxfId="1442" priority="7" operator="between">
      <formula>"C-4"</formula>
      <formula>"D-4"</formula>
    </cfRule>
    <cfRule type="cellIs" dxfId="1441" priority="18" operator="equal">
      <formula>"E-5-"</formula>
    </cfRule>
    <cfRule type="cellIs" dxfId="1440" priority="19" operator="equal">
      <formula>"A-1+"</formula>
    </cfRule>
  </conditionalFormatting>
  <conditionalFormatting sqref="M9:M44 D46:H46">
    <cfRule type="cellIs" dxfId="1439" priority="20" operator="equal">
      <formula>"E-5-"</formula>
    </cfRule>
    <cfRule type="cellIs" dxfId="1438" priority="21" operator="equal">
      <formula>"A-1+"</formula>
    </cfRule>
  </conditionalFormatting>
  <conditionalFormatting sqref="M9:M44 D46:L46">
    <cfRule type="cellIs" dxfId="1437" priority="22" stopIfTrue="1" operator="between">
      <formula>"D-5"</formula>
      <formula>"E-5"</formula>
    </cfRule>
    <cfRule type="cellIs" dxfId="1436" priority="23" stopIfTrue="1" operator="between">
      <formula>"B-2"</formula>
      <formula>"B-3"</formula>
    </cfRule>
    <cfRule type="cellIs" dxfId="1435" priority="24" stopIfTrue="1" operator="between">
      <formula>"A-1"</formula>
      <formula>"A-2"</formula>
    </cfRule>
  </conditionalFormatting>
  <conditionalFormatting sqref="M9:M44">
    <cfRule type="cellIs" dxfId="1434" priority="6" operator="between">
      <formula>"C-4"</formula>
      <formula>"D-4"</formula>
    </cfRule>
  </conditionalFormatting>
  <conditionalFormatting sqref="O9:Q44">
    <cfRule type="cellIs" dxfId="1433" priority="3" operator="equal">
      <formula>"&lt;1F"</formula>
    </cfRule>
    <cfRule type="cellIs" dxfId="1432" priority="4" operator="equal">
      <formula>"1F"</formula>
    </cfRule>
    <cfRule type="expression" dxfId="1431" priority="5" stopIfTrue="1">
      <formula>$K$3="ja"</formula>
    </cfRule>
    <cfRule type="cellIs" dxfId="1430" priority="1" operator="equal">
      <formula>"2F"</formula>
    </cfRule>
  </conditionalFormatting>
  <conditionalFormatting sqref="Q9:Q44">
    <cfRule type="cellIs" dxfId="1429" priority="2" operator="equal">
      <formula>"1S"</formula>
    </cfRule>
  </conditionalFormatting>
  <conditionalFormatting sqref="R8:R44">
    <cfRule type="cellIs" dxfId="1428" priority="2289" operator="greaterThan">
      <formula>0</formula>
    </cfRule>
  </conditionalFormatting>
  <conditionalFormatting sqref="T9:T44">
    <cfRule type="expression" dxfId="1427" priority="2290" stopIfTrue="1">
      <formula>$M9=""</formula>
    </cfRule>
    <cfRule type="expression" dxfId="1426" priority="2291" stopIfTrue="1">
      <formula>$M9="A+"</formula>
    </cfRule>
  </conditionalFormatting>
  <conditionalFormatting sqref="U9:U44">
    <cfRule type="expression" dxfId="1425" priority="1863">
      <formula>$U9=""</formula>
    </cfRule>
    <cfRule type="expression" dxfId="1424" priority="1864">
      <formula>$U9&lt;=$U$4</formula>
    </cfRule>
    <cfRule type="expression" dxfId="1423" priority="1865">
      <formula>$U9&gt;=$U$3</formula>
    </cfRule>
  </conditionalFormatting>
  <conditionalFormatting sqref="V9:V44">
    <cfRule type="expression" dxfId="1422" priority="1862">
      <formula>$V9&gt;=$V$3</formula>
    </cfRule>
    <cfRule type="expression" dxfId="1421" priority="1860">
      <formula>$V9=""</formula>
    </cfRule>
    <cfRule type="expression" dxfId="1420" priority="1861">
      <formula>$V9&lt;=$V$4</formula>
    </cfRule>
  </conditionalFormatting>
  <conditionalFormatting sqref="W9:W44">
    <cfRule type="expression" dxfId="1419" priority="1857">
      <formula>$W9=""</formula>
    </cfRule>
    <cfRule type="expression" dxfId="1418" priority="1858">
      <formula>$W9&lt;=$W$4</formula>
    </cfRule>
    <cfRule type="expression" dxfId="1417" priority="1859">
      <formula>$W9&gt;=$W$3</formula>
    </cfRule>
  </conditionalFormatting>
  <conditionalFormatting sqref="X9:X44">
    <cfRule type="expression" dxfId="1416" priority="1854">
      <formula>$X9=""</formula>
    </cfRule>
    <cfRule type="expression" dxfId="1415" priority="1855">
      <formula>$X9&lt;=$X$4</formula>
    </cfRule>
    <cfRule type="expression" dxfId="1414" priority="1856">
      <formula>$X9&gt;=$X$3</formula>
    </cfRule>
  </conditionalFormatting>
  <conditionalFormatting sqref="Y9:Y44">
    <cfRule type="expression" dxfId="1413" priority="1851">
      <formula>$Y9=""</formula>
    </cfRule>
    <cfRule type="expression" dxfId="1412" priority="1852">
      <formula>$Y9&lt;=$Y$4</formula>
    </cfRule>
    <cfRule type="expression" dxfId="1411" priority="1853">
      <formula>$Y9&gt;=$Y$3</formula>
    </cfRule>
  </conditionalFormatting>
  <conditionalFormatting sqref="AC9:AC44">
    <cfRule type="cellIs" dxfId="1410" priority="2285" stopIfTrue="1" operator="between">
      <formula>0.001</formula>
      <formula>1.999</formula>
    </cfRule>
    <cfRule type="cellIs" dxfId="1409" priority="2286" stopIfTrue="1" operator="between">
      <formula>3</formula>
      <formula>3.999</formula>
    </cfRule>
    <cfRule type="cellIs" dxfId="1408" priority="2287" stopIfTrue="1" operator="between">
      <formula>4</formula>
      <formula>5</formula>
    </cfRule>
  </conditionalFormatting>
  <conditionalFormatting sqref="AD9:AD44">
    <cfRule type="cellIs" dxfId="1407" priority="1849" operator="lessThan">
      <formula>0.9</formula>
    </cfRule>
    <cfRule type="cellIs" dxfId="1406" priority="1850" operator="greaterThanOrEqual">
      <formula>1.1</formula>
    </cfRule>
    <cfRule type="cellIs" dxfId="1405" priority="1847" operator="equal">
      <formula>""</formula>
    </cfRule>
  </conditionalFormatting>
  <pageMargins left="0.54" right="0.26" top="0.49" bottom="0.43" header="0.24" footer="0.24"/>
  <pageSetup paperSize="9" scale="81" orientation="portrait" horizontalDpi="4294967293" r:id="rId1"/>
  <headerFooter alignWithMargins="0">
    <oddHeader>&amp;C&amp;"Comic Sans MS,Standaard"&amp;16Leerrendement</oddHeader>
    <oddFooter>&amp;R© www.meesterharrie.nl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8">
    <tabColor rgb="FFCCFFFF"/>
    <pageSetUpPr fitToPage="1"/>
  </sheetPr>
  <dimension ref="A1:AD65"/>
  <sheetViews>
    <sheetView showGridLines="0" showRowColHeaders="0" tabSelected="1" zoomScale="80" zoomScaleNormal="80" workbookViewId="0"/>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customHeight="1" thickBot="1" x14ac:dyDescent="0.3">
      <c r="A2" s="338"/>
      <c r="B2" s="537"/>
      <c r="C2" s="349" t="s">
        <v>57</v>
      </c>
      <c r="D2" s="944" t="str">
        <f>BEGINBLAD!$I$2</f>
        <v>groep 6</v>
      </c>
      <c r="E2" s="945"/>
      <c r="F2" s="945"/>
      <c r="G2" s="945"/>
      <c r="H2" s="946"/>
      <c r="I2" s="182"/>
      <c r="J2" s="182"/>
      <c r="K2" s="182"/>
      <c r="L2" s="182"/>
      <c r="M2" s="182"/>
      <c r="N2" s="182"/>
      <c r="O2" s="947" t="s">
        <v>576</v>
      </c>
      <c r="P2" s="948"/>
      <c r="Q2" s="949"/>
      <c r="R2" s="338"/>
      <c r="S2" s="537"/>
      <c r="T2" s="348" t="s">
        <v>58</v>
      </c>
      <c r="U2" s="354"/>
      <c r="V2" s="354"/>
      <c r="W2" s="354"/>
      <c r="X2" s="354"/>
      <c r="Y2" s="354"/>
      <c r="Z2" s="182"/>
      <c r="AA2" s="182"/>
      <c r="AB2" s="350" t="e">
        <f>AVERAGE(U2:AA2)</f>
        <v>#DIV/0!</v>
      </c>
      <c r="AC2" s="182"/>
      <c r="AD2" s="182"/>
    </row>
    <row r="3" spans="1:30" ht="21.5" hidden="1" customHeight="1" x14ac:dyDescent="0.25">
      <c r="A3" s="338"/>
      <c r="B3" s="537"/>
      <c r="C3" s="7"/>
      <c r="D3" s="347"/>
      <c r="E3" s="347"/>
      <c r="F3" s="347"/>
      <c r="G3" s="347"/>
      <c r="H3" s="347"/>
      <c r="I3" s="182"/>
      <c r="J3" s="182"/>
      <c r="K3" s="182"/>
      <c r="L3" s="182"/>
      <c r="M3" s="182"/>
      <c r="N3" s="182"/>
      <c r="O3" s="950"/>
      <c r="P3" s="951"/>
      <c r="Q3" s="952"/>
      <c r="R3" s="338"/>
      <c r="S3" s="537"/>
      <c r="T3" s="343"/>
      <c r="U3" s="347">
        <f>U2+5</f>
        <v>5</v>
      </c>
      <c r="V3" s="347">
        <f t="shared" ref="V3:Y3" si="0">V2+5</f>
        <v>5</v>
      </c>
      <c r="W3" s="347">
        <f t="shared" si="0"/>
        <v>5</v>
      </c>
      <c r="X3" s="347">
        <f t="shared" si="0"/>
        <v>5</v>
      </c>
      <c r="Y3" s="347">
        <f t="shared" si="0"/>
        <v>5</v>
      </c>
      <c r="Z3" s="182"/>
      <c r="AA3" s="182"/>
      <c r="AB3" s="182"/>
      <c r="AC3" s="182"/>
      <c r="AD3" s="182"/>
    </row>
    <row r="4" spans="1:30" ht="21.5" hidden="1" customHeight="1" x14ac:dyDescent="0.25">
      <c r="A4" s="338"/>
      <c r="B4" s="537"/>
      <c r="C4" s="7"/>
      <c r="D4" s="347"/>
      <c r="E4" s="347"/>
      <c r="F4" s="347"/>
      <c r="G4" s="347"/>
      <c r="H4" s="347"/>
      <c r="I4" s="182"/>
      <c r="J4" s="182"/>
      <c r="K4" s="182"/>
      <c r="L4" s="182"/>
      <c r="M4" s="182"/>
      <c r="N4" s="182"/>
      <c r="O4" s="950"/>
      <c r="P4" s="951"/>
      <c r="Q4" s="952"/>
      <c r="R4" s="338"/>
      <c r="S4" s="537"/>
      <c r="T4" s="343"/>
      <c r="U4" s="347">
        <f>U2-5</f>
        <v>-5</v>
      </c>
      <c r="V4" s="347">
        <f t="shared" ref="V4:Y4" si="1">V2-5</f>
        <v>-5</v>
      </c>
      <c r="W4" s="347">
        <f t="shared" si="1"/>
        <v>-5</v>
      </c>
      <c r="X4" s="347">
        <f t="shared" si="1"/>
        <v>-5</v>
      </c>
      <c r="Y4" s="347">
        <f t="shared" si="1"/>
        <v>-5</v>
      </c>
      <c r="Z4" s="182"/>
      <c r="AA4" s="182"/>
      <c r="AB4" s="182"/>
      <c r="AC4" s="182"/>
      <c r="AD4" s="182"/>
    </row>
    <row r="5" spans="1:30" ht="12.5" customHeight="1" x14ac:dyDescent="0.25">
      <c r="A5" s="338"/>
      <c r="B5" s="537"/>
      <c r="C5" s="41" t="s">
        <v>59</v>
      </c>
      <c r="D5" s="182"/>
      <c r="E5" s="182"/>
      <c r="F5" s="182"/>
      <c r="G5" s="182"/>
      <c r="H5" s="182"/>
      <c r="I5" s="182"/>
      <c r="J5" s="182"/>
      <c r="K5" s="182"/>
      <c r="L5" s="182"/>
      <c r="M5" s="182"/>
      <c r="N5" s="182"/>
      <c r="O5" s="950"/>
      <c r="P5" s="951"/>
      <c r="Q5" s="952"/>
      <c r="R5" s="338"/>
      <c r="S5" s="537"/>
      <c r="T5" s="41" t="s">
        <v>60</v>
      </c>
      <c r="U5" s="182"/>
      <c r="V5" s="182"/>
      <c r="W5" s="182"/>
      <c r="X5" s="182"/>
      <c r="Y5" s="182"/>
      <c r="Z5" s="182"/>
      <c r="AA5" s="182"/>
      <c r="AB5" s="182"/>
      <c r="AC5" s="182"/>
      <c r="AD5" s="182"/>
    </row>
    <row r="6" spans="1:30" ht="60" customHeight="1" thickBot="1" x14ac:dyDescent="0.4">
      <c r="A6" s="338"/>
      <c r="B6" s="537"/>
      <c r="C6" s="13" t="s">
        <v>61</v>
      </c>
      <c r="D6" s="136"/>
      <c r="E6" s="136"/>
      <c r="F6" s="136"/>
      <c r="G6" s="136"/>
      <c r="H6" s="136"/>
      <c r="I6" s="182"/>
      <c r="J6" s="182"/>
      <c r="K6" s="182"/>
      <c r="L6" s="182"/>
      <c r="M6" s="182"/>
      <c r="N6" s="182"/>
      <c r="O6" s="953"/>
      <c r="P6" s="954"/>
      <c r="Q6" s="955"/>
      <c r="R6" s="338"/>
      <c r="S6" s="537"/>
      <c r="T6" s="13" t="s">
        <v>61</v>
      </c>
      <c r="U6" s="136"/>
      <c r="V6" s="136"/>
      <c r="W6" s="136"/>
      <c r="X6" s="136"/>
      <c r="Y6" s="136"/>
      <c r="Z6" s="182"/>
      <c r="AA6" s="182"/>
      <c r="AB6" s="182"/>
      <c r="AC6" s="182"/>
      <c r="AD6" s="182"/>
    </row>
    <row r="7" spans="1:30" ht="5.15" customHeight="1" x14ac:dyDescent="0.25">
      <c r="A7" s="338"/>
      <c r="B7" s="537"/>
      <c r="C7" s="6"/>
      <c r="D7" s="182"/>
      <c r="E7" s="182"/>
      <c r="F7" s="182"/>
      <c r="G7" s="182"/>
      <c r="H7" s="182"/>
      <c r="I7" s="182"/>
      <c r="J7" s="182"/>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62</v>
      </c>
      <c r="B8" s="538"/>
      <c r="C8" s="539" t="s">
        <v>63</v>
      </c>
      <c r="D8" s="137" t="s">
        <v>64</v>
      </c>
      <c r="E8" s="137" t="s">
        <v>65</v>
      </c>
      <c r="F8" s="137" t="s">
        <v>66</v>
      </c>
      <c r="G8" s="137" t="s">
        <v>67</v>
      </c>
      <c r="H8" s="137" t="s">
        <v>68</v>
      </c>
      <c r="I8" s="137" t="s">
        <v>69</v>
      </c>
      <c r="J8" s="137" t="s">
        <v>70</v>
      </c>
      <c r="K8" s="540"/>
      <c r="L8" s="31" t="s">
        <v>71</v>
      </c>
      <c r="M8" s="31" t="s">
        <v>72</v>
      </c>
      <c r="N8" s="14"/>
      <c r="O8" s="31" t="s">
        <v>575</v>
      </c>
      <c r="P8" s="31" t="s">
        <v>73</v>
      </c>
      <c r="Q8" s="31" t="s">
        <v>74</v>
      </c>
      <c r="R8" s="16" t="s">
        <v>62</v>
      </c>
      <c r="S8" s="538"/>
      <c r="T8" s="539" t="s">
        <v>63</v>
      </c>
      <c r="U8" s="137" t="s">
        <v>64</v>
      </c>
      <c r="V8" s="137" t="s">
        <v>65</v>
      </c>
      <c r="W8" s="137" t="s">
        <v>66</v>
      </c>
      <c r="X8" s="137" t="s">
        <v>67</v>
      </c>
      <c r="Y8" s="137" t="s">
        <v>68</v>
      </c>
      <c r="Z8" s="137" t="s">
        <v>69</v>
      </c>
      <c r="AA8" s="137" t="s">
        <v>70</v>
      </c>
      <c r="AB8" s="540"/>
      <c r="AC8" s="31" t="s">
        <v>71</v>
      </c>
      <c r="AD8" s="31" t="s">
        <v>75</v>
      </c>
    </row>
    <row r="9" spans="1:30" ht="19.5" customHeight="1" x14ac:dyDescent="0.25">
      <c r="A9" s="15">
        <f>BEGINBLAD!D4</f>
        <v>6</v>
      </c>
      <c r="B9" s="30">
        <v>1</v>
      </c>
      <c r="C9" s="541" t="str">
        <f>BEGINBLAD!C4</f>
        <v>leerling 1</v>
      </c>
      <c r="D9" s="918">
        <v>3.8</v>
      </c>
      <c r="E9" s="918">
        <v>3.9</v>
      </c>
      <c r="F9" s="918">
        <v>4.3</v>
      </c>
      <c r="G9" s="918">
        <v>4.5999999999999996</v>
      </c>
      <c r="H9" s="918">
        <v>4.4000000000000004</v>
      </c>
      <c r="I9" s="30">
        <f t="shared" ref="I9:I44" si="2">SUM(D9:H9)</f>
        <v>21</v>
      </c>
      <c r="J9" s="30">
        <f t="shared" ref="J9:J44" si="3">COUNTA(D9:H9)</f>
        <v>5</v>
      </c>
      <c r="K9" s="9"/>
      <c r="L9" s="32">
        <f t="shared" ref="L9:L44" si="4">IF(J9=0,"",IF(J9&gt;0,I9/J9))</f>
        <v>4.2</v>
      </c>
      <c r="M9" s="32" t="str">
        <f>IF(L9="","",IF(L9&gt;4.5,"A-1+",IF(L9&gt;4.2,"A-1",IF(L9&gt;=4,"A-2",IF(L9&gt;3.3,"B-2",IF(L9&gt;=3,"B-3",IF(L9&gt;2.4,"C-3",IF(L9&gt;=2,"C-4",IF(L9&gt;1.5,"D-4",IF(L9&gt;=1,"D-5",IF(L9&gt;0.5,"E-5",IF(L9&gt;=0,"E-5-"))))))))))))</f>
        <v>A-2</v>
      </c>
      <c r="N9" s="12"/>
      <c r="O9" s="925" t="str">
        <f>IF(A9&lt;6,"",IF(F9="","",IF(F9&lt;0.9,"&lt;1F",IF(F9&gt;=2.7,"2F",IF(F9&gt;=0.9,"1F")))))</f>
        <v>2F</v>
      </c>
      <c r="P9" s="925" t="str">
        <f>IF(A9&lt;6,"",IF(E9="","",IF(E9&lt;0.6,"&lt;1F",IF(E9&gt;=3,"2F",IF(E9&gt;=0.6,"1F")))))</f>
        <v>2F</v>
      </c>
      <c r="Q9" s="925" t="str">
        <f>IF(A9&lt;6,"",IF(G9="","",IF(G9&lt;1.3,"&lt;1F",IF(G9&gt;=3.2,"1S",IF(G9&gt;=1.3,"1F")))))</f>
        <v>1S</v>
      </c>
      <c r="R9" s="15">
        <f>BEGINBLAD!D4</f>
        <v>6</v>
      </c>
      <c r="S9" s="30">
        <v>1</v>
      </c>
      <c r="T9" s="541" t="str">
        <f>BEGINBLAD!C4</f>
        <v>leerling 1</v>
      </c>
      <c r="U9" s="344"/>
      <c r="V9" s="344"/>
      <c r="W9" s="344"/>
      <c r="X9" s="344"/>
      <c r="Y9" s="344"/>
      <c r="Z9" s="30">
        <f t="shared" ref="Z9:Z44" si="5">SUM(U9:Y9)</f>
        <v>0</v>
      </c>
      <c r="AA9" s="30">
        <f t="shared" ref="AA9:AA44" si="6">COUNTA(U9:Y9)</f>
        <v>0</v>
      </c>
      <c r="AB9" s="9"/>
      <c r="AC9" s="353" t="str">
        <f t="shared" ref="AC9:AC44" si="7">IF(AA9=0,"",IF(AA9&gt;0,Z9/AA9))</f>
        <v/>
      </c>
      <c r="AD9" s="352" t="str">
        <f>IF(AA9=0,"",IF(AA9&gt;0,AC9/AB$2))</f>
        <v/>
      </c>
    </row>
    <row r="10" spans="1:30" ht="19.5" customHeight="1" x14ac:dyDescent="0.25">
      <c r="A10" s="15">
        <f>BEGINBLAD!D5</f>
        <v>6</v>
      </c>
      <c r="B10" s="30">
        <v>2</v>
      </c>
      <c r="C10" s="541" t="str">
        <f>BEGINBLAD!C5</f>
        <v>leerling 2</v>
      </c>
      <c r="D10" s="918">
        <v>4.5999999999999996</v>
      </c>
      <c r="E10" s="918">
        <v>4.5999999999999996</v>
      </c>
      <c r="F10" s="918">
        <v>4</v>
      </c>
      <c r="G10" s="918">
        <v>4.2</v>
      </c>
      <c r="H10" s="918">
        <v>4.7</v>
      </c>
      <c r="I10" s="30">
        <f t="shared" si="2"/>
        <v>22.099999999999998</v>
      </c>
      <c r="J10" s="30">
        <f t="shared" si="3"/>
        <v>5</v>
      </c>
      <c r="K10" s="9"/>
      <c r="L10" s="32">
        <f t="shared" si="4"/>
        <v>4.42</v>
      </c>
      <c r="M10" s="32" t="str">
        <f t="shared" ref="M10:M44" si="8">IF(L10="","",IF(L10&gt;4.5,"A-1+",IF(L10&gt;4.2,"A-1",IF(L10&gt;=4,"A-2",IF(L10&gt;3.3,"B-2",IF(L10&gt;=3,"B-3",IF(L10&gt;2.4,"C-3",IF(L10&gt;=2,"C-4",IF(L10&gt;1.5,"D-4",IF(L10&gt;=1,"D-5",IF(L10&gt;0.5,"E-5",IF(L10&gt;=0,"E-5-"))))))))))))</f>
        <v>A-1</v>
      </c>
      <c r="N10" s="12"/>
      <c r="O10" s="925" t="str">
        <f t="shared" ref="O10:O44" si="9">IF(A10&lt;6,"",IF(F10="","",IF(F10&lt;0.9,"&lt;1F",IF(F10&gt;=2.7,"2F",IF(F10&gt;=0.9,"1F")))))</f>
        <v>2F</v>
      </c>
      <c r="P10" s="925" t="str">
        <f t="shared" ref="P10:P44" si="10">IF(A10&lt;6,"",IF(E10="","",IF(E10&lt;0.6,"&lt;1F",IF(E10&gt;=3,"2F",IF(E10&gt;=0.6,"1F")))))</f>
        <v>2F</v>
      </c>
      <c r="Q10" s="925" t="str">
        <f t="shared" ref="Q10:Q44" si="11">IF(A10&lt;6,"",IF(G10="","",IF(G10&lt;1.3,"&lt;1F",IF(G10&gt;=3.2,"1S",IF(G10&gt;=1.3,"1F")))))</f>
        <v>1S</v>
      </c>
      <c r="R10" s="15">
        <f>BEGINBLAD!D5</f>
        <v>6</v>
      </c>
      <c r="S10" s="30">
        <v>2</v>
      </c>
      <c r="T10" s="541" t="str">
        <f>BEGINBLAD!C5</f>
        <v>leerling 2</v>
      </c>
      <c r="U10" s="344"/>
      <c r="V10" s="344"/>
      <c r="W10" s="344"/>
      <c r="X10" s="344"/>
      <c r="Y10" s="344"/>
      <c r="Z10" s="30">
        <f t="shared" si="5"/>
        <v>0</v>
      </c>
      <c r="AA10" s="30">
        <f t="shared" si="6"/>
        <v>0</v>
      </c>
      <c r="AB10" s="9"/>
      <c r="AC10" s="353" t="str">
        <f t="shared" si="7"/>
        <v/>
      </c>
      <c r="AD10" s="352" t="str">
        <f t="shared" ref="AD10:AD44" si="12">IF(AA10=0,"",IF(AA10&gt;0,AC10/AB$2))</f>
        <v/>
      </c>
    </row>
    <row r="11" spans="1:30" ht="19.5" customHeight="1" x14ac:dyDescent="0.25">
      <c r="A11" s="15">
        <f>BEGINBLAD!D6</f>
        <v>6</v>
      </c>
      <c r="B11" s="30">
        <v>3</v>
      </c>
      <c r="C11" s="541" t="str">
        <f>BEGINBLAD!C6</f>
        <v>leerling 3</v>
      </c>
      <c r="D11" s="918">
        <v>3.5</v>
      </c>
      <c r="E11" s="918">
        <v>4.5999999999999996</v>
      </c>
      <c r="F11" s="918">
        <v>3.7</v>
      </c>
      <c r="G11" s="918">
        <v>4.9000000000000004</v>
      </c>
      <c r="H11" s="918">
        <v>4.5999999999999996</v>
      </c>
      <c r="I11" s="30">
        <f t="shared" si="2"/>
        <v>21.300000000000004</v>
      </c>
      <c r="J11" s="30">
        <f t="shared" si="3"/>
        <v>5</v>
      </c>
      <c r="K11" s="9"/>
      <c r="L11" s="32">
        <f t="shared" si="4"/>
        <v>4.2600000000000007</v>
      </c>
      <c r="M11" s="32" t="str">
        <f t="shared" si="8"/>
        <v>A-1</v>
      </c>
      <c r="N11" s="12"/>
      <c r="O11" s="925" t="str">
        <f t="shared" si="9"/>
        <v>2F</v>
      </c>
      <c r="P11" s="925" t="str">
        <f t="shared" si="10"/>
        <v>2F</v>
      </c>
      <c r="Q11" s="925" t="str">
        <f t="shared" si="11"/>
        <v>1S</v>
      </c>
      <c r="R11" s="15">
        <f>BEGINBLAD!D6</f>
        <v>6</v>
      </c>
      <c r="S11" s="30">
        <v>3</v>
      </c>
      <c r="T11" s="541" t="str">
        <f>BEGINBLAD!C6</f>
        <v>leerling 3</v>
      </c>
      <c r="U11" s="344"/>
      <c r="V11" s="344"/>
      <c r="W11" s="344"/>
      <c r="X11" s="344"/>
      <c r="Y11" s="344"/>
      <c r="Z11" s="30">
        <f t="shared" si="5"/>
        <v>0</v>
      </c>
      <c r="AA11" s="30">
        <f t="shared" si="6"/>
        <v>0</v>
      </c>
      <c r="AB11" s="9"/>
      <c r="AC11" s="353" t="str">
        <f t="shared" si="7"/>
        <v/>
      </c>
      <c r="AD11" s="352" t="str">
        <f t="shared" si="12"/>
        <v/>
      </c>
    </row>
    <row r="12" spans="1:30" ht="19.5" customHeight="1" x14ac:dyDescent="0.25">
      <c r="A12" s="15">
        <f>BEGINBLAD!D7</f>
        <v>6</v>
      </c>
      <c r="B12" s="30">
        <v>4</v>
      </c>
      <c r="C12" s="541" t="str">
        <f>BEGINBLAD!C7</f>
        <v>leerling 4</v>
      </c>
      <c r="D12" s="918">
        <v>4</v>
      </c>
      <c r="E12" s="918">
        <v>3.6</v>
      </c>
      <c r="F12" s="918">
        <v>4.3</v>
      </c>
      <c r="G12" s="918">
        <v>4.8</v>
      </c>
      <c r="H12" s="918">
        <v>4.5999999999999996</v>
      </c>
      <c r="I12" s="30">
        <f t="shared" si="2"/>
        <v>21.299999999999997</v>
      </c>
      <c r="J12" s="30">
        <f t="shared" si="3"/>
        <v>5</v>
      </c>
      <c r="K12" s="9"/>
      <c r="L12" s="32">
        <f t="shared" si="4"/>
        <v>4.26</v>
      </c>
      <c r="M12" s="32" t="str">
        <f t="shared" si="8"/>
        <v>A-1</v>
      </c>
      <c r="N12" s="12"/>
      <c r="O12" s="925" t="str">
        <f t="shared" si="9"/>
        <v>2F</v>
      </c>
      <c r="P12" s="925" t="str">
        <f t="shared" si="10"/>
        <v>2F</v>
      </c>
      <c r="Q12" s="925" t="str">
        <f t="shared" si="11"/>
        <v>1S</v>
      </c>
      <c r="R12" s="15">
        <f>BEGINBLAD!D7</f>
        <v>6</v>
      </c>
      <c r="S12" s="30">
        <v>4</v>
      </c>
      <c r="T12" s="541" t="str">
        <f>BEGINBLAD!C7</f>
        <v>leerling 4</v>
      </c>
      <c r="U12" s="344"/>
      <c r="V12" s="344"/>
      <c r="W12" s="344"/>
      <c r="X12" s="344"/>
      <c r="Y12" s="344"/>
      <c r="Z12" s="30">
        <f t="shared" si="5"/>
        <v>0</v>
      </c>
      <c r="AA12" s="30">
        <f t="shared" si="6"/>
        <v>0</v>
      </c>
      <c r="AB12" s="9"/>
      <c r="AC12" s="353" t="str">
        <f t="shared" si="7"/>
        <v/>
      </c>
      <c r="AD12" s="352" t="str">
        <f t="shared" si="12"/>
        <v/>
      </c>
    </row>
    <row r="13" spans="1:30" ht="19.5" customHeight="1" x14ac:dyDescent="0.25">
      <c r="A13" s="15">
        <f>BEGINBLAD!D8</f>
        <v>6</v>
      </c>
      <c r="B13" s="30">
        <v>5</v>
      </c>
      <c r="C13" s="541" t="str">
        <f>BEGINBLAD!C8</f>
        <v>leerling 5</v>
      </c>
      <c r="D13" s="918">
        <v>4</v>
      </c>
      <c r="E13" s="918">
        <v>3.9</v>
      </c>
      <c r="F13" s="918">
        <v>4.7</v>
      </c>
      <c r="G13" s="918">
        <v>4.9000000000000004</v>
      </c>
      <c r="H13" s="918">
        <v>3</v>
      </c>
      <c r="I13" s="30">
        <f t="shared" si="2"/>
        <v>20.5</v>
      </c>
      <c r="J13" s="30">
        <f t="shared" si="3"/>
        <v>5</v>
      </c>
      <c r="K13" s="9"/>
      <c r="L13" s="32">
        <f t="shared" si="4"/>
        <v>4.0999999999999996</v>
      </c>
      <c r="M13" s="32" t="str">
        <f t="shared" si="8"/>
        <v>A-2</v>
      </c>
      <c r="N13" s="12"/>
      <c r="O13" s="925" t="str">
        <f t="shared" si="9"/>
        <v>2F</v>
      </c>
      <c r="P13" s="925" t="str">
        <f t="shared" si="10"/>
        <v>2F</v>
      </c>
      <c r="Q13" s="925" t="str">
        <f t="shared" si="11"/>
        <v>1S</v>
      </c>
      <c r="R13" s="15">
        <f>BEGINBLAD!D8</f>
        <v>6</v>
      </c>
      <c r="S13" s="30">
        <v>5</v>
      </c>
      <c r="T13" s="541" t="str">
        <f>BEGINBLAD!C8</f>
        <v>leerling 5</v>
      </c>
      <c r="U13" s="344"/>
      <c r="V13" s="344"/>
      <c r="W13" s="344"/>
      <c r="X13" s="344"/>
      <c r="Y13" s="344"/>
      <c r="Z13" s="30">
        <f t="shared" si="5"/>
        <v>0</v>
      </c>
      <c r="AA13" s="30">
        <f t="shared" si="6"/>
        <v>0</v>
      </c>
      <c r="AB13" s="9"/>
      <c r="AC13" s="353" t="str">
        <f t="shared" si="7"/>
        <v/>
      </c>
      <c r="AD13" s="352" t="str">
        <f t="shared" si="12"/>
        <v/>
      </c>
    </row>
    <row r="14" spans="1:30" ht="19.5" customHeight="1" x14ac:dyDescent="0.25">
      <c r="A14" s="15">
        <f>BEGINBLAD!D9</f>
        <v>6</v>
      </c>
      <c r="B14" s="30">
        <v>6</v>
      </c>
      <c r="C14" s="541" t="str">
        <f>BEGINBLAD!C9</f>
        <v>leerling 6</v>
      </c>
      <c r="D14" s="918">
        <v>3.6</v>
      </c>
      <c r="E14" s="918">
        <v>3.9</v>
      </c>
      <c r="F14" s="918">
        <v>1.9</v>
      </c>
      <c r="G14" s="918">
        <v>3.5</v>
      </c>
      <c r="H14" s="918">
        <v>4.3</v>
      </c>
      <c r="I14" s="30">
        <f t="shared" si="2"/>
        <v>17.2</v>
      </c>
      <c r="J14" s="30">
        <f t="shared" si="3"/>
        <v>5</v>
      </c>
      <c r="K14" s="9"/>
      <c r="L14" s="32">
        <f t="shared" si="4"/>
        <v>3.44</v>
      </c>
      <c r="M14" s="32" t="str">
        <f t="shared" si="8"/>
        <v>B-2</v>
      </c>
      <c r="N14" s="12"/>
      <c r="O14" s="925" t="str">
        <f t="shared" si="9"/>
        <v>1F</v>
      </c>
      <c r="P14" s="925" t="str">
        <f t="shared" si="10"/>
        <v>2F</v>
      </c>
      <c r="Q14" s="925" t="str">
        <f t="shared" si="11"/>
        <v>1S</v>
      </c>
      <c r="R14" s="15">
        <f>BEGINBLAD!D9</f>
        <v>6</v>
      </c>
      <c r="S14" s="30">
        <v>6</v>
      </c>
      <c r="T14" s="541" t="str">
        <f>BEGINBLAD!C9</f>
        <v>leerling 6</v>
      </c>
      <c r="U14" s="344"/>
      <c r="V14" s="344"/>
      <c r="W14" s="344"/>
      <c r="X14" s="344"/>
      <c r="Y14" s="344"/>
      <c r="Z14" s="30">
        <f t="shared" si="5"/>
        <v>0</v>
      </c>
      <c r="AA14" s="30">
        <f t="shared" si="6"/>
        <v>0</v>
      </c>
      <c r="AB14" s="9"/>
      <c r="AC14" s="353" t="str">
        <f t="shared" si="7"/>
        <v/>
      </c>
      <c r="AD14" s="352" t="str">
        <f t="shared" si="12"/>
        <v/>
      </c>
    </row>
    <row r="15" spans="1:30" ht="19.5" customHeight="1" x14ac:dyDescent="0.25">
      <c r="A15" s="15">
        <f>BEGINBLAD!D10</f>
        <v>6</v>
      </c>
      <c r="B15" s="30">
        <v>7</v>
      </c>
      <c r="C15" s="541" t="str">
        <f>BEGINBLAD!C10</f>
        <v>leerling 7</v>
      </c>
      <c r="D15" s="918">
        <v>3.1</v>
      </c>
      <c r="E15" s="918">
        <v>3.6</v>
      </c>
      <c r="F15" s="918">
        <v>1.1000000000000001</v>
      </c>
      <c r="G15" s="918">
        <v>3.2</v>
      </c>
      <c r="H15" s="918">
        <v>2.8</v>
      </c>
      <c r="I15" s="30">
        <f t="shared" si="2"/>
        <v>13.8</v>
      </c>
      <c r="J15" s="30">
        <f t="shared" si="3"/>
        <v>5</v>
      </c>
      <c r="K15" s="9"/>
      <c r="L15" s="32">
        <f t="shared" si="4"/>
        <v>2.7600000000000002</v>
      </c>
      <c r="M15" s="32" t="str">
        <f t="shared" si="8"/>
        <v>C-3</v>
      </c>
      <c r="N15" s="12"/>
      <c r="O15" s="925" t="str">
        <f t="shared" si="9"/>
        <v>1F</v>
      </c>
      <c r="P15" s="925" t="str">
        <f t="shared" si="10"/>
        <v>2F</v>
      </c>
      <c r="Q15" s="925" t="str">
        <f t="shared" si="11"/>
        <v>1S</v>
      </c>
      <c r="R15" s="15">
        <f>BEGINBLAD!D10</f>
        <v>6</v>
      </c>
      <c r="S15" s="30">
        <v>7</v>
      </c>
      <c r="T15" s="541" t="str">
        <f>BEGINBLAD!C10</f>
        <v>leerling 7</v>
      </c>
      <c r="U15" s="344"/>
      <c r="V15" s="344"/>
      <c r="W15" s="344"/>
      <c r="X15" s="344"/>
      <c r="Y15" s="344"/>
      <c r="Z15" s="30">
        <f t="shared" si="5"/>
        <v>0</v>
      </c>
      <c r="AA15" s="30">
        <f t="shared" si="6"/>
        <v>0</v>
      </c>
      <c r="AB15" s="9"/>
      <c r="AC15" s="353" t="str">
        <f t="shared" si="7"/>
        <v/>
      </c>
      <c r="AD15" s="352" t="str">
        <f t="shared" si="12"/>
        <v/>
      </c>
    </row>
    <row r="16" spans="1:30" ht="19.5" customHeight="1" x14ac:dyDescent="0.25">
      <c r="A16" s="15">
        <f>BEGINBLAD!D11</f>
        <v>6</v>
      </c>
      <c r="B16" s="30">
        <v>8</v>
      </c>
      <c r="C16" s="541" t="str">
        <f>BEGINBLAD!C11</f>
        <v>leerling 8</v>
      </c>
      <c r="D16" s="918">
        <v>2.2999999999999998</v>
      </c>
      <c r="E16" s="918">
        <v>2.7</v>
      </c>
      <c r="F16" s="918">
        <v>3.4</v>
      </c>
      <c r="G16" s="918">
        <v>4.3</v>
      </c>
      <c r="H16" s="918">
        <v>3.3</v>
      </c>
      <c r="I16" s="30">
        <f t="shared" si="2"/>
        <v>16</v>
      </c>
      <c r="J16" s="30">
        <f t="shared" si="3"/>
        <v>5</v>
      </c>
      <c r="K16" s="9"/>
      <c r="L16" s="32">
        <f t="shared" si="4"/>
        <v>3.2</v>
      </c>
      <c r="M16" s="32" t="str">
        <f t="shared" si="8"/>
        <v>B-3</v>
      </c>
      <c r="N16" s="12"/>
      <c r="O16" s="925" t="str">
        <f t="shared" si="9"/>
        <v>2F</v>
      </c>
      <c r="P16" s="925" t="str">
        <f t="shared" si="10"/>
        <v>1F</v>
      </c>
      <c r="Q16" s="925" t="str">
        <f t="shared" si="11"/>
        <v>1S</v>
      </c>
      <c r="R16" s="15">
        <f>BEGINBLAD!D11</f>
        <v>6</v>
      </c>
      <c r="S16" s="30">
        <v>8</v>
      </c>
      <c r="T16" s="541" t="str">
        <f>BEGINBLAD!C11</f>
        <v>leerling 8</v>
      </c>
      <c r="U16" s="344"/>
      <c r="V16" s="344"/>
      <c r="W16" s="344"/>
      <c r="X16" s="344"/>
      <c r="Y16" s="344"/>
      <c r="Z16" s="30">
        <f t="shared" si="5"/>
        <v>0</v>
      </c>
      <c r="AA16" s="30">
        <f t="shared" si="6"/>
        <v>0</v>
      </c>
      <c r="AB16" s="9"/>
      <c r="AC16" s="353" t="str">
        <f t="shared" si="7"/>
        <v/>
      </c>
      <c r="AD16" s="352" t="str">
        <f t="shared" si="12"/>
        <v/>
      </c>
    </row>
    <row r="17" spans="1:30" ht="19.5" customHeight="1" x14ac:dyDescent="0.25">
      <c r="A17" s="15">
        <f>BEGINBLAD!D12</f>
        <v>0</v>
      </c>
      <c r="B17" s="30">
        <v>9</v>
      </c>
      <c r="C17" s="541">
        <f>BEGINBLAD!C12</f>
        <v>0</v>
      </c>
      <c r="D17" s="918"/>
      <c r="E17" s="918"/>
      <c r="F17" s="918"/>
      <c r="G17" s="919"/>
      <c r="H17" s="918"/>
      <c r="I17" s="30">
        <f t="shared" si="2"/>
        <v>0</v>
      </c>
      <c r="J17" s="30">
        <f t="shared" si="3"/>
        <v>0</v>
      </c>
      <c r="K17" s="9"/>
      <c r="L17" s="32" t="str">
        <f t="shared" si="4"/>
        <v/>
      </c>
      <c r="M17" s="32" t="str">
        <f t="shared" si="8"/>
        <v/>
      </c>
      <c r="N17" s="12"/>
      <c r="O17" s="925" t="str">
        <f t="shared" si="9"/>
        <v/>
      </c>
      <c r="P17" s="925" t="str">
        <f t="shared" si="10"/>
        <v/>
      </c>
      <c r="Q17" s="925"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18"/>
      <c r="E18" s="918"/>
      <c r="F18" s="918"/>
      <c r="G18" s="919"/>
      <c r="H18" s="918"/>
      <c r="I18" s="30">
        <f t="shared" si="2"/>
        <v>0</v>
      </c>
      <c r="J18" s="30">
        <f t="shared" si="3"/>
        <v>0</v>
      </c>
      <c r="K18" s="9"/>
      <c r="L18" s="32" t="str">
        <f t="shared" si="4"/>
        <v/>
      </c>
      <c r="M18" s="32" t="str">
        <f t="shared" si="8"/>
        <v/>
      </c>
      <c r="N18" s="12"/>
      <c r="O18" s="925" t="str">
        <f t="shared" si="9"/>
        <v/>
      </c>
      <c r="P18" s="925" t="str">
        <f t="shared" si="10"/>
        <v/>
      </c>
      <c r="Q18" s="925"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18"/>
      <c r="E19" s="918"/>
      <c r="F19" s="918"/>
      <c r="G19" s="919"/>
      <c r="H19" s="918"/>
      <c r="I19" s="30">
        <f t="shared" si="2"/>
        <v>0</v>
      </c>
      <c r="J19" s="30">
        <f t="shared" si="3"/>
        <v>0</v>
      </c>
      <c r="K19" s="9"/>
      <c r="L19" s="32" t="str">
        <f t="shared" si="4"/>
        <v/>
      </c>
      <c r="M19" s="32" t="str">
        <f t="shared" si="8"/>
        <v/>
      </c>
      <c r="N19" s="12"/>
      <c r="O19" s="925" t="str">
        <f t="shared" si="9"/>
        <v/>
      </c>
      <c r="P19" s="925" t="str">
        <f t="shared" si="10"/>
        <v/>
      </c>
      <c r="Q19" s="925"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18"/>
      <c r="E20" s="918"/>
      <c r="F20" s="918"/>
      <c r="G20" s="918"/>
      <c r="H20" s="918"/>
      <c r="I20" s="30">
        <f t="shared" si="2"/>
        <v>0</v>
      </c>
      <c r="J20" s="30">
        <f t="shared" si="3"/>
        <v>0</v>
      </c>
      <c r="K20" s="9"/>
      <c r="L20" s="32" t="str">
        <f t="shared" si="4"/>
        <v/>
      </c>
      <c r="M20" s="32" t="str">
        <f t="shared" si="8"/>
        <v/>
      </c>
      <c r="N20" s="12"/>
      <c r="O20" s="925" t="str">
        <f t="shared" si="9"/>
        <v/>
      </c>
      <c r="P20" s="925" t="str">
        <f t="shared" si="10"/>
        <v/>
      </c>
      <c r="Q20" s="925"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18"/>
      <c r="E21" s="918"/>
      <c r="F21" s="918"/>
      <c r="G21" s="919"/>
      <c r="H21" s="918"/>
      <c r="I21" s="30">
        <f t="shared" si="2"/>
        <v>0</v>
      </c>
      <c r="J21" s="30">
        <f t="shared" si="3"/>
        <v>0</v>
      </c>
      <c r="K21" s="9"/>
      <c r="L21" s="32" t="str">
        <f t="shared" si="4"/>
        <v/>
      </c>
      <c r="M21" s="32" t="str">
        <f t="shared" si="8"/>
        <v/>
      </c>
      <c r="N21" s="12"/>
      <c r="O21" s="925" t="str">
        <f t="shared" si="9"/>
        <v/>
      </c>
      <c r="P21" s="925" t="str">
        <f t="shared" si="10"/>
        <v/>
      </c>
      <c r="Q21" s="925"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18"/>
      <c r="E22" s="918"/>
      <c r="F22" s="918"/>
      <c r="G22" s="919"/>
      <c r="H22" s="918"/>
      <c r="I22" s="30">
        <f t="shared" si="2"/>
        <v>0</v>
      </c>
      <c r="J22" s="30">
        <f t="shared" si="3"/>
        <v>0</v>
      </c>
      <c r="K22" s="9"/>
      <c r="L22" s="32" t="str">
        <f t="shared" si="4"/>
        <v/>
      </c>
      <c r="M22" s="32" t="str">
        <f t="shared" si="8"/>
        <v/>
      </c>
      <c r="N22" s="12"/>
      <c r="O22" s="925" t="str">
        <f t="shared" si="9"/>
        <v/>
      </c>
      <c r="P22" s="925" t="str">
        <f t="shared" si="10"/>
        <v/>
      </c>
      <c r="Q22" s="925"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18"/>
      <c r="E23" s="918"/>
      <c r="F23" s="918"/>
      <c r="G23" s="919"/>
      <c r="H23" s="918"/>
      <c r="I23" s="30">
        <f t="shared" si="2"/>
        <v>0</v>
      </c>
      <c r="J23" s="30">
        <f t="shared" si="3"/>
        <v>0</v>
      </c>
      <c r="K23" s="9"/>
      <c r="L23" s="32" t="str">
        <f t="shared" si="4"/>
        <v/>
      </c>
      <c r="M23" s="32" t="str">
        <f t="shared" si="8"/>
        <v/>
      </c>
      <c r="N23" s="12"/>
      <c r="O23" s="925" t="str">
        <f t="shared" si="9"/>
        <v/>
      </c>
      <c r="P23" s="925" t="str">
        <f t="shared" si="10"/>
        <v/>
      </c>
      <c r="Q23" s="925" t="str">
        <f t="shared" si="11"/>
        <v/>
      </c>
      <c r="R23" s="15">
        <f>BEGINBLAD!D18</f>
        <v>0</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18"/>
      <c r="E24" s="918"/>
      <c r="F24" s="918"/>
      <c r="G24" s="918"/>
      <c r="H24" s="918"/>
      <c r="I24" s="30">
        <f t="shared" si="2"/>
        <v>0</v>
      </c>
      <c r="J24" s="30">
        <f t="shared" si="3"/>
        <v>0</v>
      </c>
      <c r="K24" s="9"/>
      <c r="L24" s="32" t="str">
        <f t="shared" si="4"/>
        <v/>
      </c>
      <c r="M24" s="32" t="str">
        <f t="shared" si="8"/>
        <v/>
      </c>
      <c r="N24" s="12"/>
      <c r="O24" s="925" t="str">
        <f t="shared" si="9"/>
        <v/>
      </c>
      <c r="P24" s="925" t="str">
        <f t="shared" si="10"/>
        <v/>
      </c>
      <c r="Q24" s="925"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18"/>
      <c r="E25" s="918"/>
      <c r="F25" s="918"/>
      <c r="G25" s="918"/>
      <c r="H25" s="918"/>
      <c r="I25" s="30">
        <f t="shared" si="2"/>
        <v>0</v>
      </c>
      <c r="J25" s="30">
        <f t="shared" si="3"/>
        <v>0</v>
      </c>
      <c r="K25" s="9"/>
      <c r="L25" s="32" t="str">
        <f t="shared" si="4"/>
        <v/>
      </c>
      <c r="M25" s="32" t="str">
        <f t="shared" si="8"/>
        <v/>
      </c>
      <c r="N25" s="12"/>
      <c r="O25" s="925" t="str">
        <f t="shared" si="9"/>
        <v/>
      </c>
      <c r="P25" s="925" t="str">
        <f t="shared" si="10"/>
        <v/>
      </c>
      <c r="Q25" s="925"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18"/>
      <c r="E26" s="918"/>
      <c r="F26" s="918"/>
      <c r="G26" s="918"/>
      <c r="H26" s="918"/>
      <c r="I26" s="30">
        <f t="shared" si="2"/>
        <v>0</v>
      </c>
      <c r="J26" s="30">
        <f t="shared" si="3"/>
        <v>0</v>
      </c>
      <c r="K26" s="9"/>
      <c r="L26" s="32" t="str">
        <f t="shared" si="4"/>
        <v/>
      </c>
      <c r="M26" s="32" t="str">
        <f t="shared" si="8"/>
        <v/>
      </c>
      <c r="N26" s="12"/>
      <c r="O26" s="925" t="str">
        <f t="shared" si="9"/>
        <v/>
      </c>
      <c r="P26" s="925" t="str">
        <f t="shared" si="10"/>
        <v/>
      </c>
      <c r="Q26" s="925"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18"/>
      <c r="E27" s="918"/>
      <c r="F27" s="918"/>
      <c r="G27" s="918"/>
      <c r="H27" s="918"/>
      <c r="I27" s="30">
        <f t="shared" si="2"/>
        <v>0</v>
      </c>
      <c r="J27" s="30">
        <f t="shared" si="3"/>
        <v>0</v>
      </c>
      <c r="K27" s="9"/>
      <c r="L27" s="32" t="str">
        <f t="shared" si="4"/>
        <v/>
      </c>
      <c r="M27" s="32" t="str">
        <f t="shared" si="8"/>
        <v/>
      </c>
      <c r="N27" s="12"/>
      <c r="O27" s="925" t="str">
        <f t="shared" si="9"/>
        <v/>
      </c>
      <c r="P27" s="925" t="str">
        <f t="shared" si="10"/>
        <v/>
      </c>
      <c r="Q27" s="925"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18"/>
      <c r="E28" s="918"/>
      <c r="F28" s="918"/>
      <c r="G28" s="918"/>
      <c r="H28" s="918"/>
      <c r="I28" s="30">
        <f t="shared" si="2"/>
        <v>0</v>
      </c>
      <c r="J28" s="30">
        <f t="shared" si="3"/>
        <v>0</v>
      </c>
      <c r="K28" s="9"/>
      <c r="L28" s="32" t="str">
        <f t="shared" si="4"/>
        <v/>
      </c>
      <c r="M28" s="32" t="str">
        <f t="shared" si="8"/>
        <v/>
      </c>
      <c r="N28" s="12"/>
      <c r="O28" s="925" t="str">
        <f t="shared" si="9"/>
        <v/>
      </c>
      <c r="P28" s="925" t="str">
        <f t="shared" si="10"/>
        <v/>
      </c>
      <c r="Q28" s="925"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18"/>
      <c r="E29" s="918"/>
      <c r="F29" s="918"/>
      <c r="G29" s="918"/>
      <c r="H29" s="918"/>
      <c r="I29" s="30">
        <f t="shared" si="2"/>
        <v>0</v>
      </c>
      <c r="J29" s="30">
        <f t="shared" si="3"/>
        <v>0</v>
      </c>
      <c r="K29" s="9"/>
      <c r="L29" s="32" t="str">
        <f t="shared" si="4"/>
        <v/>
      </c>
      <c r="M29" s="32" t="str">
        <f t="shared" si="8"/>
        <v/>
      </c>
      <c r="N29" s="12"/>
      <c r="O29" s="925" t="str">
        <f t="shared" si="9"/>
        <v/>
      </c>
      <c r="P29" s="925" t="str">
        <f t="shared" si="10"/>
        <v/>
      </c>
      <c r="Q29" s="925"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18"/>
      <c r="E30" s="918"/>
      <c r="F30" s="918"/>
      <c r="G30" s="918"/>
      <c r="H30" s="918"/>
      <c r="I30" s="30">
        <f t="shared" si="2"/>
        <v>0</v>
      </c>
      <c r="J30" s="30">
        <f t="shared" si="3"/>
        <v>0</v>
      </c>
      <c r="K30" s="9"/>
      <c r="L30" s="32" t="str">
        <f t="shared" si="4"/>
        <v/>
      </c>
      <c r="M30" s="32" t="str">
        <f t="shared" si="8"/>
        <v/>
      </c>
      <c r="N30" s="12"/>
      <c r="O30" s="925" t="str">
        <f t="shared" si="9"/>
        <v/>
      </c>
      <c r="P30" s="925" t="str">
        <f t="shared" si="10"/>
        <v/>
      </c>
      <c r="Q30" s="925"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18"/>
      <c r="E31" s="918"/>
      <c r="F31" s="918"/>
      <c r="G31" s="918"/>
      <c r="H31" s="918"/>
      <c r="I31" s="30">
        <f t="shared" si="2"/>
        <v>0</v>
      </c>
      <c r="J31" s="30">
        <f t="shared" si="3"/>
        <v>0</v>
      </c>
      <c r="K31" s="9"/>
      <c r="L31" s="32" t="str">
        <f t="shared" si="4"/>
        <v/>
      </c>
      <c r="M31" s="32" t="str">
        <f t="shared" si="8"/>
        <v/>
      </c>
      <c r="N31" s="12"/>
      <c r="O31" s="925" t="str">
        <f t="shared" si="9"/>
        <v/>
      </c>
      <c r="P31" s="925" t="str">
        <f t="shared" si="10"/>
        <v/>
      </c>
      <c r="Q31" s="925"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18"/>
      <c r="E32" s="918"/>
      <c r="F32" s="918"/>
      <c r="G32" s="918"/>
      <c r="H32" s="918"/>
      <c r="I32" s="30">
        <f t="shared" si="2"/>
        <v>0</v>
      </c>
      <c r="J32" s="30">
        <f t="shared" si="3"/>
        <v>0</v>
      </c>
      <c r="K32" s="9"/>
      <c r="L32" s="32" t="str">
        <f t="shared" si="4"/>
        <v/>
      </c>
      <c r="M32" s="32" t="str">
        <f t="shared" si="8"/>
        <v/>
      </c>
      <c r="N32" s="12"/>
      <c r="O32" s="925" t="str">
        <f t="shared" si="9"/>
        <v/>
      </c>
      <c r="P32" s="925" t="str">
        <f t="shared" si="10"/>
        <v/>
      </c>
      <c r="Q32" s="925"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18"/>
      <c r="E33" s="918"/>
      <c r="F33" s="918"/>
      <c r="G33" s="918"/>
      <c r="H33" s="918"/>
      <c r="I33" s="30">
        <f t="shared" si="2"/>
        <v>0</v>
      </c>
      <c r="J33" s="30">
        <f t="shared" si="3"/>
        <v>0</v>
      </c>
      <c r="K33" s="9"/>
      <c r="L33" s="32" t="str">
        <f t="shared" si="4"/>
        <v/>
      </c>
      <c r="M33" s="32" t="str">
        <f t="shared" si="8"/>
        <v/>
      </c>
      <c r="N33" s="12"/>
      <c r="O33" s="925" t="str">
        <f t="shared" si="9"/>
        <v/>
      </c>
      <c r="P33" s="925" t="str">
        <f t="shared" si="10"/>
        <v/>
      </c>
      <c r="Q33" s="925"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18"/>
      <c r="E34" s="918"/>
      <c r="F34" s="918"/>
      <c r="G34" s="918"/>
      <c r="H34" s="918"/>
      <c r="I34" s="30">
        <f t="shared" si="2"/>
        <v>0</v>
      </c>
      <c r="J34" s="30">
        <f t="shared" si="3"/>
        <v>0</v>
      </c>
      <c r="K34" s="9"/>
      <c r="L34" s="32" t="str">
        <f t="shared" si="4"/>
        <v/>
      </c>
      <c r="M34" s="32" t="str">
        <f t="shared" si="8"/>
        <v/>
      </c>
      <c r="N34" s="12"/>
      <c r="O34" s="925" t="str">
        <f t="shared" si="9"/>
        <v/>
      </c>
      <c r="P34" s="925" t="str">
        <f t="shared" si="10"/>
        <v/>
      </c>
      <c r="Q34" s="925"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18"/>
      <c r="E35" s="918"/>
      <c r="F35" s="918"/>
      <c r="G35" s="918"/>
      <c r="H35" s="918"/>
      <c r="I35" s="30">
        <f t="shared" si="2"/>
        <v>0</v>
      </c>
      <c r="J35" s="30">
        <f t="shared" si="3"/>
        <v>0</v>
      </c>
      <c r="K35" s="9"/>
      <c r="L35" s="32" t="str">
        <f t="shared" si="4"/>
        <v/>
      </c>
      <c r="M35" s="32" t="str">
        <f t="shared" si="8"/>
        <v/>
      </c>
      <c r="N35" s="12"/>
      <c r="O35" s="925" t="str">
        <f t="shared" si="9"/>
        <v/>
      </c>
      <c r="P35" s="925" t="str">
        <f t="shared" si="10"/>
        <v/>
      </c>
      <c r="Q35" s="925"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0"/>
      <c r="E36" s="918"/>
      <c r="F36" s="918"/>
      <c r="G36" s="918"/>
      <c r="H36" s="920"/>
      <c r="I36" s="30">
        <f t="shared" si="2"/>
        <v>0</v>
      </c>
      <c r="J36" s="30">
        <f t="shared" si="3"/>
        <v>0</v>
      </c>
      <c r="K36" s="9"/>
      <c r="L36" s="32" t="str">
        <f t="shared" si="4"/>
        <v/>
      </c>
      <c r="M36" s="32" t="str">
        <f t="shared" si="8"/>
        <v/>
      </c>
      <c r="N36" s="12"/>
      <c r="O36" s="925" t="str">
        <f t="shared" si="9"/>
        <v/>
      </c>
      <c r="P36" s="925" t="str">
        <f t="shared" si="10"/>
        <v/>
      </c>
      <c r="Q36" s="925"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0"/>
      <c r="E37" s="918"/>
      <c r="F37" s="918"/>
      <c r="G37" s="918"/>
      <c r="H37" s="920"/>
      <c r="I37" s="30">
        <f t="shared" si="2"/>
        <v>0</v>
      </c>
      <c r="J37" s="30">
        <f t="shared" si="3"/>
        <v>0</v>
      </c>
      <c r="K37" s="9"/>
      <c r="L37" s="32" t="str">
        <f t="shared" si="4"/>
        <v/>
      </c>
      <c r="M37" s="32" t="str">
        <f t="shared" si="8"/>
        <v/>
      </c>
      <c r="N37" s="12"/>
      <c r="O37" s="925" t="str">
        <f t="shared" si="9"/>
        <v/>
      </c>
      <c r="P37" s="925" t="str">
        <f t="shared" si="10"/>
        <v/>
      </c>
      <c r="Q37" s="925"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1"/>
      <c r="E38" s="921"/>
      <c r="F38" s="921"/>
      <c r="G38" s="922"/>
      <c r="H38" s="922"/>
      <c r="I38" s="30">
        <f t="shared" si="2"/>
        <v>0</v>
      </c>
      <c r="J38" s="30">
        <f t="shared" si="3"/>
        <v>0</v>
      </c>
      <c r="K38" s="9"/>
      <c r="L38" s="32" t="str">
        <f t="shared" si="4"/>
        <v/>
      </c>
      <c r="M38" s="32" t="str">
        <f t="shared" si="8"/>
        <v/>
      </c>
      <c r="N38" s="12"/>
      <c r="O38" s="925" t="str">
        <f t="shared" si="9"/>
        <v/>
      </c>
      <c r="P38" s="925" t="str">
        <f t="shared" si="10"/>
        <v/>
      </c>
      <c r="Q38" s="925"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1"/>
      <c r="E39" s="921"/>
      <c r="F39" s="921"/>
      <c r="G39" s="921"/>
      <c r="H39" s="921"/>
      <c r="I39" s="30">
        <f t="shared" si="2"/>
        <v>0</v>
      </c>
      <c r="J39" s="30">
        <f t="shared" si="3"/>
        <v>0</v>
      </c>
      <c r="K39" s="9"/>
      <c r="L39" s="32" t="str">
        <f t="shared" si="4"/>
        <v/>
      </c>
      <c r="M39" s="32" t="str">
        <f t="shared" si="8"/>
        <v/>
      </c>
      <c r="N39" s="12"/>
      <c r="O39" s="925" t="str">
        <f t="shared" si="9"/>
        <v/>
      </c>
      <c r="P39" s="925" t="str">
        <f t="shared" si="10"/>
        <v/>
      </c>
      <c r="Q39" s="925"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1"/>
      <c r="E40" s="921"/>
      <c r="F40" s="921"/>
      <c r="G40" s="921"/>
      <c r="H40" s="921"/>
      <c r="I40" s="30">
        <f t="shared" si="2"/>
        <v>0</v>
      </c>
      <c r="J40" s="30">
        <f t="shared" si="3"/>
        <v>0</v>
      </c>
      <c r="K40" s="9"/>
      <c r="L40" s="32" t="str">
        <f t="shared" si="4"/>
        <v/>
      </c>
      <c r="M40" s="32" t="str">
        <f t="shared" si="8"/>
        <v/>
      </c>
      <c r="N40" s="12"/>
      <c r="O40" s="925" t="str">
        <f t="shared" si="9"/>
        <v/>
      </c>
      <c r="P40" s="925" t="str">
        <f t="shared" si="10"/>
        <v/>
      </c>
      <c r="Q40" s="925"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1"/>
      <c r="E41" s="921"/>
      <c r="F41" s="921"/>
      <c r="G41" s="921"/>
      <c r="H41" s="921"/>
      <c r="I41" s="30">
        <f t="shared" si="2"/>
        <v>0</v>
      </c>
      <c r="J41" s="30">
        <f t="shared" si="3"/>
        <v>0</v>
      </c>
      <c r="K41" s="9"/>
      <c r="L41" s="32" t="str">
        <f t="shared" si="4"/>
        <v/>
      </c>
      <c r="M41" s="32" t="str">
        <f t="shared" si="8"/>
        <v/>
      </c>
      <c r="N41" s="12"/>
      <c r="O41" s="925" t="str">
        <f t="shared" si="9"/>
        <v/>
      </c>
      <c r="P41" s="925" t="str">
        <f t="shared" si="10"/>
        <v/>
      </c>
      <c r="Q41" s="925"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1"/>
      <c r="E42" s="921"/>
      <c r="F42" s="921"/>
      <c r="G42" s="921"/>
      <c r="H42" s="921"/>
      <c r="I42" s="30">
        <f t="shared" si="2"/>
        <v>0</v>
      </c>
      <c r="J42" s="30">
        <f t="shared" si="3"/>
        <v>0</v>
      </c>
      <c r="K42" s="9"/>
      <c r="L42" s="32"/>
      <c r="M42" s="32"/>
      <c r="N42" s="12"/>
      <c r="O42" s="925" t="str">
        <f t="shared" si="9"/>
        <v/>
      </c>
      <c r="P42" s="925" t="str">
        <f t="shared" si="10"/>
        <v/>
      </c>
      <c r="Q42" s="925"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1"/>
      <c r="E43" s="921"/>
      <c r="F43" s="921"/>
      <c r="G43" s="921"/>
      <c r="H43" s="921"/>
      <c r="I43" s="30">
        <f t="shared" si="2"/>
        <v>0</v>
      </c>
      <c r="J43" s="30">
        <f t="shared" si="3"/>
        <v>0</v>
      </c>
      <c r="K43" s="9"/>
      <c r="L43" s="32" t="str">
        <f t="shared" si="4"/>
        <v/>
      </c>
      <c r="M43" s="32" t="str">
        <f t="shared" si="8"/>
        <v/>
      </c>
      <c r="N43" s="12"/>
      <c r="O43" s="925" t="str">
        <f t="shared" si="9"/>
        <v/>
      </c>
      <c r="P43" s="925" t="str">
        <f t="shared" si="10"/>
        <v/>
      </c>
      <c r="Q43" s="925" t="str">
        <f t="shared" si="11"/>
        <v/>
      </c>
      <c r="R43" s="15">
        <f>BEGINBLAD!D38</f>
        <v>0</v>
      </c>
      <c r="S43" s="30">
        <v>35</v>
      </c>
      <c r="T43" s="541">
        <f>BEGINBLAD!C38</f>
        <v>0</v>
      </c>
      <c r="U43" s="346"/>
      <c r="V43" s="344"/>
      <c r="W43" s="344"/>
      <c r="X43" s="344"/>
      <c r="Y43" s="344"/>
      <c r="Z43" s="30">
        <f t="shared" si="5"/>
        <v>0</v>
      </c>
      <c r="AA43" s="30">
        <f t="shared" si="6"/>
        <v>0</v>
      </c>
      <c r="AB43" s="9"/>
      <c r="AC43" s="353" t="str">
        <f t="shared" si="7"/>
        <v/>
      </c>
      <c r="AD43" s="352" t="str">
        <f t="shared" si="12"/>
        <v/>
      </c>
    </row>
    <row r="44" spans="1:30" ht="19.5" customHeight="1" x14ac:dyDescent="0.25">
      <c r="A44" s="15">
        <f>BEGINBLAD!D38</f>
        <v>0</v>
      </c>
      <c r="B44" s="30">
        <v>36</v>
      </c>
      <c r="C44" s="541">
        <f>BEGINBLAD!C39</f>
        <v>0</v>
      </c>
      <c r="D44" s="921"/>
      <c r="E44" s="921"/>
      <c r="F44" s="921"/>
      <c r="G44" s="921"/>
      <c r="H44" s="921"/>
      <c r="I44" s="30">
        <f t="shared" si="2"/>
        <v>0</v>
      </c>
      <c r="J44" s="30">
        <f t="shared" si="3"/>
        <v>0</v>
      </c>
      <c r="K44" s="9"/>
      <c r="L44" s="32" t="str">
        <f t="shared" si="4"/>
        <v/>
      </c>
      <c r="M44" s="32" t="str">
        <f t="shared" si="8"/>
        <v/>
      </c>
      <c r="N44" s="12"/>
      <c r="O44" s="925" t="str">
        <f t="shared" si="9"/>
        <v/>
      </c>
      <c r="P44" s="925" t="str">
        <f t="shared" si="10"/>
        <v/>
      </c>
      <c r="Q44" s="925" t="str">
        <f t="shared" si="11"/>
        <v/>
      </c>
      <c r="R44" s="15">
        <f>BEGINBLAD!D39</f>
        <v>0</v>
      </c>
      <c r="S44" s="30">
        <v>36</v>
      </c>
      <c r="T44" s="541">
        <f>BEGINBLAD!C39</f>
        <v>0</v>
      </c>
      <c r="U44" s="346"/>
      <c r="V44" s="344"/>
      <c r="W44" s="344"/>
      <c r="X44" s="344"/>
      <c r="Y44" s="344"/>
      <c r="Z44" s="30">
        <f t="shared" si="5"/>
        <v>0</v>
      </c>
      <c r="AA44" s="30">
        <f t="shared" si="6"/>
        <v>0</v>
      </c>
      <c r="AB44" s="9"/>
      <c r="AC44" s="353" t="str">
        <f t="shared" si="7"/>
        <v/>
      </c>
      <c r="AD44" s="352" t="str">
        <f t="shared" si="12"/>
        <v/>
      </c>
    </row>
    <row r="45" spans="1:30" ht="19.5" customHeight="1" x14ac:dyDescent="0.25">
      <c r="A45" s="338"/>
      <c r="B45" s="537"/>
      <c r="C45" s="10" t="s">
        <v>71</v>
      </c>
      <c r="D45" s="542">
        <f t="shared" ref="D45:J45" si="13">AVERAGE(D9:D44)</f>
        <v>3.6125000000000003</v>
      </c>
      <c r="E45" s="542">
        <f t="shared" si="13"/>
        <v>3.8499999999999996</v>
      </c>
      <c r="F45" s="542">
        <f t="shared" si="13"/>
        <v>3.4249999999999998</v>
      </c>
      <c r="G45" s="542">
        <f t="shared" si="13"/>
        <v>4.3</v>
      </c>
      <c r="H45" s="542">
        <f t="shared" si="13"/>
        <v>3.9625000000000004</v>
      </c>
      <c r="I45" s="542">
        <f t="shared" si="13"/>
        <v>4.2555555555555564</v>
      </c>
      <c r="J45" s="542">
        <f t="shared" si="13"/>
        <v>1.1111111111111112</v>
      </c>
      <c r="K45" s="543"/>
      <c r="L45" s="542">
        <f>AVERAGE(L9:L44)</f>
        <v>3.8300000000000005</v>
      </c>
      <c r="M45" s="182"/>
      <c r="N45" s="555" t="s">
        <v>77</v>
      </c>
      <c r="O45" s="646">
        <f>O48/O52</f>
        <v>0</v>
      </c>
      <c r="P45" s="646">
        <f t="shared" ref="P45:Q45" si="14">P48/P52</f>
        <v>0</v>
      </c>
      <c r="Q45" s="646">
        <f t="shared" si="14"/>
        <v>0</v>
      </c>
      <c r="R45" s="338"/>
      <c r="S45" s="537"/>
      <c r="T45" s="10"/>
      <c r="U45" s="543"/>
      <c r="V45" s="543"/>
      <c r="W45" s="543"/>
      <c r="X45" s="543"/>
      <c r="Y45" s="543"/>
      <c r="Z45" s="543"/>
      <c r="AA45" s="543"/>
      <c r="AB45" s="543"/>
      <c r="AC45" s="543"/>
      <c r="AD45" s="182"/>
    </row>
    <row r="46" spans="1:30" ht="19.5" customHeight="1" x14ac:dyDescent="0.25">
      <c r="A46" s="338"/>
      <c r="B46" s="537"/>
      <c r="C46" s="10" t="s">
        <v>72</v>
      </c>
      <c r="D46" s="11" t="str">
        <f>IF(D45="","",IF(D45&gt;4.5,"A-1+",IF(D45&gt;4,"A-1",IF(D45&gt;=4,"A-2",IF(D45&gt;3.4,"B-2",IF(D45&gt;=3,"B-3",IF(D45&gt;2.5,"C-3",IF(D45&gt;=2,"C-4",IF(D45&gt;1.6,"D-4",IF(D45&gt;=1,"D-5",IF(D45&gt;0.5,"E-5",IF(D45&gt;=0,"E-5-"))))))))))))</f>
        <v>B-2</v>
      </c>
      <c r="E46" s="11" t="str">
        <f t="shared" ref="E46:H46" si="15">IF(E45="","",IF(E45&gt;4.5,"A-1+",IF(E45&gt;4.2,"A-1",IF(E45&gt;=4,"A-2",IF(E45&gt;3.3,"B-2",IF(E45&gt;=3,"B-3",IF(E45&gt;2.4,"C-3",IF(E45&gt;=2,"C-4",IF(E45&gt;1.5,"D-4",IF(E45&gt;=1,"D-5",IF(E45&gt;0.5,"E-5",IF(E45&gt;=0,"E-5-"))))))))))))</f>
        <v>B-2</v>
      </c>
      <c r="F46" s="11" t="str">
        <f t="shared" si="15"/>
        <v>B-2</v>
      </c>
      <c r="G46" s="11" t="str">
        <f t="shared" si="15"/>
        <v>A-1</v>
      </c>
      <c r="H46" s="11" t="str">
        <f t="shared" si="15"/>
        <v>B-2</v>
      </c>
      <c r="I46" s="11" t="str">
        <f t="shared" ref="I46:K46" si="16">IF(I45="","",IF(I45&gt;=4.5,"A+",IF(I45&gt;=4,"A",IF(I45&gt;=3,"B",IF(I45&gt;2.3,"C",IF(I45&gt;=2,"C-",IF(I45&gt;=1,"D",IF(I45&gt;0,"E"))))))))</f>
        <v>A</v>
      </c>
      <c r="J46" s="11" t="str">
        <f t="shared" si="16"/>
        <v>D</v>
      </c>
      <c r="K46" s="12" t="str">
        <f t="shared" si="16"/>
        <v/>
      </c>
      <c r="L46" s="11" t="str">
        <f>IF(L45="","",IF(L45&gt;4.5,"A-1+",IF(L45&gt;4.2,"A-1",IF(L45&gt;=4,"A-2",IF(L45&gt;3.3,"B-2",IF(L45&gt;=3,"B-3",IF(L45&gt;2.4,"C-3",IF(L45&gt;=2,"C-4",IF(L45&gt;1.5,"D-4",IF(L45&gt;=1,"D-5",IF(L45&gt;0.5,"E-5",IF(L45&gt;=0,"E-5-"))))))))))))</f>
        <v>B-2</v>
      </c>
      <c r="M46" s="182"/>
      <c r="N46" s="555" t="s">
        <v>76</v>
      </c>
      <c r="O46" s="646">
        <f>O51/O52</f>
        <v>1</v>
      </c>
      <c r="P46" s="646">
        <f t="shared" ref="P46:Q46" si="17">P51/P52</f>
        <v>1</v>
      </c>
      <c r="Q46" s="646">
        <f t="shared" si="17"/>
        <v>1</v>
      </c>
      <c r="R46" s="338"/>
      <c r="S46" s="537"/>
      <c r="T46" s="10"/>
      <c r="U46" s="12"/>
      <c r="V46" s="12"/>
      <c r="W46" s="12"/>
      <c r="X46" s="12"/>
      <c r="Y46" s="12"/>
      <c r="Z46" s="12"/>
      <c r="AA46" s="12"/>
      <c r="AB46" s="12"/>
      <c r="AC46" s="12"/>
      <c r="AD46" s="182"/>
    </row>
    <row r="47" spans="1:30" ht="19.5" customHeight="1" x14ac:dyDescent="0.25">
      <c r="A47" s="338"/>
      <c r="B47" s="537"/>
      <c r="C47" s="41">
        <f>BEGINBLAD!$D$40</f>
        <v>8</v>
      </c>
      <c r="D47" s="182"/>
      <c r="E47" s="182"/>
      <c r="F47" s="182"/>
      <c r="G47" s="182"/>
      <c r="H47" s="182"/>
      <c r="I47" s="182"/>
      <c r="J47" s="182"/>
      <c r="K47" s="182"/>
      <c r="L47" s="182"/>
      <c r="M47" s="182"/>
      <c r="N47" s="555" t="s">
        <v>78</v>
      </c>
      <c r="O47" s="646">
        <f>O50/O52</f>
        <v>0.75</v>
      </c>
      <c r="P47" s="646">
        <f t="shared" ref="P47:Q47" si="18">P50/P52</f>
        <v>0.875</v>
      </c>
      <c r="Q47" s="646">
        <f t="shared" si="18"/>
        <v>1</v>
      </c>
      <c r="R47" s="338"/>
      <c r="S47" s="537"/>
      <c r="T47" s="41"/>
      <c r="U47" s="182"/>
      <c r="V47" s="182"/>
      <c r="W47" s="182"/>
      <c r="X47" s="182"/>
      <c r="Y47" s="182"/>
      <c r="Z47" s="182"/>
      <c r="AA47" s="182"/>
      <c r="AB47" s="182"/>
      <c r="AC47" s="182"/>
      <c r="AD47" s="182"/>
    </row>
    <row r="48" spans="1:30" ht="19.5" customHeight="1" x14ac:dyDescent="0.25">
      <c r="A48" s="338"/>
      <c r="B48" s="537"/>
      <c r="C48" s="41"/>
      <c r="D48" s="182"/>
      <c r="E48" s="182"/>
      <c r="F48" s="182"/>
      <c r="G48" s="182"/>
      <c r="H48" s="182"/>
      <c r="I48" s="182"/>
      <c r="J48" s="182"/>
      <c r="K48" s="182"/>
      <c r="L48" s="182"/>
      <c r="M48" s="182"/>
      <c r="N48" s="907" t="s">
        <v>77</v>
      </c>
      <c r="O48" s="907">
        <f>O52-O51</f>
        <v>0</v>
      </c>
      <c r="P48" s="907">
        <f t="shared" ref="P48:Q48" si="19">P52-P51</f>
        <v>0</v>
      </c>
      <c r="Q48" s="907">
        <f t="shared" si="19"/>
        <v>0</v>
      </c>
      <c r="R48" s="338"/>
      <c r="S48" s="537"/>
      <c r="T48" s="41"/>
      <c r="U48" s="182"/>
      <c r="V48" s="182"/>
      <c r="W48" s="182"/>
      <c r="X48" s="182"/>
      <c r="Y48" s="182"/>
      <c r="Z48" s="182"/>
      <c r="AA48" s="182"/>
      <c r="AB48" s="182"/>
      <c r="AC48" s="182"/>
      <c r="AD48" s="182"/>
    </row>
    <row r="49" spans="1:30" ht="19.5" customHeight="1" x14ac:dyDescent="0.25">
      <c r="A49" s="338"/>
      <c r="B49" s="316"/>
      <c r="C49" s="586" t="s">
        <v>80</v>
      </c>
      <c r="D49" s="587">
        <f>LARGE(D9:D44,D51+1)</f>
        <v>4</v>
      </c>
      <c r="E49" s="587">
        <f t="shared" ref="E49:H49" si="20">LARGE(E9:E44,E51+1)</f>
        <v>3.9</v>
      </c>
      <c r="F49" s="587">
        <f t="shared" si="20"/>
        <v>4.3</v>
      </c>
      <c r="G49" s="587">
        <f t="shared" si="20"/>
        <v>4.8</v>
      </c>
      <c r="H49" s="587">
        <f t="shared" si="20"/>
        <v>4.5999999999999996</v>
      </c>
      <c r="I49" s="540"/>
      <c r="J49" s="540"/>
      <c r="K49" s="540"/>
      <c r="L49" s="589"/>
      <c r="M49" s="589"/>
      <c r="N49" s="907" t="s">
        <v>76</v>
      </c>
      <c r="O49" s="907">
        <f>COUNTIF(O9:O44,"1F")</f>
        <v>2</v>
      </c>
      <c r="P49" s="907">
        <f>COUNTIF(P9:P44,"1F")</f>
        <v>1</v>
      </c>
      <c r="Q49" s="907">
        <f>COUNTIF(Q9:Q44,"1F")</f>
        <v>0</v>
      </c>
      <c r="R49" s="338"/>
      <c r="S49" s="537"/>
      <c r="T49" s="41"/>
      <c r="U49" s="182"/>
      <c r="V49" s="182"/>
      <c r="W49" s="182"/>
      <c r="X49" s="182"/>
      <c r="Y49" s="182"/>
      <c r="Z49" s="182"/>
      <c r="AA49" s="182"/>
      <c r="AB49" s="182"/>
      <c r="AC49" s="182"/>
      <c r="AD49" s="182"/>
    </row>
    <row r="50" spans="1:30" ht="19.5" customHeight="1" x14ac:dyDescent="0.25">
      <c r="A50" s="338"/>
      <c r="B50" s="316"/>
      <c r="C50" s="586" t="s">
        <v>81</v>
      </c>
      <c r="D50" s="587">
        <f>SMALL(D9:D44,(D51+1))</f>
        <v>3.5</v>
      </c>
      <c r="E50" s="587">
        <f t="shared" ref="E50:H50" si="21">SMALL(E9:E44,(E51+1))</f>
        <v>3.6</v>
      </c>
      <c r="F50" s="587">
        <f t="shared" si="21"/>
        <v>3.4</v>
      </c>
      <c r="G50" s="587">
        <f t="shared" si="21"/>
        <v>4.2</v>
      </c>
      <c r="H50" s="587">
        <f t="shared" si="21"/>
        <v>3.3</v>
      </c>
      <c r="I50" s="540"/>
      <c r="J50" s="540"/>
      <c r="K50" s="540"/>
      <c r="L50" s="589"/>
      <c r="M50" s="589"/>
      <c r="N50" s="907" t="s">
        <v>82</v>
      </c>
      <c r="O50" s="907">
        <f>COUNTIF(O9:O44,"2F")</f>
        <v>6</v>
      </c>
      <c r="P50" s="907">
        <f>COUNTIF(P9:P44,"2F")</f>
        <v>7</v>
      </c>
      <c r="Q50" s="907">
        <f>COUNTIF(Q9:Q44,"1S")</f>
        <v>8</v>
      </c>
      <c r="R50" s="338"/>
      <c r="S50" s="537"/>
      <c r="T50" s="41"/>
      <c r="U50" s="182"/>
      <c r="V50" s="182"/>
      <c r="W50" s="182"/>
      <c r="X50" s="182"/>
      <c r="Y50" s="182"/>
      <c r="Z50" s="182"/>
      <c r="AA50" s="182"/>
      <c r="AB50" s="182"/>
      <c r="AC50" s="182"/>
      <c r="AD50" s="182"/>
    </row>
    <row r="51" spans="1:30" ht="19.5" customHeight="1" x14ac:dyDescent="0.25">
      <c r="A51" s="338"/>
      <c r="B51" s="316"/>
      <c r="C51" s="588">
        <v>0.25</v>
      </c>
      <c r="D51" s="587">
        <f>D52*0.25</f>
        <v>2</v>
      </c>
      <c r="E51" s="587">
        <f t="shared" ref="E51:H51" si="22">E52*0.25</f>
        <v>2</v>
      </c>
      <c r="F51" s="587">
        <f t="shared" si="22"/>
        <v>2</v>
      </c>
      <c r="G51" s="587">
        <f t="shared" si="22"/>
        <v>2</v>
      </c>
      <c r="H51" s="587">
        <f t="shared" si="22"/>
        <v>2</v>
      </c>
      <c r="I51" s="182"/>
      <c r="J51" s="182"/>
      <c r="K51" s="182"/>
      <c r="L51" s="127"/>
      <c r="M51" s="127"/>
      <c r="N51" s="907" t="s">
        <v>79</v>
      </c>
      <c r="O51" s="907">
        <f>SUM(O49:O50)</f>
        <v>8</v>
      </c>
      <c r="P51" s="907">
        <f>SUM(P49:P50)</f>
        <v>8</v>
      </c>
      <c r="Q51" s="907">
        <f>SUM(Q49:Q50)</f>
        <v>8</v>
      </c>
      <c r="R51" s="338"/>
      <c r="S51" s="537"/>
      <c r="T51" s="41"/>
      <c r="U51" s="182"/>
      <c r="V51" s="182"/>
      <c r="W51" s="182"/>
      <c r="X51" s="182"/>
      <c r="Y51" s="182"/>
      <c r="Z51" s="182"/>
      <c r="AA51" s="182"/>
      <c r="AB51" s="182"/>
      <c r="AC51" s="182"/>
      <c r="AD51" s="182"/>
    </row>
    <row r="52" spans="1:30" ht="19.5" customHeight="1" x14ac:dyDescent="0.25">
      <c r="A52" s="338"/>
      <c r="B52" s="316"/>
      <c r="C52" s="588" t="s">
        <v>84</v>
      </c>
      <c r="D52" s="587">
        <f>COUNT(D9:D44)</f>
        <v>8</v>
      </c>
      <c r="E52" s="587">
        <f t="shared" ref="E52:H52" si="23">COUNT(E9:E44)</f>
        <v>8</v>
      </c>
      <c r="F52" s="587">
        <f t="shared" si="23"/>
        <v>8</v>
      </c>
      <c r="G52" s="587">
        <f t="shared" si="23"/>
        <v>8</v>
      </c>
      <c r="H52" s="587">
        <f t="shared" si="23"/>
        <v>8</v>
      </c>
      <c r="I52" s="182"/>
      <c r="J52" s="182"/>
      <c r="K52" s="182"/>
      <c r="L52" s="127"/>
      <c r="M52" s="127"/>
      <c r="N52" s="907" t="s">
        <v>85</v>
      </c>
      <c r="O52" s="907">
        <f>COUNTIF(O9:O44,"&gt;""")</f>
        <v>8</v>
      </c>
      <c r="P52" s="907">
        <f t="shared" ref="P52:Q52" si="24">COUNTIF(P9:P44,"&gt;""")</f>
        <v>8</v>
      </c>
      <c r="Q52" s="907">
        <f t="shared" si="24"/>
        <v>8</v>
      </c>
      <c r="R52" s="338"/>
      <c r="S52" s="537"/>
      <c r="T52" s="41"/>
      <c r="U52" s="182"/>
      <c r="V52" s="182"/>
      <c r="W52" s="182"/>
      <c r="X52" s="182"/>
      <c r="Y52" s="182"/>
      <c r="Z52" s="182"/>
      <c r="AA52" s="182"/>
      <c r="AB52" s="182"/>
      <c r="AC52" s="182"/>
      <c r="AD52" s="182"/>
    </row>
    <row r="53" spans="1:30" x14ac:dyDescent="0.25">
      <c r="A53" s="338"/>
      <c r="B53" s="537"/>
      <c r="C53" s="586"/>
      <c r="D53" s="587"/>
      <c r="E53" s="587"/>
      <c r="F53" s="587"/>
      <c r="G53" s="587"/>
      <c r="H53" s="587"/>
      <c r="I53" s="182"/>
      <c r="J53" s="182"/>
      <c r="K53" s="182"/>
      <c r="L53" s="182"/>
      <c r="M53" s="182"/>
      <c r="N53" s="590"/>
      <c r="O53" s="590"/>
      <c r="P53" s="590"/>
      <c r="Q53" s="590"/>
      <c r="R53" s="338"/>
      <c r="S53" s="537"/>
      <c r="T53" s="41"/>
      <c r="U53" s="182"/>
      <c r="V53" s="182"/>
      <c r="W53" s="182"/>
      <c r="X53" s="182"/>
      <c r="Y53" s="182"/>
      <c r="Z53" s="182"/>
      <c r="AA53" s="182"/>
      <c r="AB53" s="182"/>
      <c r="AC53" s="182"/>
      <c r="AD53" s="182"/>
    </row>
    <row r="54" spans="1:30" x14ac:dyDescent="0.25">
      <c r="A54" s="338"/>
      <c r="B54" s="537"/>
      <c r="C54" s="566"/>
      <c r="D54" s="127"/>
      <c r="E54" s="127"/>
      <c r="F54" s="127"/>
      <c r="G54" s="127"/>
      <c r="H54" s="127"/>
      <c r="I54" s="182"/>
      <c r="J54" s="182"/>
      <c r="K54" s="182"/>
      <c r="L54" s="182"/>
      <c r="M54" s="182"/>
      <c r="N54" s="590"/>
      <c r="O54" s="590"/>
      <c r="P54" s="590"/>
      <c r="Q54" s="590"/>
      <c r="R54" s="338"/>
      <c r="S54" s="537"/>
      <c r="T54" s="41"/>
      <c r="U54" s="182"/>
      <c r="V54" s="182"/>
      <c r="W54" s="182"/>
      <c r="X54" s="182"/>
      <c r="Y54" s="182"/>
      <c r="Z54" s="182"/>
      <c r="AA54" s="182"/>
      <c r="AB54" s="182"/>
      <c r="AC54" s="182"/>
      <c r="AD54" s="182"/>
    </row>
    <row r="55" spans="1:30" x14ac:dyDescent="0.25">
      <c r="A55" s="338"/>
      <c r="B55" s="537"/>
      <c r="C55" s="566"/>
      <c r="D55" s="127"/>
      <c r="E55" s="127"/>
      <c r="F55" s="127"/>
      <c r="G55" s="127"/>
      <c r="H55" s="127"/>
      <c r="I55" s="182"/>
      <c r="J55" s="182"/>
      <c r="K55" s="182"/>
      <c r="L55" s="182"/>
      <c r="M55" s="182"/>
      <c r="N55" s="127"/>
      <c r="O55" s="127"/>
      <c r="P55" s="127"/>
      <c r="Q55" s="127"/>
      <c r="R55" s="338"/>
      <c r="S55" s="537"/>
      <c r="T55" s="41"/>
      <c r="U55" s="182"/>
      <c r="V55" s="182"/>
      <c r="W55" s="182"/>
      <c r="X55" s="182"/>
      <c r="Y55" s="182"/>
      <c r="Z55" s="182"/>
      <c r="AA55" s="182"/>
      <c r="AB55" s="182"/>
      <c r="AC55" s="182"/>
      <c r="AD55" s="182"/>
    </row>
    <row r="56" spans="1:30" x14ac:dyDescent="0.25">
      <c r="A56" s="338"/>
      <c r="B56" s="537"/>
      <c r="C56" s="566"/>
      <c r="D56" s="127"/>
      <c r="E56" s="127"/>
      <c r="F56" s="127"/>
      <c r="G56" s="127"/>
      <c r="H56" s="127"/>
      <c r="I56" s="182"/>
      <c r="J56" s="182"/>
      <c r="K56" s="182"/>
      <c r="L56" s="182"/>
      <c r="M56" s="182"/>
      <c r="N56" s="127"/>
      <c r="O56" s="127"/>
      <c r="P56" s="127"/>
      <c r="Q56" s="127"/>
      <c r="R56" s="338"/>
      <c r="S56" s="537"/>
      <c r="T56" s="41"/>
      <c r="U56" s="182"/>
      <c r="V56" s="182"/>
      <c r="W56" s="182"/>
      <c r="X56" s="182"/>
      <c r="Y56" s="182"/>
      <c r="Z56" s="182"/>
      <c r="AA56" s="182"/>
      <c r="AB56" s="182"/>
      <c r="AC56" s="182"/>
      <c r="AD56" s="182"/>
    </row>
    <row r="57" spans="1:30" x14ac:dyDescent="0.25">
      <c r="A57" s="338"/>
      <c r="B57" s="537"/>
      <c r="C57" s="566"/>
      <c r="D57" s="127"/>
      <c r="E57" s="127"/>
      <c r="F57" s="127"/>
      <c r="G57" s="127"/>
      <c r="H57" s="127"/>
      <c r="I57" s="182"/>
      <c r="J57" s="182"/>
      <c r="K57" s="182"/>
      <c r="L57" s="182"/>
      <c r="M57" s="182"/>
      <c r="N57" s="127"/>
      <c r="O57" s="127"/>
      <c r="P57" s="127"/>
      <c r="Q57" s="127"/>
      <c r="R57" s="338"/>
      <c r="S57" s="537"/>
      <c r="T57" s="41"/>
      <c r="U57" s="182"/>
      <c r="V57" s="182"/>
      <c r="W57" s="182"/>
      <c r="X57" s="182"/>
      <c r="Y57" s="182"/>
      <c r="Z57" s="182"/>
      <c r="AA57" s="182"/>
      <c r="AB57" s="182"/>
      <c r="AC57" s="182"/>
      <c r="AD57" s="182"/>
    </row>
    <row r="58" spans="1:30" x14ac:dyDescent="0.25">
      <c r="A58" s="338"/>
      <c r="B58" s="537"/>
      <c r="C58" s="566"/>
      <c r="D58" s="127"/>
      <c r="E58" s="127"/>
      <c r="F58" s="127"/>
      <c r="G58" s="127"/>
      <c r="H58" s="127"/>
      <c r="I58" s="182"/>
      <c r="J58" s="182"/>
      <c r="K58" s="182"/>
      <c r="L58" s="182"/>
      <c r="M58" s="182"/>
      <c r="N58" s="182"/>
      <c r="O58" s="182"/>
      <c r="P58" s="182"/>
      <c r="Q58" s="182"/>
      <c r="R58" s="338"/>
      <c r="S58" s="537"/>
      <c r="T58" s="41"/>
      <c r="U58" s="182"/>
      <c r="V58" s="182"/>
      <c r="W58" s="182"/>
      <c r="X58" s="182"/>
      <c r="Y58" s="182"/>
      <c r="Z58" s="182"/>
      <c r="AA58" s="182"/>
      <c r="AB58" s="182"/>
      <c r="AC58" s="182"/>
      <c r="AD58" s="182"/>
    </row>
    <row r="59" spans="1:30" x14ac:dyDescent="0.25">
      <c r="A59" s="338"/>
      <c r="B59" s="537"/>
      <c r="C59" s="566"/>
      <c r="D59" s="127"/>
      <c r="E59" s="127"/>
      <c r="F59" s="127"/>
      <c r="G59" s="127"/>
      <c r="H59" s="127"/>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x14ac:dyDescent="0.25">
      <c r="A60" s="338"/>
      <c r="B60" s="537"/>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537"/>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537"/>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row r="64" spans="1:30" x14ac:dyDescent="0.25">
      <c r="A64" s="338"/>
      <c r="B64" s="537"/>
      <c r="C64" s="566"/>
      <c r="D64" s="127"/>
      <c r="E64" s="127"/>
      <c r="F64" s="127"/>
      <c r="G64" s="127"/>
      <c r="H64" s="127"/>
      <c r="I64" s="182"/>
      <c r="J64" s="182"/>
      <c r="K64" s="182"/>
      <c r="L64" s="182"/>
      <c r="M64" s="182"/>
      <c r="R64" s="338"/>
      <c r="S64" s="537"/>
      <c r="T64" s="41"/>
      <c r="U64" s="182"/>
      <c r="V64" s="182"/>
      <c r="W64" s="182"/>
      <c r="X64" s="182"/>
      <c r="Y64" s="182"/>
      <c r="Z64" s="182"/>
      <c r="AA64" s="182"/>
      <c r="AB64" s="182"/>
      <c r="AC64" s="182"/>
      <c r="AD64" s="182"/>
    </row>
    <row r="65" spans="3:8" x14ac:dyDescent="0.25">
      <c r="C65" s="566"/>
      <c r="D65" s="127"/>
      <c r="E65" s="127"/>
      <c r="F65" s="127"/>
      <c r="G65" s="127"/>
      <c r="H65" s="127"/>
    </row>
  </sheetData>
  <sheetProtection sheet="1" objects="1" scenarios="1"/>
  <mergeCells count="2">
    <mergeCell ref="D2:H2"/>
    <mergeCell ref="O2:Q6"/>
  </mergeCells>
  <phoneticPr fontId="8" type="noConversion"/>
  <conditionalFormatting sqref="A8:A44">
    <cfRule type="cellIs" dxfId="1404" priority="2701" operator="greaterThan">
      <formula>0</formula>
    </cfRule>
  </conditionalFormatting>
  <conditionalFormatting sqref="C9:C44">
    <cfRule type="expression" dxfId="1403" priority="2730" stopIfTrue="1">
      <formula>$M9="A+"</formula>
    </cfRule>
    <cfRule type="expression" dxfId="1402" priority="2729" stopIfTrue="1">
      <formula>$M9=""</formula>
    </cfRule>
  </conditionalFormatting>
  <conditionalFormatting sqref="D9:H44">
    <cfRule type="cellIs" dxfId="1401" priority="19" operator="between">
      <formula>2.6</formula>
      <formula>2.9</formula>
    </cfRule>
    <cfRule type="cellIs" dxfId="1400" priority="17" operator="between">
      <formula>4</formula>
      <formula>5</formula>
    </cfRule>
    <cfRule type="cellIs" dxfId="1399" priority="18" operator="between">
      <formula>3</formula>
      <formula>3.9</formula>
    </cfRule>
    <cfRule type="cellIs" dxfId="1398" priority="20" operator="between">
      <formula>1.6</formula>
      <formula>2.5</formula>
    </cfRule>
    <cfRule type="cellIs" dxfId="1397" priority="21" operator="between">
      <formula>0.1</formula>
      <formula>1.5</formula>
    </cfRule>
    <cfRule type="cellIs" dxfId="1396" priority="22" operator="equal">
      <formula>""</formula>
    </cfRule>
  </conditionalFormatting>
  <conditionalFormatting sqref="D45:H45">
    <cfRule type="cellIs" dxfId="1395" priority="16" operator="between">
      <formula>1.6</formula>
      <formula>2.599</formula>
    </cfRule>
  </conditionalFormatting>
  <conditionalFormatting sqref="D46:H46">
    <cfRule type="cellIs" dxfId="1394" priority="13" operator="between">
      <formula>"C-4"</formula>
      <formula>"D-4"</formula>
    </cfRule>
  </conditionalFormatting>
  <conditionalFormatting sqref="D45:L45 L9:L44">
    <cfRule type="cellIs" dxfId="1393" priority="30" stopIfTrue="1" operator="between">
      <formula>0.001</formula>
      <formula>1.599</formula>
    </cfRule>
  </conditionalFormatting>
  <conditionalFormatting sqref="L9:L44 D45:L45">
    <cfRule type="cellIs" dxfId="1392" priority="31" stopIfTrue="1" operator="between">
      <formula>3</formula>
      <formula>3.999</formula>
    </cfRule>
    <cfRule type="cellIs" dxfId="1391" priority="32" stopIfTrue="1" operator="between">
      <formula>4</formula>
      <formula>5</formula>
    </cfRule>
  </conditionalFormatting>
  <conditionalFormatting sqref="L9:L45">
    <cfRule type="cellIs" dxfId="1390" priority="14" operator="between">
      <formula>1.6</formula>
      <formula>2.599</formula>
    </cfRule>
  </conditionalFormatting>
  <conditionalFormatting sqref="L46">
    <cfRule type="cellIs" dxfId="1389" priority="12" operator="between">
      <formula>"C-4"</formula>
      <formula>"D-4"</formula>
    </cfRule>
    <cfRule type="cellIs" dxfId="1388" priority="23" operator="equal">
      <formula>"E-5-"</formula>
    </cfRule>
    <cfRule type="cellIs" dxfId="1387" priority="24" operator="equal">
      <formula>"A-1+"</formula>
    </cfRule>
  </conditionalFormatting>
  <conditionalFormatting sqref="M9:M44 D46:H46">
    <cfRule type="cellIs" dxfId="1386" priority="25" operator="equal">
      <formula>"E-5-"</formula>
    </cfRule>
    <cfRule type="cellIs" dxfId="1385" priority="26" operator="equal">
      <formula>"A-1+"</formula>
    </cfRule>
  </conditionalFormatting>
  <conditionalFormatting sqref="M9:M44 D46:L46">
    <cfRule type="cellIs" dxfId="1384" priority="27" stopIfTrue="1" operator="between">
      <formula>"D-5"</formula>
      <formula>"E-5"</formula>
    </cfRule>
    <cfRule type="cellIs" dxfId="1383" priority="28" stopIfTrue="1" operator="between">
      <formula>"B-2"</formula>
      <formula>"B-3"</formula>
    </cfRule>
    <cfRule type="cellIs" dxfId="1382" priority="29" stopIfTrue="1" operator="between">
      <formula>"A-1"</formula>
      <formula>"A-2"</formula>
    </cfRule>
  </conditionalFormatting>
  <conditionalFormatting sqref="M9:M44">
    <cfRule type="cellIs" dxfId="1381" priority="11" operator="between">
      <formula>"C-4"</formula>
      <formula>"D-4"</formula>
    </cfRule>
  </conditionalFormatting>
  <conditionalFormatting sqref="O9:Q44">
    <cfRule type="cellIs" dxfId="1380" priority="3" operator="equal">
      <formula>"&lt;1F"</formula>
    </cfRule>
    <cfRule type="cellIs" dxfId="1379" priority="4" operator="equal">
      <formula>"1F"</formula>
    </cfRule>
    <cfRule type="expression" dxfId="1378" priority="5" stopIfTrue="1">
      <formula>$K$3="ja"</formula>
    </cfRule>
    <cfRule type="cellIs" dxfId="1377" priority="1" operator="equal">
      <formula>"2F"</formula>
    </cfRule>
  </conditionalFormatting>
  <conditionalFormatting sqref="Q9:Q44">
    <cfRule type="cellIs" dxfId="1376" priority="2" operator="equal">
      <formula>"1S"</formula>
    </cfRule>
  </conditionalFormatting>
  <conditionalFormatting sqref="R8:R44">
    <cfRule type="cellIs" dxfId="1375" priority="763" operator="greaterThan">
      <formula>0</formula>
    </cfRule>
  </conditionalFormatting>
  <conditionalFormatting sqref="T9:T44">
    <cfRule type="expression" dxfId="1374" priority="1514" stopIfTrue="1">
      <formula>$M9=""</formula>
    </cfRule>
    <cfRule type="expression" dxfId="1373" priority="1515" stopIfTrue="1">
      <formula>$M9="A+"</formula>
    </cfRule>
  </conditionalFormatting>
  <conditionalFormatting sqref="U9:U44">
    <cfRule type="expression" dxfId="1372" priority="1505">
      <formula>$U9=""</formula>
    </cfRule>
    <cfRule type="expression" dxfId="1371" priority="1506">
      <formula>$U9&lt;=$U$4</formula>
    </cfRule>
    <cfRule type="expression" dxfId="1370" priority="1507">
      <formula>$U9&gt;=$U$3</formula>
    </cfRule>
  </conditionalFormatting>
  <conditionalFormatting sqref="V9:V44">
    <cfRule type="expression" dxfId="1369" priority="1502">
      <formula>$V9=""</formula>
    </cfRule>
    <cfRule type="expression" dxfId="1368" priority="1504">
      <formula>$V9&gt;=$V$3</formula>
    </cfRule>
    <cfRule type="expression" dxfId="1367" priority="1503">
      <formula>$V9&lt;=$V$4</formula>
    </cfRule>
  </conditionalFormatting>
  <conditionalFormatting sqref="W9:W44">
    <cfRule type="expression" dxfId="1366" priority="1499">
      <formula>$W9=""</formula>
    </cfRule>
    <cfRule type="expression" dxfId="1365" priority="1500">
      <formula>$W9&lt;=$W$4</formula>
    </cfRule>
    <cfRule type="expression" dxfId="1364" priority="1501">
      <formula>$W9&gt;=$W$3</formula>
    </cfRule>
  </conditionalFormatting>
  <conditionalFormatting sqref="X9:X44">
    <cfRule type="expression" dxfId="1363" priority="1496">
      <formula>$X9=""</formula>
    </cfRule>
    <cfRule type="expression" dxfId="1362" priority="1497">
      <formula>$X9&lt;=$X$4</formula>
    </cfRule>
    <cfRule type="expression" dxfId="1361" priority="1498">
      <formula>$X9&gt;=$X$3</formula>
    </cfRule>
  </conditionalFormatting>
  <conditionalFormatting sqref="Y9:Y44">
    <cfRule type="expression" dxfId="1360" priority="1493">
      <formula>$Y9=""</formula>
    </cfRule>
    <cfRule type="expression" dxfId="1359" priority="1494">
      <formula>$Y9&lt;=$Y$4</formula>
    </cfRule>
    <cfRule type="expression" dxfId="1358" priority="1495">
      <formula>$Y9&gt;=$Y$3</formula>
    </cfRule>
  </conditionalFormatting>
  <conditionalFormatting sqref="AC9:AC44">
    <cfRule type="cellIs" dxfId="1357" priority="1510" stopIfTrue="1" operator="between">
      <formula>0.001</formula>
      <formula>1.999</formula>
    </cfRule>
    <cfRule type="cellIs" dxfId="1356" priority="1512" stopIfTrue="1" operator="between">
      <formula>4</formula>
      <formula>5</formula>
    </cfRule>
    <cfRule type="cellIs" dxfId="1355" priority="1511" stopIfTrue="1" operator="between">
      <formula>3</formula>
      <formula>3.999</formula>
    </cfRule>
  </conditionalFormatting>
  <conditionalFormatting sqref="AD9:AD44">
    <cfRule type="cellIs" dxfId="1354" priority="1490" operator="equal">
      <formula>""</formula>
    </cfRule>
    <cfRule type="cellIs" dxfId="1353" priority="1491" operator="lessThan">
      <formula>0.9</formula>
    </cfRule>
    <cfRule type="cellIs" dxfId="1352" priority="1492" operator="greaterThanOrEqual">
      <formula>1.1</formula>
    </cfRule>
  </conditionalFormatting>
  <dataValidations count="1">
    <dataValidation type="list" allowBlank="1" showInputMessage="1" showErrorMessage="1" sqref="O9:Q44" xr:uid="{8A98CFF5-6EFA-4DD8-9B3E-F26DF4246343}">
      <formula1>"&lt;1F,1F,2F/1S,"</formula1>
    </dataValidation>
  </dataValidations>
  <pageMargins left="0.54" right="0.26" top="0.49" bottom="0.43" header="0.24" footer="0.24"/>
  <pageSetup paperSize="9" scale="81" orientation="portrait" horizontalDpi="4294967293" r:id="rId1"/>
  <headerFooter alignWithMargins="0">
    <oddHeader>&amp;C&amp;"Comic Sans MS,Standaard"&amp;16Leerrendement</oddHeader>
    <oddFooter>&amp;R© www.meesterharrie.nl</oddFooter>
  </headerFooter>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9">
    <tabColor rgb="FFCCFFFF"/>
    <pageSetUpPr fitToPage="1"/>
  </sheetPr>
  <dimension ref="A1:AD65"/>
  <sheetViews>
    <sheetView showGridLines="0" showRowColHeaders="0" zoomScale="80" zoomScaleNormal="80" workbookViewId="0">
      <selection activeCell="L53" sqref="L53"/>
    </sheetView>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customHeight="1" thickBot="1" x14ac:dyDescent="0.3">
      <c r="A2" s="338"/>
      <c r="B2" s="537"/>
      <c r="C2" s="349" t="s">
        <v>57</v>
      </c>
      <c r="D2" s="944" t="str">
        <f>BEGINBLAD!$I$2</f>
        <v>groep 6</v>
      </c>
      <c r="E2" s="945"/>
      <c r="F2" s="945"/>
      <c r="G2" s="945"/>
      <c r="H2" s="946"/>
      <c r="I2" s="182"/>
      <c r="J2" s="182"/>
      <c r="K2" s="182"/>
      <c r="L2" s="182"/>
      <c r="M2" s="182"/>
      <c r="N2" s="182"/>
      <c r="O2" s="947" t="s">
        <v>576</v>
      </c>
      <c r="P2" s="948"/>
      <c r="Q2" s="949"/>
      <c r="R2" s="338"/>
      <c r="S2" s="537"/>
      <c r="T2" s="348" t="s">
        <v>58</v>
      </c>
      <c r="U2" s="354"/>
      <c r="V2" s="354"/>
      <c r="W2" s="354"/>
      <c r="X2" s="354"/>
      <c r="Y2" s="354"/>
      <c r="Z2" s="182"/>
      <c r="AA2" s="182"/>
      <c r="AB2" s="350" t="e">
        <f>AVERAGE(U2:AA2)</f>
        <v>#DIV/0!</v>
      </c>
      <c r="AC2" s="182"/>
      <c r="AD2" s="182"/>
    </row>
    <row r="3" spans="1:30" ht="21.5" hidden="1" customHeight="1" x14ac:dyDescent="0.25">
      <c r="A3" s="338"/>
      <c r="B3" s="537"/>
      <c r="C3" s="7"/>
      <c r="D3" s="347"/>
      <c r="E3" s="347"/>
      <c r="F3" s="347"/>
      <c r="G3" s="347"/>
      <c r="H3" s="347"/>
      <c r="I3" s="182"/>
      <c r="J3" s="182"/>
      <c r="K3" s="182"/>
      <c r="L3" s="182"/>
      <c r="M3" s="182"/>
      <c r="N3" s="182"/>
      <c r="O3" s="950"/>
      <c r="P3" s="951"/>
      <c r="Q3" s="952"/>
      <c r="R3" s="338"/>
      <c r="S3" s="537"/>
      <c r="T3" s="343"/>
      <c r="U3" s="347">
        <f>U2+5</f>
        <v>5</v>
      </c>
      <c r="V3" s="347">
        <f t="shared" ref="V3:Y3" si="0">V2+5</f>
        <v>5</v>
      </c>
      <c r="W3" s="347">
        <f t="shared" si="0"/>
        <v>5</v>
      </c>
      <c r="X3" s="347">
        <f t="shared" si="0"/>
        <v>5</v>
      </c>
      <c r="Y3" s="347">
        <f t="shared" si="0"/>
        <v>5</v>
      </c>
      <c r="Z3" s="182"/>
      <c r="AA3" s="182"/>
      <c r="AB3" s="182"/>
      <c r="AC3" s="182"/>
      <c r="AD3" s="182"/>
    </row>
    <row r="4" spans="1:30" ht="21.5" hidden="1" customHeight="1" x14ac:dyDescent="0.25">
      <c r="A4" s="338"/>
      <c r="B4" s="537"/>
      <c r="C4" s="7"/>
      <c r="D4" s="347"/>
      <c r="E4" s="347"/>
      <c r="F4" s="347"/>
      <c r="G4" s="347"/>
      <c r="H4" s="347"/>
      <c r="I4" s="182"/>
      <c r="J4" s="182"/>
      <c r="K4" s="182"/>
      <c r="L4" s="182"/>
      <c r="M4" s="182"/>
      <c r="N4" s="182"/>
      <c r="O4" s="950"/>
      <c r="P4" s="951"/>
      <c r="Q4" s="952"/>
      <c r="R4" s="338"/>
      <c r="S4" s="537"/>
      <c r="T4" s="343"/>
      <c r="U4" s="347">
        <f>U2-5</f>
        <v>-5</v>
      </c>
      <c r="V4" s="347">
        <f t="shared" ref="V4:Y4" si="1">V2-5</f>
        <v>-5</v>
      </c>
      <c r="W4" s="347">
        <f t="shared" si="1"/>
        <v>-5</v>
      </c>
      <c r="X4" s="347">
        <f t="shared" si="1"/>
        <v>-5</v>
      </c>
      <c r="Y4" s="347">
        <f t="shared" si="1"/>
        <v>-5</v>
      </c>
      <c r="Z4" s="182"/>
      <c r="AA4" s="182"/>
      <c r="AB4" s="182"/>
      <c r="AC4" s="182"/>
      <c r="AD4" s="182"/>
    </row>
    <row r="5" spans="1:30" x14ac:dyDescent="0.25">
      <c r="A5" s="338"/>
      <c r="B5" s="537"/>
      <c r="C5" s="41" t="s">
        <v>59</v>
      </c>
      <c r="D5" s="182"/>
      <c r="E5" s="182"/>
      <c r="F5" s="182"/>
      <c r="G5" s="182"/>
      <c r="H5" s="182"/>
      <c r="I5" s="182"/>
      <c r="J5" s="182"/>
      <c r="K5" s="182"/>
      <c r="L5" s="182"/>
      <c r="M5" s="182"/>
      <c r="N5" s="182"/>
      <c r="O5" s="950"/>
      <c r="P5" s="951"/>
      <c r="Q5" s="952"/>
      <c r="R5" s="338"/>
      <c r="S5" s="537"/>
      <c r="T5" s="41" t="s">
        <v>60</v>
      </c>
      <c r="U5" s="182"/>
      <c r="V5" s="182"/>
      <c r="W5" s="182"/>
      <c r="X5" s="182"/>
      <c r="Y5" s="182"/>
      <c r="Z5" s="182"/>
      <c r="AA5" s="182"/>
      <c r="AB5" s="182"/>
      <c r="AC5" s="182"/>
      <c r="AD5" s="182"/>
    </row>
    <row r="6" spans="1:30" ht="60" customHeight="1" thickBot="1" x14ac:dyDescent="0.4">
      <c r="A6" s="338"/>
      <c r="B6" s="537"/>
      <c r="C6" s="13" t="s">
        <v>61</v>
      </c>
      <c r="D6" s="136"/>
      <c r="E6" s="136"/>
      <c r="F6" s="136"/>
      <c r="G6" s="136"/>
      <c r="H6" s="136"/>
      <c r="I6" s="182"/>
      <c r="J6" s="182"/>
      <c r="K6" s="182"/>
      <c r="L6" s="182"/>
      <c r="M6" s="182"/>
      <c r="N6" s="182"/>
      <c r="O6" s="953"/>
      <c r="P6" s="954"/>
      <c r="Q6" s="955"/>
      <c r="R6" s="338"/>
      <c r="S6" s="537"/>
      <c r="T6" s="13" t="s">
        <v>61</v>
      </c>
      <c r="U6" s="136"/>
      <c r="V6" s="136"/>
      <c r="W6" s="136"/>
      <c r="X6" s="136"/>
      <c r="Y6" s="136"/>
      <c r="Z6" s="182"/>
      <c r="AA6" s="182"/>
      <c r="AB6" s="182"/>
      <c r="AC6" s="182"/>
      <c r="AD6" s="182"/>
    </row>
    <row r="7" spans="1:30" ht="5.15" customHeight="1" x14ac:dyDescent="0.25">
      <c r="A7" s="338"/>
      <c r="B7" s="537"/>
      <c r="C7" s="6"/>
      <c r="D7" s="544"/>
      <c r="E7" s="545"/>
      <c r="F7" s="545"/>
      <c r="G7" s="545"/>
      <c r="H7" s="545"/>
      <c r="I7" s="540"/>
      <c r="J7" s="540"/>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62</v>
      </c>
      <c r="B8" s="538"/>
      <c r="C8" s="539" t="s">
        <v>63</v>
      </c>
      <c r="D8" s="137" t="s">
        <v>64</v>
      </c>
      <c r="E8" s="137" t="s">
        <v>65</v>
      </c>
      <c r="F8" s="137" t="s">
        <v>66</v>
      </c>
      <c r="G8" s="137" t="s">
        <v>67</v>
      </c>
      <c r="H8" s="137" t="s">
        <v>68</v>
      </c>
      <c r="I8" s="137" t="s">
        <v>69</v>
      </c>
      <c r="J8" s="137" t="s">
        <v>70</v>
      </c>
      <c r="K8" s="540"/>
      <c r="L8" s="31" t="s">
        <v>71</v>
      </c>
      <c r="M8" s="31" t="s">
        <v>72</v>
      </c>
      <c r="N8" s="14"/>
      <c r="O8" s="31" t="s">
        <v>575</v>
      </c>
      <c r="P8" s="31" t="s">
        <v>73</v>
      </c>
      <c r="Q8" s="31" t="s">
        <v>74</v>
      </c>
      <c r="R8" s="16" t="s">
        <v>62</v>
      </c>
      <c r="S8" s="538"/>
      <c r="T8" s="539" t="s">
        <v>63</v>
      </c>
      <c r="U8" s="137" t="s">
        <v>64</v>
      </c>
      <c r="V8" s="137" t="s">
        <v>65</v>
      </c>
      <c r="W8" s="137" t="s">
        <v>66</v>
      </c>
      <c r="X8" s="137" t="s">
        <v>67</v>
      </c>
      <c r="Y8" s="137" t="s">
        <v>68</v>
      </c>
      <c r="Z8" s="137" t="s">
        <v>69</v>
      </c>
      <c r="AA8" s="137" t="s">
        <v>70</v>
      </c>
      <c r="AB8" s="540"/>
      <c r="AC8" s="31" t="s">
        <v>71</v>
      </c>
      <c r="AD8" s="31" t="s">
        <v>75</v>
      </c>
    </row>
    <row r="9" spans="1:30" ht="19.5" customHeight="1" x14ac:dyDescent="0.25">
      <c r="A9" s="15">
        <f>BEGINBLAD!D4</f>
        <v>6</v>
      </c>
      <c r="B9" s="30">
        <v>1</v>
      </c>
      <c r="C9" s="541" t="str">
        <f>BEGINBLAD!C4</f>
        <v>leerling 1</v>
      </c>
      <c r="D9" s="918"/>
      <c r="E9" s="918"/>
      <c r="F9" s="918"/>
      <c r="G9" s="918"/>
      <c r="H9" s="918"/>
      <c r="I9" s="30">
        <f t="shared" ref="I9:I44" si="2">SUM(D9:H9)</f>
        <v>0</v>
      </c>
      <c r="J9" s="30">
        <f t="shared" ref="J9:J44" si="3">COUNTA(D9:H9)</f>
        <v>0</v>
      </c>
      <c r="K9" s="9"/>
      <c r="L9" s="32" t="str">
        <f t="shared" ref="L9:L44" si="4">IF(J9=0,"",IF(J9&gt;0,I9/J9))</f>
        <v/>
      </c>
      <c r="M9" s="32" t="str">
        <f>IF(L9="","",IF(L9&gt;4.5,"A-1+",IF(L9&gt;4.2,"A-1",IF(L9&gt;=4,"A-2",IF(L9&gt;3.3,"B-2",IF(L9&gt;=3,"B-3",IF(L9&gt;2.4,"C-3",IF(L9&gt;=2,"C-4",IF(L9&gt;1.5,"D-4",IF(L9&gt;=1,"D-5",IF(L9&gt;0.5,"E-5",IF(L9&gt;=0,"E-5-"))))))))))))</f>
        <v/>
      </c>
      <c r="N9" s="12"/>
      <c r="O9" s="925" t="str">
        <f>IF(A9&lt;6,"",IF(F9="","",IF(F9&lt;0.9,"&lt;1F",IF(F9&gt;=2.7,"2F",IF(F9&gt;=0.9,"1F")))))</f>
        <v/>
      </c>
      <c r="P9" s="925" t="str">
        <f>IF(A9&lt;6,"",IF(E9="","",IF(E9&lt;0.6,"&lt;1F",IF(E9&gt;=3,"2F",IF(E9&gt;=0.6,"1F")))))</f>
        <v/>
      </c>
      <c r="Q9" s="925" t="str">
        <f>IF(A9&lt;6,"",IF(G9="","",IF(G9&lt;1.3,"&lt;1F",IF(G9&gt;=3.2,"1S",IF(G9&gt;=1.3,"1F")))))</f>
        <v/>
      </c>
      <c r="R9" s="15">
        <f>BEGINBLAD!D4</f>
        <v>6</v>
      </c>
      <c r="S9" s="30">
        <v>1</v>
      </c>
      <c r="T9" s="541" t="str">
        <f>BEGINBLAD!C4</f>
        <v>leerling 1</v>
      </c>
      <c r="U9" s="344"/>
      <c r="V9" s="344"/>
      <c r="W9" s="344"/>
      <c r="X9" s="344"/>
      <c r="Y9" s="344"/>
      <c r="Z9" s="30">
        <f t="shared" ref="Z9:Z44" si="5">SUM(U9:Y9)</f>
        <v>0</v>
      </c>
      <c r="AA9" s="30">
        <f t="shared" ref="AA9:AA44" si="6">COUNTA(U9:Y9)</f>
        <v>0</v>
      </c>
      <c r="AB9" s="9"/>
      <c r="AC9" s="353" t="str">
        <f t="shared" ref="AC9:AC44" si="7">IF(AA9=0,"",IF(AA9&gt;0,Z9/AA9))</f>
        <v/>
      </c>
      <c r="AD9" s="352" t="str">
        <f>IF(AA9=0,"",IF(AA9&gt;0,AC9/AB$2))</f>
        <v/>
      </c>
    </row>
    <row r="10" spans="1:30" ht="19.5" customHeight="1" x14ac:dyDescent="0.25">
      <c r="A10" s="15">
        <f>BEGINBLAD!D5</f>
        <v>6</v>
      </c>
      <c r="B10" s="30">
        <v>2</v>
      </c>
      <c r="C10" s="541" t="str">
        <f>BEGINBLAD!C5</f>
        <v>leerling 2</v>
      </c>
      <c r="D10" s="918"/>
      <c r="E10" s="918"/>
      <c r="F10" s="918"/>
      <c r="G10" s="918"/>
      <c r="H10" s="918"/>
      <c r="I10" s="30">
        <f t="shared" si="2"/>
        <v>0</v>
      </c>
      <c r="J10" s="30">
        <f t="shared" si="3"/>
        <v>0</v>
      </c>
      <c r="K10" s="9"/>
      <c r="L10" s="32" t="str">
        <f t="shared" si="4"/>
        <v/>
      </c>
      <c r="M10" s="32" t="str">
        <f t="shared" ref="M10:M44" si="8">IF(L10="","",IF(L10&gt;4.5,"A-1+",IF(L10&gt;4.2,"A-1",IF(L10&gt;=4,"A-2",IF(L10&gt;3.3,"B-2",IF(L10&gt;=3,"B-3",IF(L10&gt;2.4,"C-3",IF(L10&gt;=2,"C-4",IF(L10&gt;1.5,"D-4",IF(L10&gt;=1,"D-5",IF(L10&gt;0.5,"E-5",IF(L10&gt;=0,"E-5-"))))))))))))</f>
        <v/>
      </c>
      <c r="N10" s="12"/>
      <c r="O10" s="925" t="str">
        <f t="shared" ref="O10:O44" si="9">IF(A10&lt;6,"",IF(F10="","",IF(F10&lt;0.9,"&lt;1F",IF(F10&gt;=2.7,"2F",IF(F10&gt;=0.9,"1F")))))</f>
        <v/>
      </c>
      <c r="P10" s="925" t="str">
        <f t="shared" ref="P10:P44" si="10">IF(A10&lt;6,"",IF(E10="","",IF(E10&lt;0.6,"&lt;1F",IF(E10&gt;=3,"2F",IF(E10&gt;=0.6,"1F")))))</f>
        <v/>
      </c>
      <c r="Q10" s="925" t="str">
        <f t="shared" ref="Q10:Q44" si="11">IF(A10&lt;6,"",IF(G10="","",IF(G10&lt;1.3,"&lt;1F",IF(G10&gt;=3.2,"1S",IF(G10&gt;=1.3,"1F")))))</f>
        <v/>
      </c>
      <c r="R10" s="15">
        <f>BEGINBLAD!D5</f>
        <v>6</v>
      </c>
      <c r="S10" s="30">
        <v>2</v>
      </c>
      <c r="T10" s="541" t="str">
        <f>BEGINBLAD!C5</f>
        <v>leerling 2</v>
      </c>
      <c r="U10" s="344"/>
      <c r="V10" s="344"/>
      <c r="W10" s="344"/>
      <c r="X10" s="344"/>
      <c r="Y10" s="344"/>
      <c r="Z10" s="30">
        <f t="shared" si="5"/>
        <v>0</v>
      </c>
      <c r="AA10" s="30">
        <f t="shared" si="6"/>
        <v>0</v>
      </c>
      <c r="AB10" s="9"/>
      <c r="AC10" s="353" t="str">
        <f t="shared" si="7"/>
        <v/>
      </c>
      <c r="AD10" s="352" t="str">
        <f t="shared" ref="AD10:AD44" si="12">IF(AA10=0,"",IF(AA10&gt;0,AC10/AB$2))</f>
        <v/>
      </c>
    </row>
    <row r="11" spans="1:30" ht="19.5" customHeight="1" x14ac:dyDescent="0.25">
      <c r="A11" s="15">
        <f>BEGINBLAD!D6</f>
        <v>6</v>
      </c>
      <c r="B11" s="30">
        <v>3</v>
      </c>
      <c r="C11" s="541" t="str">
        <f>BEGINBLAD!C6</f>
        <v>leerling 3</v>
      </c>
      <c r="D11" s="918"/>
      <c r="E11" s="918"/>
      <c r="F11" s="918"/>
      <c r="G11" s="918"/>
      <c r="H11" s="918"/>
      <c r="I11" s="30">
        <f t="shared" si="2"/>
        <v>0</v>
      </c>
      <c r="J11" s="30">
        <f t="shared" si="3"/>
        <v>0</v>
      </c>
      <c r="K11" s="9"/>
      <c r="L11" s="32" t="str">
        <f t="shared" si="4"/>
        <v/>
      </c>
      <c r="M11" s="32" t="str">
        <f t="shared" si="8"/>
        <v/>
      </c>
      <c r="N11" s="12"/>
      <c r="O11" s="925" t="str">
        <f t="shared" si="9"/>
        <v/>
      </c>
      <c r="P11" s="925" t="str">
        <f t="shared" si="10"/>
        <v/>
      </c>
      <c r="Q11" s="925" t="str">
        <f t="shared" si="11"/>
        <v/>
      </c>
      <c r="R11" s="15">
        <f>BEGINBLAD!D6</f>
        <v>6</v>
      </c>
      <c r="S11" s="30">
        <v>3</v>
      </c>
      <c r="T11" s="541" t="str">
        <f>BEGINBLAD!C6</f>
        <v>leerling 3</v>
      </c>
      <c r="U11" s="344"/>
      <c r="V11" s="344"/>
      <c r="W11" s="344"/>
      <c r="X11" s="344"/>
      <c r="Y11" s="344"/>
      <c r="Z11" s="30">
        <f t="shared" si="5"/>
        <v>0</v>
      </c>
      <c r="AA11" s="30">
        <f t="shared" si="6"/>
        <v>0</v>
      </c>
      <c r="AB11" s="9"/>
      <c r="AC11" s="353" t="str">
        <f t="shared" si="7"/>
        <v/>
      </c>
      <c r="AD11" s="352" t="str">
        <f t="shared" si="12"/>
        <v/>
      </c>
    </row>
    <row r="12" spans="1:30" ht="19.5" customHeight="1" x14ac:dyDescent="0.25">
      <c r="A12" s="15">
        <f>BEGINBLAD!D7</f>
        <v>6</v>
      </c>
      <c r="B12" s="30">
        <v>4</v>
      </c>
      <c r="C12" s="541" t="str">
        <f>BEGINBLAD!C7</f>
        <v>leerling 4</v>
      </c>
      <c r="D12" s="918"/>
      <c r="E12" s="918"/>
      <c r="F12" s="918"/>
      <c r="G12" s="918"/>
      <c r="H12" s="918"/>
      <c r="I12" s="30">
        <f t="shared" si="2"/>
        <v>0</v>
      </c>
      <c r="J12" s="30">
        <f t="shared" si="3"/>
        <v>0</v>
      </c>
      <c r="K12" s="9"/>
      <c r="L12" s="32" t="str">
        <f t="shared" si="4"/>
        <v/>
      </c>
      <c r="M12" s="32" t="str">
        <f t="shared" si="8"/>
        <v/>
      </c>
      <c r="N12" s="12"/>
      <c r="O12" s="925" t="str">
        <f t="shared" si="9"/>
        <v/>
      </c>
      <c r="P12" s="925" t="str">
        <f t="shared" si="10"/>
        <v/>
      </c>
      <c r="Q12" s="925" t="str">
        <f t="shared" si="11"/>
        <v/>
      </c>
      <c r="R12" s="15">
        <f>BEGINBLAD!D7</f>
        <v>6</v>
      </c>
      <c r="S12" s="30">
        <v>4</v>
      </c>
      <c r="T12" s="541" t="str">
        <f>BEGINBLAD!C7</f>
        <v>leerling 4</v>
      </c>
      <c r="U12" s="344"/>
      <c r="V12" s="344"/>
      <c r="W12" s="344"/>
      <c r="X12" s="344"/>
      <c r="Y12" s="344"/>
      <c r="Z12" s="30">
        <f t="shared" si="5"/>
        <v>0</v>
      </c>
      <c r="AA12" s="30">
        <f t="shared" si="6"/>
        <v>0</v>
      </c>
      <c r="AB12" s="9"/>
      <c r="AC12" s="353" t="str">
        <f t="shared" si="7"/>
        <v/>
      </c>
      <c r="AD12" s="352" t="str">
        <f t="shared" si="12"/>
        <v/>
      </c>
    </row>
    <row r="13" spans="1:30" ht="19.5" customHeight="1" x14ac:dyDescent="0.25">
      <c r="A13" s="15">
        <f>BEGINBLAD!D8</f>
        <v>6</v>
      </c>
      <c r="B13" s="30">
        <v>5</v>
      </c>
      <c r="C13" s="541" t="str">
        <f>BEGINBLAD!C8</f>
        <v>leerling 5</v>
      </c>
      <c r="D13" s="918"/>
      <c r="E13" s="918"/>
      <c r="F13" s="918"/>
      <c r="G13" s="918"/>
      <c r="H13" s="918"/>
      <c r="I13" s="30">
        <f t="shared" si="2"/>
        <v>0</v>
      </c>
      <c r="J13" s="30">
        <f t="shared" si="3"/>
        <v>0</v>
      </c>
      <c r="K13" s="9"/>
      <c r="L13" s="32" t="str">
        <f t="shared" si="4"/>
        <v/>
      </c>
      <c r="M13" s="32" t="str">
        <f t="shared" si="8"/>
        <v/>
      </c>
      <c r="N13" s="12"/>
      <c r="O13" s="925" t="str">
        <f t="shared" si="9"/>
        <v/>
      </c>
      <c r="P13" s="925" t="str">
        <f t="shared" si="10"/>
        <v/>
      </c>
      <c r="Q13" s="925" t="str">
        <f t="shared" si="11"/>
        <v/>
      </c>
      <c r="R13" s="15">
        <f>BEGINBLAD!D8</f>
        <v>6</v>
      </c>
      <c r="S13" s="30">
        <v>5</v>
      </c>
      <c r="T13" s="541" t="str">
        <f>BEGINBLAD!C8</f>
        <v>leerling 5</v>
      </c>
      <c r="U13" s="344"/>
      <c r="V13" s="344"/>
      <c r="W13" s="344"/>
      <c r="X13" s="344"/>
      <c r="Y13" s="344"/>
      <c r="Z13" s="30">
        <f t="shared" si="5"/>
        <v>0</v>
      </c>
      <c r="AA13" s="30">
        <f t="shared" si="6"/>
        <v>0</v>
      </c>
      <c r="AB13" s="9"/>
      <c r="AC13" s="353" t="str">
        <f t="shared" si="7"/>
        <v/>
      </c>
      <c r="AD13" s="352" t="str">
        <f t="shared" si="12"/>
        <v/>
      </c>
    </row>
    <row r="14" spans="1:30" ht="19.5" customHeight="1" x14ac:dyDescent="0.25">
      <c r="A14" s="15">
        <f>BEGINBLAD!D9</f>
        <v>6</v>
      </c>
      <c r="B14" s="30">
        <v>6</v>
      </c>
      <c r="C14" s="541" t="str">
        <f>BEGINBLAD!C9</f>
        <v>leerling 6</v>
      </c>
      <c r="D14" s="918"/>
      <c r="E14" s="918"/>
      <c r="F14" s="918"/>
      <c r="G14" s="918"/>
      <c r="H14" s="918"/>
      <c r="I14" s="30">
        <f t="shared" si="2"/>
        <v>0</v>
      </c>
      <c r="J14" s="30">
        <f t="shared" si="3"/>
        <v>0</v>
      </c>
      <c r="K14" s="9"/>
      <c r="L14" s="32" t="str">
        <f t="shared" si="4"/>
        <v/>
      </c>
      <c r="M14" s="32" t="str">
        <f t="shared" si="8"/>
        <v/>
      </c>
      <c r="N14" s="12"/>
      <c r="O14" s="925" t="str">
        <f t="shared" si="9"/>
        <v/>
      </c>
      <c r="P14" s="925" t="str">
        <f t="shared" si="10"/>
        <v/>
      </c>
      <c r="Q14" s="925" t="str">
        <f t="shared" si="11"/>
        <v/>
      </c>
      <c r="R14" s="15">
        <f>BEGINBLAD!D9</f>
        <v>6</v>
      </c>
      <c r="S14" s="30">
        <v>6</v>
      </c>
      <c r="T14" s="541" t="str">
        <f>BEGINBLAD!C9</f>
        <v>leerling 6</v>
      </c>
      <c r="U14" s="344"/>
      <c r="V14" s="344"/>
      <c r="W14" s="344"/>
      <c r="X14" s="344"/>
      <c r="Y14" s="344"/>
      <c r="Z14" s="30">
        <f t="shared" si="5"/>
        <v>0</v>
      </c>
      <c r="AA14" s="30">
        <f t="shared" si="6"/>
        <v>0</v>
      </c>
      <c r="AB14" s="9"/>
      <c r="AC14" s="353" t="str">
        <f t="shared" si="7"/>
        <v/>
      </c>
      <c r="AD14" s="352" t="str">
        <f t="shared" si="12"/>
        <v/>
      </c>
    </row>
    <row r="15" spans="1:30" ht="19.5" customHeight="1" x14ac:dyDescent="0.25">
      <c r="A15" s="15">
        <f>BEGINBLAD!D10</f>
        <v>6</v>
      </c>
      <c r="B15" s="30">
        <v>7</v>
      </c>
      <c r="C15" s="541" t="str">
        <f>BEGINBLAD!C10</f>
        <v>leerling 7</v>
      </c>
      <c r="D15" s="918"/>
      <c r="E15" s="918"/>
      <c r="F15" s="918"/>
      <c r="G15" s="918"/>
      <c r="H15" s="918"/>
      <c r="I15" s="30">
        <f t="shared" si="2"/>
        <v>0</v>
      </c>
      <c r="J15" s="30">
        <f t="shared" si="3"/>
        <v>0</v>
      </c>
      <c r="K15" s="9"/>
      <c r="L15" s="32" t="str">
        <f t="shared" si="4"/>
        <v/>
      </c>
      <c r="M15" s="32" t="str">
        <f t="shared" si="8"/>
        <v/>
      </c>
      <c r="N15" s="12"/>
      <c r="O15" s="925" t="str">
        <f t="shared" si="9"/>
        <v/>
      </c>
      <c r="P15" s="925" t="str">
        <f t="shared" si="10"/>
        <v/>
      </c>
      <c r="Q15" s="925" t="str">
        <f t="shared" si="11"/>
        <v/>
      </c>
      <c r="R15" s="15">
        <f>BEGINBLAD!D10</f>
        <v>6</v>
      </c>
      <c r="S15" s="30">
        <v>7</v>
      </c>
      <c r="T15" s="541" t="str">
        <f>BEGINBLAD!C10</f>
        <v>leerling 7</v>
      </c>
      <c r="U15" s="344"/>
      <c r="V15" s="344"/>
      <c r="W15" s="344"/>
      <c r="X15" s="344"/>
      <c r="Y15" s="344"/>
      <c r="Z15" s="30">
        <f t="shared" si="5"/>
        <v>0</v>
      </c>
      <c r="AA15" s="30">
        <f t="shared" si="6"/>
        <v>0</v>
      </c>
      <c r="AB15" s="9"/>
      <c r="AC15" s="353" t="str">
        <f t="shared" si="7"/>
        <v/>
      </c>
      <c r="AD15" s="352" t="str">
        <f t="shared" si="12"/>
        <v/>
      </c>
    </row>
    <row r="16" spans="1:30" ht="19.5" customHeight="1" x14ac:dyDescent="0.25">
      <c r="A16" s="15">
        <f>BEGINBLAD!D11</f>
        <v>6</v>
      </c>
      <c r="B16" s="30">
        <v>8</v>
      </c>
      <c r="C16" s="541" t="str">
        <f>BEGINBLAD!C11</f>
        <v>leerling 8</v>
      </c>
      <c r="D16" s="918"/>
      <c r="E16" s="918"/>
      <c r="F16" s="918"/>
      <c r="G16" s="918"/>
      <c r="H16" s="918"/>
      <c r="I16" s="30">
        <f t="shared" si="2"/>
        <v>0</v>
      </c>
      <c r="J16" s="30">
        <f t="shared" si="3"/>
        <v>0</v>
      </c>
      <c r="K16" s="9"/>
      <c r="L16" s="32" t="str">
        <f t="shared" si="4"/>
        <v/>
      </c>
      <c r="M16" s="32" t="str">
        <f t="shared" si="8"/>
        <v/>
      </c>
      <c r="N16" s="12"/>
      <c r="O16" s="925" t="str">
        <f t="shared" si="9"/>
        <v/>
      </c>
      <c r="P16" s="925" t="str">
        <f t="shared" si="10"/>
        <v/>
      </c>
      <c r="Q16" s="925" t="str">
        <f t="shared" si="11"/>
        <v/>
      </c>
      <c r="R16" s="15">
        <f>BEGINBLAD!D11</f>
        <v>6</v>
      </c>
      <c r="S16" s="30">
        <v>8</v>
      </c>
      <c r="T16" s="541" t="str">
        <f>BEGINBLAD!C11</f>
        <v>leerling 8</v>
      </c>
      <c r="U16" s="344"/>
      <c r="V16" s="344"/>
      <c r="W16" s="344"/>
      <c r="X16" s="344"/>
      <c r="Y16" s="344"/>
      <c r="Z16" s="30">
        <f t="shared" si="5"/>
        <v>0</v>
      </c>
      <c r="AA16" s="30">
        <f t="shared" si="6"/>
        <v>0</v>
      </c>
      <c r="AB16" s="9"/>
      <c r="AC16" s="353" t="str">
        <f t="shared" si="7"/>
        <v/>
      </c>
      <c r="AD16" s="352" t="str">
        <f t="shared" si="12"/>
        <v/>
      </c>
    </row>
    <row r="17" spans="1:30" ht="19.5" customHeight="1" x14ac:dyDescent="0.25">
      <c r="A17" s="15">
        <f>BEGINBLAD!D12</f>
        <v>0</v>
      </c>
      <c r="B17" s="30">
        <v>9</v>
      </c>
      <c r="C17" s="541">
        <f>BEGINBLAD!C12</f>
        <v>0</v>
      </c>
      <c r="D17" s="918"/>
      <c r="E17" s="918"/>
      <c r="F17" s="918"/>
      <c r="G17" s="919"/>
      <c r="H17" s="918"/>
      <c r="I17" s="30">
        <f t="shared" si="2"/>
        <v>0</v>
      </c>
      <c r="J17" s="30">
        <f t="shared" si="3"/>
        <v>0</v>
      </c>
      <c r="K17" s="9"/>
      <c r="L17" s="32" t="str">
        <f t="shared" si="4"/>
        <v/>
      </c>
      <c r="M17" s="32" t="str">
        <f t="shared" si="8"/>
        <v/>
      </c>
      <c r="N17" s="12"/>
      <c r="O17" s="925" t="str">
        <f t="shared" si="9"/>
        <v/>
      </c>
      <c r="P17" s="925" t="str">
        <f t="shared" si="10"/>
        <v/>
      </c>
      <c r="Q17" s="925"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18"/>
      <c r="E18" s="918"/>
      <c r="F18" s="918"/>
      <c r="G18" s="919"/>
      <c r="H18" s="918"/>
      <c r="I18" s="30">
        <f t="shared" si="2"/>
        <v>0</v>
      </c>
      <c r="J18" s="30">
        <f t="shared" si="3"/>
        <v>0</v>
      </c>
      <c r="K18" s="9"/>
      <c r="L18" s="32" t="str">
        <f t="shared" si="4"/>
        <v/>
      </c>
      <c r="M18" s="32" t="str">
        <f t="shared" si="8"/>
        <v/>
      </c>
      <c r="N18" s="12"/>
      <c r="O18" s="925" t="str">
        <f t="shared" si="9"/>
        <v/>
      </c>
      <c r="P18" s="925" t="str">
        <f t="shared" si="10"/>
        <v/>
      </c>
      <c r="Q18" s="925"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18"/>
      <c r="E19" s="918"/>
      <c r="F19" s="918"/>
      <c r="G19" s="919"/>
      <c r="H19" s="918"/>
      <c r="I19" s="30">
        <f t="shared" si="2"/>
        <v>0</v>
      </c>
      <c r="J19" s="30">
        <f t="shared" si="3"/>
        <v>0</v>
      </c>
      <c r="K19" s="9"/>
      <c r="L19" s="32" t="str">
        <f t="shared" si="4"/>
        <v/>
      </c>
      <c r="M19" s="32" t="str">
        <f t="shared" si="8"/>
        <v/>
      </c>
      <c r="N19" s="12"/>
      <c r="O19" s="925" t="str">
        <f t="shared" si="9"/>
        <v/>
      </c>
      <c r="P19" s="925" t="str">
        <f t="shared" si="10"/>
        <v/>
      </c>
      <c r="Q19" s="925"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18"/>
      <c r="E20" s="918"/>
      <c r="F20" s="918"/>
      <c r="G20" s="918"/>
      <c r="H20" s="918"/>
      <c r="I20" s="30">
        <f t="shared" si="2"/>
        <v>0</v>
      </c>
      <c r="J20" s="30">
        <f t="shared" si="3"/>
        <v>0</v>
      </c>
      <c r="K20" s="9"/>
      <c r="L20" s="32" t="str">
        <f t="shared" si="4"/>
        <v/>
      </c>
      <c r="M20" s="32" t="str">
        <f t="shared" si="8"/>
        <v/>
      </c>
      <c r="N20" s="12"/>
      <c r="O20" s="925" t="str">
        <f t="shared" si="9"/>
        <v/>
      </c>
      <c r="P20" s="925" t="str">
        <f t="shared" si="10"/>
        <v/>
      </c>
      <c r="Q20" s="925"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18"/>
      <c r="E21" s="918"/>
      <c r="F21" s="918"/>
      <c r="G21" s="919"/>
      <c r="H21" s="918"/>
      <c r="I21" s="30">
        <f t="shared" si="2"/>
        <v>0</v>
      </c>
      <c r="J21" s="30">
        <f t="shared" si="3"/>
        <v>0</v>
      </c>
      <c r="K21" s="9"/>
      <c r="L21" s="32" t="str">
        <f t="shared" si="4"/>
        <v/>
      </c>
      <c r="M21" s="32" t="str">
        <f t="shared" si="8"/>
        <v/>
      </c>
      <c r="N21" s="12"/>
      <c r="O21" s="925" t="str">
        <f t="shared" si="9"/>
        <v/>
      </c>
      <c r="P21" s="925" t="str">
        <f t="shared" si="10"/>
        <v/>
      </c>
      <c r="Q21" s="925"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18"/>
      <c r="E22" s="918"/>
      <c r="F22" s="918"/>
      <c r="G22" s="919"/>
      <c r="H22" s="918"/>
      <c r="I22" s="30">
        <f t="shared" si="2"/>
        <v>0</v>
      </c>
      <c r="J22" s="30">
        <f t="shared" si="3"/>
        <v>0</v>
      </c>
      <c r="K22" s="9"/>
      <c r="L22" s="32" t="str">
        <f t="shared" si="4"/>
        <v/>
      </c>
      <c r="M22" s="32" t="str">
        <f t="shared" si="8"/>
        <v/>
      </c>
      <c r="N22" s="12"/>
      <c r="O22" s="925" t="str">
        <f t="shared" si="9"/>
        <v/>
      </c>
      <c r="P22" s="925" t="str">
        <f t="shared" si="10"/>
        <v/>
      </c>
      <c r="Q22" s="925"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18"/>
      <c r="E23" s="918"/>
      <c r="F23" s="918"/>
      <c r="G23" s="919"/>
      <c r="H23" s="918"/>
      <c r="I23" s="30">
        <f t="shared" si="2"/>
        <v>0</v>
      </c>
      <c r="J23" s="30">
        <f t="shared" si="3"/>
        <v>0</v>
      </c>
      <c r="K23" s="9"/>
      <c r="L23" s="32" t="str">
        <f t="shared" si="4"/>
        <v/>
      </c>
      <c r="M23" s="32" t="str">
        <f t="shared" si="8"/>
        <v/>
      </c>
      <c r="N23" s="12"/>
      <c r="O23" s="925" t="str">
        <f t="shared" si="9"/>
        <v/>
      </c>
      <c r="P23" s="925" t="str">
        <f t="shared" si="10"/>
        <v/>
      </c>
      <c r="Q23" s="925" t="str">
        <f t="shared" si="11"/>
        <v/>
      </c>
      <c r="R23" s="15">
        <f>BEGINBLAD!D18</f>
        <v>0</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18"/>
      <c r="E24" s="918"/>
      <c r="F24" s="918"/>
      <c r="G24" s="918"/>
      <c r="H24" s="918"/>
      <c r="I24" s="30">
        <f t="shared" si="2"/>
        <v>0</v>
      </c>
      <c r="J24" s="30">
        <f t="shared" si="3"/>
        <v>0</v>
      </c>
      <c r="K24" s="9"/>
      <c r="L24" s="32" t="str">
        <f t="shared" si="4"/>
        <v/>
      </c>
      <c r="M24" s="32" t="str">
        <f t="shared" si="8"/>
        <v/>
      </c>
      <c r="N24" s="12"/>
      <c r="O24" s="925" t="str">
        <f t="shared" si="9"/>
        <v/>
      </c>
      <c r="P24" s="925" t="str">
        <f t="shared" si="10"/>
        <v/>
      </c>
      <c r="Q24" s="925"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18"/>
      <c r="E25" s="918"/>
      <c r="F25" s="918"/>
      <c r="G25" s="918"/>
      <c r="H25" s="918"/>
      <c r="I25" s="30">
        <f t="shared" si="2"/>
        <v>0</v>
      </c>
      <c r="J25" s="30">
        <f t="shared" si="3"/>
        <v>0</v>
      </c>
      <c r="K25" s="9"/>
      <c r="L25" s="32" t="str">
        <f t="shared" si="4"/>
        <v/>
      </c>
      <c r="M25" s="32" t="str">
        <f t="shared" si="8"/>
        <v/>
      </c>
      <c r="N25" s="12"/>
      <c r="O25" s="925" t="str">
        <f t="shared" si="9"/>
        <v/>
      </c>
      <c r="P25" s="925" t="str">
        <f t="shared" si="10"/>
        <v/>
      </c>
      <c r="Q25" s="925"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18"/>
      <c r="E26" s="918"/>
      <c r="F26" s="918"/>
      <c r="G26" s="918"/>
      <c r="H26" s="918"/>
      <c r="I26" s="30">
        <f t="shared" si="2"/>
        <v>0</v>
      </c>
      <c r="J26" s="30">
        <f t="shared" si="3"/>
        <v>0</v>
      </c>
      <c r="K26" s="9"/>
      <c r="L26" s="32" t="str">
        <f t="shared" si="4"/>
        <v/>
      </c>
      <c r="M26" s="32" t="str">
        <f t="shared" si="8"/>
        <v/>
      </c>
      <c r="N26" s="12"/>
      <c r="O26" s="925" t="str">
        <f t="shared" si="9"/>
        <v/>
      </c>
      <c r="P26" s="925" t="str">
        <f t="shared" si="10"/>
        <v/>
      </c>
      <c r="Q26" s="925"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18"/>
      <c r="E27" s="918"/>
      <c r="F27" s="918"/>
      <c r="G27" s="918"/>
      <c r="H27" s="918"/>
      <c r="I27" s="30">
        <f t="shared" si="2"/>
        <v>0</v>
      </c>
      <c r="J27" s="30">
        <f t="shared" si="3"/>
        <v>0</v>
      </c>
      <c r="K27" s="9"/>
      <c r="L27" s="32" t="str">
        <f t="shared" si="4"/>
        <v/>
      </c>
      <c r="M27" s="32" t="str">
        <f t="shared" si="8"/>
        <v/>
      </c>
      <c r="N27" s="12"/>
      <c r="O27" s="925" t="str">
        <f t="shared" si="9"/>
        <v/>
      </c>
      <c r="P27" s="925" t="str">
        <f t="shared" si="10"/>
        <v/>
      </c>
      <c r="Q27" s="925"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18"/>
      <c r="E28" s="918"/>
      <c r="F28" s="918"/>
      <c r="G28" s="918"/>
      <c r="H28" s="918"/>
      <c r="I28" s="30">
        <f t="shared" si="2"/>
        <v>0</v>
      </c>
      <c r="J28" s="30">
        <f t="shared" si="3"/>
        <v>0</v>
      </c>
      <c r="K28" s="9"/>
      <c r="L28" s="32" t="str">
        <f t="shared" si="4"/>
        <v/>
      </c>
      <c r="M28" s="32" t="str">
        <f t="shared" si="8"/>
        <v/>
      </c>
      <c r="N28" s="12"/>
      <c r="O28" s="925" t="str">
        <f t="shared" si="9"/>
        <v/>
      </c>
      <c r="P28" s="925" t="str">
        <f t="shared" si="10"/>
        <v/>
      </c>
      <c r="Q28" s="925"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18"/>
      <c r="E29" s="918"/>
      <c r="F29" s="918"/>
      <c r="G29" s="918"/>
      <c r="H29" s="918"/>
      <c r="I29" s="30">
        <f t="shared" si="2"/>
        <v>0</v>
      </c>
      <c r="J29" s="30">
        <f t="shared" si="3"/>
        <v>0</v>
      </c>
      <c r="K29" s="9"/>
      <c r="L29" s="32" t="str">
        <f t="shared" si="4"/>
        <v/>
      </c>
      <c r="M29" s="32" t="str">
        <f t="shared" si="8"/>
        <v/>
      </c>
      <c r="N29" s="12"/>
      <c r="O29" s="925" t="str">
        <f t="shared" si="9"/>
        <v/>
      </c>
      <c r="P29" s="925" t="str">
        <f t="shared" si="10"/>
        <v/>
      </c>
      <c r="Q29" s="925"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18"/>
      <c r="E30" s="918"/>
      <c r="F30" s="918"/>
      <c r="G30" s="918"/>
      <c r="H30" s="918"/>
      <c r="I30" s="30">
        <f t="shared" si="2"/>
        <v>0</v>
      </c>
      <c r="J30" s="30">
        <f t="shared" si="3"/>
        <v>0</v>
      </c>
      <c r="K30" s="9"/>
      <c r="L30" s="32" t="str">
        <f t="shared" si="4"/>
        <v/>
      </c>
      <c r="M30" s="32" t="str">
        <f t="shared" si="8"/>
        <v/>
      </c>
      <c r="N30" s="12"/>
      <c r="O30" s="925" t="str">
        <f t="shared" si="9"/>
        <v/>
      </c>
      <c r="P30" s="925" t="str">
        <f t="shared" si="10"/>
        <v/>
      </c>
      <c r="Q30" s="925"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18"/>
      <c r="E31" s="918"/>
      <c r="F31" s="918"/>
      <c r="G31" s="918"/>
      <c r="H31" s="918"/>
      <c r="I31" s="30">
        <f t="shared" si="2"/>
        <v>0</v>
      </c>
      <c r="J31" s="30">
        <f t="shared" si="3"/>
        <v>0</v>
      </c>
      <c r="K31" s="9"/>
      <c r="L31" s="32" t="str">
        <f t="shared" si="4"/>
        <v/>
      </c>
      <c r="M31" s="32" t="str">
        <f t="shared" si="8"/>
        <v/>
      </c>
      <c r="N31" s="12"/>
      <c r="O31" s="925" t="str">
        <f t="shared" si="9"/>
        <v/>
      </c>
      <c r="P31" s="925" t="str">
        <f t="shared" si="10"/>
        <v/>
      </c>
      <c r="Q31" s="925"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18"/>
      <c r="E32" s="918"/>
      <c r="F32" s="918"/>
      <c r="G32" s="918"/>
      <c r="H32" s="918"/>
      <c r="I32" s="30">
        <f t="shared" si="2"/>
        <v>0</v>
      </c>
      <c r="J32" s="30">
        <f t="shared" si="3"/>
        <v>0</v>
      </c>
      <c r="K32" s="9"/>
      <c r="L32" s="32" t="str">
        <f t="shared" si="4"/>
        <v/>
      </c>
      <c r="M32" s="32" t="str">
        <f t="shared" si="8"/>
        <v/>
      </c>
      <c r="N32" s="12"/>
      <c r="O32" s="925" t="str">
        <f t="shared" si="9"/>
        <v/>
      </c>
      <c r="P32" s="925" t="str">
        <f t="shared" si="10"/>
        <v/>
      </c>
      <c r="Q32" s="925"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18"/>
      <c r="E33" s="918"/>
      <c r="F33" s="918"/>
      <c r="G33" s="918"/>
      <c r="H33" s="918"/>
      <c r="I33" s="30">
        <f t="shared" si="2"/>
        <v>0</v>
      </c>
      <c r="J33" s="30">
        <f t="shared" si="3"/>
        <v>0</v>
      </c>
      <c r="K33" s="9"/>
      <c r="L33" s="32" t="str">
        <f t="shared" si="4"/>
        <v/>
      </c>
      <c r="M33" s="32" t="str">
        <f t="shared" si="8"/>
        <v/>
      </c>
      <c r="N33" s="12"/>
      <c r="O33" s="925" t="str">
        <f t="shared" si="9"/>
        <v/>
      </c>
      <c r="P33" s="925" t="str">
        <f t="shared" si="10"/>
        <v/>
      </c>
      <c r="Q33" s="925"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18"/>
      <c r="E34" s="918"/>
      <c r="F34" s="918"/>
      <c r="G34" s="918"/>
      <c r="H34" s="918"/>
      <c r="I34" s="30">
        <f t="shared" si="2"/>
        <v>0</v>
      </c>
      <c r="J34" s="30">
        <f t="shared" si="3"/>
        <v>0</v>
      </c>
      <c r="K34" s="9"/>
      <c r="L34" s="32" t="str">
        <f t="shared" si="4"/>
        <v/>
      </c>
      <c r="M34" s="32" t="str">
        <f t="shared" si="8"/>
        <v/>
      </c>
      <c r="N34" s="12"/>
      <c r="O34" s="925" t="str">
        <f t="shared" si="9"/>
        <v/>
      </c>
      <c r="P34" s="925" t="str">
        <f t="shared" si="10"/>
        <v/>
      </c>
      <c r="Q34" s="925"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18"/>
      <c r="E35" s="918"/>
      <c r="F35" s="918"/>
      <c r="G35" s="918"/>
      <c r="H35" s="918"/>
      <c r="I35" s="30">
        <f t="shared" si="2"/>
        <v>0</v>
      </c>
      <c r="J35" s="30">
        <f t="shared" si="3"/>
        <v>0</v>
      </c>
      <c r="K35" s="9"/>
      <c r="L35" s="32" t="str">
        <f t="shared" si="4"/>
        <v/>
      </c>
      <c r="M35" s="32" t="str">
        <f t="shared" si="8"/>
        <v/>
      </c>
      <c r="N35" s="12"/>
      <c r="O35" s="925" t="str">
        <f t="shared" si="9"/>
        <v/>
      </c>
      <c r="P35" s="925" t="str">
        <f t="shared" si="10"/>
        <v/>
      </c>
      <c r="Q35" s="925"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0"/>
      <c r="E36" s="918"/>
      <c r="F36" s="918"/>
      <c r="G36" s="918"/>
      <c r="H36" s="920"/>
      <c r="I36" s="30">
        <f t="shared" si="2"/>
        <v>0</v>
      </c>
      <c r="J36" s="30">
        <f t="shared" si="3"/>
        <v>0</v>
      </c>
      <c r="K36" s="9"/>
      <c r="L36" s="32" t="str">
        <f t="shared" si="4"/>
        <v/>
      </c>
      <c r="M36" s="32" t="str">
        <f t="shared" si="8"/>
        <v/>
      </c>
      <c r="N36" s="12"/>
      <c r="O36" s="925" t="str">
        <f t="shared" si="9"/>
        <v/>
      </c>
      <c r="P36" s="925" t="str">
        <f t="shared" si="10"/>
        <v/>
      </c>
      <c r="Q36" s="925"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0"/>
      <c r="E37" s="918"/>
      <c r="F37" s="918"/>
      <c r="G37" s="918"/>
      <c r="H37" s="920"/>
      <c r="I37" s="30">
        <f t="shared" si="2"/>
        <v>0</v>
      </c>
      <c r="J37" s="30">
        <f t="shared" si="3"/>
        <v>0</v>
      </c>
      <c r="K37" s="9"/>
      <c r="L37" s="32" t="str">
        <f t="shared" si="4"/>
        <v/>
      </c>
      <c r="M37" s="32" t="str">
        <f t="shared" si="8"/>
        <v/>
      </c>
      <c r="N37" s="12"/>
      <c r="O37" s="925" t="str">
        <f t="shared" si="9"/>
        <v/>
      </c>
      <c r="P37" s="925" t="str">
        <f t="shared" si="10"/>
        <v/>
      </c>
      <c r="Q37" s="925"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1"/>
      <c r="E38" s="921"/>
      <c r="F38" s="921"/>
      <c r="G38" s="922"/>
      <c r="H38" s="922"/>
      <c r="I38" s="30">
        <f t="shared" si="2"/>
        <v>0</v>
      </c>
      <c r="J38" s="30">
        <f t="shared" si="3"/>
        <v>0</v>
      </c>
      <c r="K38" s="9"/>
      <c r="L38" s="32" t="str">
        <f t="shared" si="4"/>
        <v/>
      </c>
      <c r="M38" s="32" t="str">
        <f t="shared" si="8"/>
        <v/>
      </c>
      <c r="N38" s="12"/>
      <c r="O38" s="925" t="str">
        <f t="shared" si="9"/>
        <v/>
      </c>
      <c r="P38" s="925" t="str">
        <f t="shared" si="10"/>
        <v/>
      </c>
      <c r="Q38" s="925"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1"/>
      <c r="E39" s="921"/>
      <c r="F39" s="921"/>
      <c r="G39" s="921"/>
      <c r="H39" s="921"/>
      <c r="I39" s="30">
        <f t="shared" si="2"/>
        <v>0</v>
      </c>
      <c r="J39" s="30">
        <f t="shared" si="3"/>
        <v>0</v>
      </c>
      <c r="K39" s="9"/>
      <c r="L39" s="32" t="str">
        <f t="shared" si="4"/>
        <v/>
      </c>
      <c r="M39" s="32" t="str">
        <f t="shared" si="8"/>
        <v/>
      </c>
      <c r="N39" s="12"/>
      <c r="O39" s="925" t="str">
        <f t="shared" si="9"/>
        <v/>
      </c>
      <c r="P39" s="925" t="str">
        <f t="shared" si="10"/>
        <v/>
      </c>
      <c r="Q39" s="925"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1"/>
      <c r="E40" s="921"/>
      <c r="F40" s="921"/>
      <c r="G40" s="921"/>
      <c r="H40" s="921"/>
      <c r="I40" s="30">
        <f t="shared" si="2"/>
        <v>0</v>
      </c>
      <c r="J40" s="30">
        <f t="shared" si="3"/>
        <v>0</v>
      </c>
      <c r="K40" s="9"/>
      <c r="L40" s="32" t="str">
        <f t="shared" si="4"/>
        <v/>
      </c>
      <c r="M40" s="32" t="str">
        <f t="shared" si="8"/>
        <v/>
      </c>
      <c r="N40" s="12"/>
      <c r="O40" s="925" t="str">
        <f t="shared" si="9"/>
        <v/>
      </c>
      <c r="P40" s="925" t="str">
        <f t="shared" si="10"/>
        <v/>
      </c>
      <c r="Q40" s="925"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1"/>
      <c r="E41" s="921"/>
      <c r="F41" s="921"/>
      <c r="G41" s="921"/>
      <c r="H41" s="921"/>
      <c r="I41" s="30">
        <f t="shared" si="2"/>
        <v>0</v>
      </c>
      <c r="J41" s="30">
        <f t="shared" si="3"/>
        <v>0</v>
      </c>
      <c r="K41" s="9"/>
      <c r="L41" s="32" t="str">
        <f t="shared" si="4"/>
        <v/>
      </c>
      <c r="M41" s="32" t="str">
        <f t="shared" si="8"/>
        <v/>
      </c>
      <c r="N41" s="12"/>
      <c r="O41" s="925" t="str">
        <f t="shared" si="9"/>
        <v/>
      </c>
      <c r="P41" s="925" t="str">
        <f t="shared" si="10"/>
        <v/>
      </c>
      <c r="Q41" s="925"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1"/>
      <c r="E42" s="921"/>
      <c r="F42" s="921"/>
      <c r="G42" s="921"/>
      <c r="H42" s="921"/>
      <c r="I42" s="30">
        <f t="shared" si="2"/>
        <v>0</v>
      </c>
      <c r="J42" s="30">
        <f t="shared" si="3"/>
        <v>0</v>
      </c>
      <c r="K42" s="9"/>
      <c r="L42" s="32"/>
      <c r="M42" s="32"/>
      <c r="N42" s="12"/>
      <c r="O42" s="925" t="str">
        <f t="shared" si="9"/>
        <v/>
      </c>
      <c r="P42" s="925" t="str">
        <f t="shared" si="10"/>
        <v/>
      </c>
      <c r="Q42" s="925"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1"/>
      <c r="E43" s="921"/>
      <c r="F43" s="921"/>
      <c r="G43" s="921"/>
      <c r="H43" s="921"/>
      <c r="I43" s="30">
        <f t="shared" si="2"/>
        <v>0</v>
      </c>
      <c r="J43" s="30">
        <f t="shared" si="3"/>
        <v>0</v>
      </c>
      <c r="K43" s="9"/>
      <c r="L43" s="32" t="str">
        <f t="shared" si="4"/>
        <v/>
      </c>
      <c r="M43" s="32" t="str">
        <f t="shared" si="8"/>
        <v/>
      </c>
      <c r="N43" s="12"/>
      <c r="O43" s="925" t="str">
        <f t="shared" si="9"/>
        <v/>
      </c>
      <c r="P43" s="925" t="str">
        <f t="shared" si="10"/>
        <v/>
      </c>
      <c r="Q43" s="925" t="str">
        <f t="shared" si="11"/>
        <v/>
      </c>
      <c r="R43" s="15">
        <f>BEGINBLAD!D38</f>
        <v>0</v>
      </c>
      <c r="S43" s="30">
        <v>35</v>
      </c>
      <c r="T43" s="541">
        <f>BEGINBLAD!C38</f>
        <v>0</v>
      </c>
      <c r="U43" s="346"/>
      <c r="V43" s="344"/>
      <c r="W43" s="344"/>
      <c r="X43" s="344"/>
      <c r="Y43" s="344"/>
      <c r="Z43" s="30">
        <f t="shared" si="5"/>
        <v>0</v>
      </c>
      <c r="AA43" s="30">
        <f t="shared" si="6"/>
        <v>0</v>
      </c>
      <c r="AB43" s="9"/>
      <c r="AC43" s="353" t="str">
        <f t="shared" si="7"/>
        <v/>
      </c>
      <c r="AD43" s="352" t="str">
        <f t="shared" si="12"/>
        <v/>
      </c>
    </row>
    <row r="44" spans="1:30" ht="19.5" customHeight="1" x14ac:dyDescent="0.25">
      <c r="A44" s="15">
        <f>BEGINBLAD!D38</f>
        <v>0</v>
      </c>
      <c r="B44" s="30">
        <v>36</v>
      </c>
      <c r="C44" s="541">
        <f>BEGINBLAD!C39</f>
        <v>0</v>
      </c>
      <c r="D44" s="921"/>
      <c r="E44" s="921"/>
      <c r="F44" s="921"/>
      <c r="G44" s="921"/>
      <c r="H44" s="921"/>
      <c r="I44" s="30">
        <f t="shared" si="2"/>
        <v>0</v>
      </c>
      <c r="J44" s="30">
        <f t="shared" si="3"/>
        <v>0</v>
      </c>
      <c r="K44" s="9"/>
      <c r="L44" s="32" t="str">
        <f t="shared" si="4"/>
        <v/>
      </c>
      <c r="M44" s="32" t="str">
        <f t="shared" si="8"/>
        <v/>
      </c>
      <c r="N44" s="12"/>
      <c r="O44" s="925" t="str">
        <f t="shared" si="9"/>
        <v/>
      </c>
      <c r="P44" s="925" t="str">
        <f t="shared" si="10"/>
        <v/>
      </c>
      <c r="Q44" s="925" t="str">
        <f t="shared" si="11"/>
        <v/>
      </c>
      <c r="R44" s="15">
        <f>BEGINBLAD!D39</f>
        <v>0</v>
      </c>
      <c r="S44" s="30">
        <v>36</v>
      </c>
      <c r="T44" s="541">
        <f>BEGINBLAD!C39</f>
        <v>0</v>
      </c>
      <c r="U44" s="346"/>
      <c r="V44" s="344"/>
      <c r="W44" s="344"/>
      <c r="X44" s="344"/>
      <c r="Y44" s="344"/>
      <c r="Z44" s="30">
        <f t="shared" si="5"/>
        <v>0</v>
      </c>
      <c r="AA44" s="30">
        <f t="shared" si="6"/>
        <v>0</v>
      </c>
      <c r="AB44" s="9"/>
      <c r="AC44" s="353" t="str">
        <f t="shared" si="7"/>
        <v/>
      </c>
      <c r="AD44" s="352" t="str">
        <f t="shared" si="12"/>
        <v/>
      </c>
    </row>
    <row r="45" spans="1:30" ht="19.5" customHeight="1" x14ac:dyDescent="0.25">
      <c r="A45" s="338"/>
      <c r="B45" s="537"/>
      <c r="C45" s="10" t="s">
        <v>71</v>
      </c>
      <c r="D45" s="542" t="e">
        <f t="shared" ref="D45:J45" si="13">AVERAGE(D9:D44)</f>
        <v>#DIV/0!</v>
      </c>
      <c r="E45" s="542" t="e">
        <f t="shared" si="13"/>
        <v>#DIV/0!</v>
      </c>
      <c r="F45" s="542" t="e">
        <f t="shared" si="13"/>
        <v>#DIV/0!</v>
      </c>
      <c r="G45" s="542" t="e">
        <f t="shared" si="13"/>
        <v>#DIV/0!</v>
      </c>
      <c r="H45" s="542" t="e">
        <f t="shared" si="13"/>
        <v>#DIV/0!</v>
      </c>
      <c r="I45" s="542">
        <f t="shared" si="13"/>
        <v>0</v>
      </c>
      <c r="J45" s="542">
        <f t="shared" si="13"/>
        <v>0</v>
      </c>
      <c r="K45" s="543"/>
      <c r="L45" s="542" t="e">
        <f>AVERAGE(L9:L44)</f>
        <v>#DIV/0!</v>
      </c>
      <c r="M45" s="182"/>
      <c r="N45" s="555" t="s">
        <v>77</v>
      </c>
      <c r="O45" s="646" t="e">
        <f>O48/O52</f>
        <v>#DIV/0!</v>
      </c>
      <c r="P45" s="646" t="e">
        <f t="shared" ref="P45:Q45" si="14">P48/P52</f>
        <v>#DIV/0!</v>
      </c>
      <c r="Q45" s="646" t="e">
        <f t="shared" si="14"/>
        <v>#DIV/0!</v>
      </c>
      <c r="R45" s="338"/>
      <c r="S45" s="537"/>
      <c r="T45" s="10"/>
      <c r="U45" s="543"/>
      <c r="V45" s="543"/>
      <c r="W45" s="543"/>
      <c r="X45" s="543"/>
      <c r="Y45" s="543"/>
      <c r="Z45" s="543"/>
      <c r="AA45" s="543"/>
      <c r="AB45" s="543"/>
      <c r="AC45" s="543"/>
      <c r="AD45" s="182"/>
    </row>
    <row r="46" spans="1:30" ht="19.5" customHeight="1" x14ac:dyDescent="0.25">
      <c r="A46" s="338"/>
      <c r="B46" s="537"/>
      <c r="C46" s="10" t="s">
        <v>72</v>
      </c>
      <c r="D46" s="11" t="e">
        <f>IF(D45="","",IF(D45&gt;4.5,"A-1+",IF(D45&gt;4,"A-1",IF(D45&gt;=4,"A-2",IF(D45&gt;3.4,"B-2",IF(D45&gt;=3,"B-3",IF(D45&gt;2.5,"C-3",IF(D45&gt;=2,"C-4",IF(D45&gt;1.6,"D-4",IF(D45&gt;=1,"D-5",IF(D45&gt;0.5,"E-5",IF(D45&gt;=0,"E-5-"))))))))))))</f>
        <v>#DIV/0!</v>
      </c>
      <c r="E46" s="11" t="e">
        <f t="shared" ref="E46:H46" si="15">IF(E45="","",IF(E45&gt;4.5,"A-1+",IF(E45&gt;4.2,"A-1",IF(E45&gt;=4,"A-2",IF(E45&gt;3.3,"B-2",IF(E45&gt;=3,"B-3",IF(E45&gt;2.4,"C-3",IF(E45&gt;=2,"C-4",IF(E45&gt;1.5,"D-4",IF(E45&gt;=1,"D-5",IF(E45&gt;0.5,"E-5",IF(E45&gt;=0,"E-5-"))))))))))))</f>
        <v>#DIV/0!</v>
      </c>
      <c r="F46" s="11" t="e">
        <f t="shared" si="15"/>
        <v>#DIV/0!</v>
      </c>
      <c r="G46" s="11" t="e">
        <f t="shared" si="15"/>
        <v>#DIV/0!</v>
      </c>
      <c r="H46" s="11" t="e">
        <f t="shared" si="15"/>
        <v>#DIV/0!</v>
      </c>
      <c r="I46" s="11" t="b">
        <f t="shared" ref="I46:K46" si="16">IF(I45="","",IF(I45&gt;=4.5,"A+",IF(I45&gt;=4,"A",IF(I45&gt;=3,"B",IF(I45&gt;2.3,"C",IF(I45&gt;=2,"C-",IF(I45&gt;=1,"D",IF(I45&gt;0,"E"))))))))</f>
        <v>0</v>
      </c>
      <c r="J46" s="11" t="b">
        <f t="shared" si="16"/>
        <v>0</v>
      </c>
      <c r="K46" s="12" t="str">
        <f t="shared" si="16"/>
        <v/>
      </c>
      <c r="L46" s="11" t="e">
        <f>IF(L45="","",IF(L45&gt;4.5,"A-1+",IF(L45&gt;4.2,"A-1",IF(L45&gt;=4,"A-2",IF(L45&gt;3.3,"B-2",IF(L45&gt;=3,"B-3",IF(L45&gt;2.4,"C-3",IF(L45&gt;=2,"C-4",IF(L45&gt;1.5,"D-4",IF(L45&gt;=1,"D-5",IF(L45&gt;0.5,"E-5",IF(L45&gt;=0,"E-5-"))))))))))))</f>
        <v>#DIV/0!</v>
      </c>
      <c r="M46" s="182"/>
      <c r="N46" s="555" t="s">
        <v>76</v>
      </c>
      <c r="O46" s="646" t="e">
        <f>O51/O52</f>
        <v>#DIV/0!</v>
      </c>
      <c r="P46" s="646" t="e">
        <f t="shared" ref="P46:Q46" si="17">P51/P52</f>
        <v>#DIV/0!</v>
      </c>
      <c r="Q46" s="646" t="e">
        <f t="shared" si="17"/>
        <v>#DIV/0!</v>
      </c>
      <c r="R46" s="338"/>
      <c r="S46" s="537"/>
      <c r="T46" s="10"/>
      <c r="U46" s="12"/>
      <c r="V46" s="12"/>
      <c r="W46" s="12"/>
      <c r="X46" s="12"/>
      <c r="Y46" s="12"/>
      <c r="Z46" s="12"/>
      <c r="AA46" s="12"/>
      <c r="AB46" s="12"/>
      <c r="AC46" s="12"/>
      <c r="AD46" s="182"/>
    </row>
    <row r="47" spans="1:30" ht="19.5" customHeight="1" x14ac:dyDescent="0.25">
      <c r="A47" s="338"/>
      <c r="B47" s="537"/>
      <c r="C47" s="41">
        <f>BEGINBLAD!$D$40</f>
        <v>8</v>
      </c>
      <c r="D47" s="182"/>
      <c r="E47" s="182"/>
      <c r="F47" s="182"/>
      <c r="G47" s="182"/>
      <c r="H47" s="182"/>
      <c r="I47" s="182"/>
      <c r="J47" s="182"/>
      <c r="K47" s="182"/>
      <c r="L47" s="182"/>
      <c r="M47" s="182"/>
      <c r="N47" s="555" t="s">
        <v>78</v>
      </c>
      <c r="O47" s="646" t="e">
        <f>O50/O52</f>
        <v>#DIV/0!</v>
      </c>
      <c r="P47" s="646" t="e">
        <f t="shared" ref="P47:Q47" si="18">P50/P52</f>
        <v>#DIV/0!</v>
      </c>
      <c r="Q47" s="646" t="e">
        <f t="shared" si="18"/>
        <v>#DIV/0!</v>
      </c>
      <c r="R47" s="338"/>
      <c r="S47" s="537"/>
      <c r="T47" s="41"/>
      <c r="U47" s="182"/>
      <c r="V47" s="182"/>
      <c r="W47" s="182"/>
      <c r="X47" s="182"/>
      <c r="Y47" s="182"/>
      <c r="Z47" s="182"/>
      <c r="AA47" s="182"/>
      <c r="AB47" s="182"/>
      <c r="AC47" s="182"/>
      <c r="AD47" s="182"/>
    </row>
    <row r="48" spans="1:30" ht="19.5" customHeight="1" x14ac:dyDescent="0.25">
      <c r="A48" s="338"/>
      <c r="B48" s="537"/>
      <c r="C48" s="41"/>
      <c r="D48" s="182"/>
      <c r="E48" s="182"/>
      <c r="F48" s="182"/>
      <c r="G48" s="182"/>
      <c r="H48" s="182"/>
      <c r="I48" s="182"/>
      <c r="J48" s="182"/>
      <c r="K48" s="182"/>
      <c r="L48" s="182"/>
      <c r="M48" s="182"/>
      <c r="N48" s="907" t="s">
        <v>77</v>
      </c>
      <c r="O48" s="907">
        <f>O52-O51</f>
        <v>0</v>
      </c>
      <c r="P48" s="907">
        <f t="shared" ref="P48:Q48" si="19">P52-P51</f>
        <v>0</v>
      </c>
      <c r="Q48" s="907">
        <f t="shared" si="19"/>
        <v>0</v>
      </c>
      <c r="R48" s="338"/>
      <c r="S48" s="537"/>
      <c r="T48" s="41"/>
      <c r="U48" s="182"/>
      <c r="V48" s="182"/>
      <c r="W48" s="182"/>
      <c r="X48" s="182"/>
      <c r="Y48" s="182"/>
      <c r="Z48" s="182"/>
      <c r="AA48" s="182"/>
      <c r="AB48" s="182"/>
      <c r="AC48" s="182"/>
      <c r="AD48" s="182"/>
    </row>
    <row r="49" spans="1:30" ht="19.5" customHeight="1" x14ac:dyDescent="0.25">
      <c r="A49" s="338"/>
      <c r="B49" s="316"/>
      <c r="C49" s="586" t="s">
        <v>80</v>
      </c>
      <c r="D49" s="587" t="e">
        <f>LARGE(D9:D44,D51+1)</f>
        <v>#NUM!</v>
      </c>
      <c r="E49" s="587" t="e">
        <f t="shared" ref="E49:H49" si="20">LARGE(E9:E44,E51+1)</f>
        <v>#NUM!</v>
      </c>
      <c r="F49" s="587" t="e">
        <f t="shared" si="20"/>
        <v>#NUM!</v>
      </c>
      <c r="G49" s="587" t="e">
        <f t="shared" si="20"/>
        <v>#NUM!</v>
      </c>
      <c r="H49" s="587" t="e">
        <f t="shared" si="20"/>
        <v>#NUM!</v>
      </c>
      <c r="I49" s="540"/>
      <c r="J49" s="540"/>
      <c r="K49" s="540"/>
      <c r="L49" s="589"/>
      <c r="M49" s="589"/>
      <c r="N49" s="907" t="s">
        <v>76</v>
      </c>
      <c r="O49" s="907">
        <f>COUNTIF(O9:O44,"1F")</f>
        <v>0</v>
      </c>
      <c r="P49" s="907">
        <f>COUNTIF(P9:P44,"1F")</f>
        <v>0</v>
      </c>
      <c r="Q49" s="907">
        <f>COUNTIF(Q9:Q44,"1F")</f>
        <v>0</v>
      </c>
      <c r="R49" s="338"/>
      <c r="S49" s="537"/>
      <c r="T49" s="41"/>
      <c r="U49" s="182"/>
      <c r="V49" s="182"/>
      <c r="W49" s="182"/>
      <c r="X49" s="182"/>
      <c r="Y49" s="182"/>
      <c r="Z49" s="182"/>
      <c r="AA49" s="182"/>
      <c r="AB49" s="182"/>
      <c r="AC49" s="182"/>
      <c r="AD49" s="182"/>
    </row>
    <row r="50" spans="1:30" ht="19.5" customHeight="1" x14ac:dyDescent="0.25">
      <c r="A50" s="338"/>
      <c r="B50" s="316"/>
      <c r="C50" s="586" t="s">
        <v>81</v>
      </c>
      <c r="D50" s="587" t="e">
        <f>SMALL(D9:D44,(D51+1))</f>
        <v>#NUM!</v>
      </c>
      <c r="E50" s="587" t="e">
        <f t="shared" ref="E50:H50" si="21">SMALL(E9:E44,(E51+1))</f>
        <v>#NUM!</v>
      </c>
      <c r="F50" s="587" t="e">
        <f t="shared" si="21"/>
        <v>#NUM!</v>
      </c>
      <c r="G50" s="587" t="e">
        <f t="shared" si="21"/>
        <v>#NUM!</v>
      </c>
      <c r="H50" s="587" t="e">
        <f t="shared" si="21"/>
        <v>#NUM!</v>
      </c>
      <c r="I50" s="540"/>
      <c r="J50" s="540"/>
      <c r="K50" s="540"/>
      <c r="L50" s="589"/>
      <c r="M50" s="589"/>
      <c r="N50" s="907" t="s">
        <v>82</v>
      </c>
      <c r="O50" s="907">
        <f>COUNTIF(O9:O44,"2F")</f>
        <v>0</v>
      </c>
      <c r="P50" s="907">
        <f>COUNTIF(P9:P44,"2F")</f>
        <v>0</v>
      </c>
      <c r="Q50" s="907">
        <f>COUNTIF(Q9:Q44,"1S")</f>
        <v>0</v>
      </c>
      <c r="R50" s="338"/>
      <c r="S50" s="537"/>
      <c r="T50" s="41"/>
      <c r="U50" s="182"/>
      <c r="V50" s="182"/>
      <c r="W50" s="182"/>
      <c r="X50" s="182"/>
      <c r="Y50" s="182"/>
      <c r="Z50" s="182"/>
      <c r="AA50" s="182"/>
      <c r="AB50" s="182"/>
      <c r="AC50" s="182"/>
      <c r="AD50" s="182"/>
    </row>
    <row r="51" spans="1:30" ht="19.5" customHeight="1" x14ac:dyDescent="0.25">
      <c r="A51" s="338"/>
      <c r="B51" s="316"/>
      <c r="C51" s="588">
        <v>0.25</v>
      </c>
      <c r="D51" s="587">
        <f>D52*0.25</f>
        <v>0</v>
      </c>
      <c r="E51" s="587">
        <f t="shared" ref="E51:H51" si="22">E52*0.25</f>
        <v>0</v>
      </c>
      <c r="F51" s="587">
        <f t="shared" si="22"/>
        <v>0</v>
      </c>
      <c r="G51" s="587">
        <f t="shared" si="22"/>
        <v>0</v>
      </c>
      <c r="H51" s="587">
        <f t="shared" si="22"/>
        <v>0</v>
      </c>
      <c r="I51" s="182"/>
      <c r="J51" s="182"/>
      <c r="K51" s="182"/>
      <c r="L51" s="127"/>
      <c r="M51" s="127"/>
      <c r="N51" s="907" t="s">
        <v>79</v>
      </c>
      <c r="O51" s="907">
        <f>SUM(O49:O50)</f>
        <v>0</v>
      </c>
      <c r="P51" s="907">
        <f>SUM(P49:P50)</f>
        <v>0</v>
      </c>
      <c r="Q51" s="907">
        <f>SUM(Q49:Q50)</f>
        <v>0</v>
      </c>
      <c r="R51" s="338"/>
      <c r="S51" s="537"/>
      <c r="T51" s="41"/>
      <c r="U51" s="182"/>
      <c r="V51" s="182"/>
      <c r="W51" s="182"/>
      <c r="X51" s="182"/>
      <c r="Y51" s="182"/>
      <c r="Z51" s="182"/>
      <c r="AA51" s="182"/>
      <c r="AB51" s="182"/>
      <c r="AC51" s="182"/>
      <c r="AD51" s="182"/>
    </row>
    <row r="52" spans="1:30" ht="19.5" customHeight="1" x14ac:dyDescent="0.25">
      <c r="A52" s="338"/>
      <c r="B52" s="316"/>
      <c r="C52" s="588" t="s">
        <v>84</v>
      </c>
      <c r="D52" s="587">
        <f>COUNT(D9:D44)</f>
        <v>0</v>
      </c>
      <c r="E52" s="587">
        <f t="shared" ref="E52:H52" si="23">COUNT(E9:E44)</f>
        <v>0</v>
      </c>
      <c r="F52" s="587">
        <f t="shared" si="23"/>
        <v>0</v>
      </c>
      <c r="G52" s="587">
        <f t="shared" si="23"/>
        <v>0</v>
      </c>
      <c r="H52" s="587">
        <f t="shared" si="23"/>
        <v>0</v>
      </c>
      <c r="I52" s="182"/>
      <c r="J52" s="182"/>
      <c r="K52" s="182"/>
      <c r="L52" s="127"/>
      <c r="M52" s="127"/>
      <c r="N52" s="907" t="s">
        <v>85</v>
      </c>
      <c r="O52" s="907">
        <f>COUNTIF(O9:O44,"&gt;""")</f>
        <v>0</v>
      </c>
      <c r="P52" s="907">
        <f t="shared" ref="P52:Q52" si="24">COUNTIF(P9:P44,"&gt;""")</f>
        <v>0</v>
      </c>
      <c r="Q52" s="907">
        <f t="shared" si="24"/>
        <v>0</v>
      </c>
      <c r="R52" s="338"/>
      <c r="S52" s="537"/>
      <c r="T52" s="41"/>
      <c r="U52" s="182"/>
      <c r="V52" s="182"/>
      <c r="W52" s="182"/>
      <c r="X52" s="182"/>
      <c r="Y52" s="182"/>
      <c r="Z52" s="182"/>
      <c r="AA52" s="182"/>
      <c r="AB52" s="182"/>
      <c r="AC52" s="182"/>
      <c r="AD52" s="182"/>
    </row>
    <row r="53" spans="1:30" ht="19.5" customHeight="1" x14ac:dyDescent="0.25">
      <c r="A53" s="338"/>
      <c r="B53" s="316"/>
      <c r="C53" s="586"/>
      <c r="D53" s="587"/>
      <c r="E53" s="587"/>
      <c r="F53" s="587"/>
      <c r="G53" s="587"/>
      <c r="H53" s="587"/>
      <c r="I53" s="127"/>
      <c r="J53" s="127"/>
      <c r="K53" s="127"/>
      <c r="L53" s="127"/>
      <c r="M53" s="127"/>
      <c r="N53" s="590"/>
      <c r="O53" s="590"/>
      <c r="P53" s="590"/>
      <c r="Q53" s="590"/>
      <c r="R53" s="338"/>
      <c r="S53" s="537"/>
      <c r="T53" s="41"/>
      <c r="U53" s="182"/>
      <c r="V53" s="182"/>
      <c r="W53" s="182"/>
      <c r="X53" s="182"/>
      <c r="Y53" s="182"/>
      <c r="Z53" s="182"/>
      <c r="AA53" s="182"/>
      <c r="AB53" s="182"/>
      <c r="AC53" s="182"/>
      <c r="AD53" s="182"/>
    </row>
    <row r="54" spans="1:30" ht="10" customHeight="1" x14ac:dyDescent="0.25">
      <c r="A54" s="338"/>
      <c r="B54" s="316"/>
      <c r="C54" s="566"/>
      <c r="D54" s="127"/>
      <c r="E54" s="127"/>
      <c r="F54" s="127"/>
      <c r="G54" s="127"/>
      <c r="H54" s="127"/>
      <c r="I54" s="127"/>
      <c r="J54" s="127"/>
      <c r="K54" s="127"/>
      <c r="L54" s="127"/>
      <c r="M54" s="127"/>
      <c r="N54" s="590"/>
      <c r="O54" s="590"/>
      <c r="P54" s="590"/>
      <c r="Q54" s="590"/>
      <c r="R54" s="338"/>
      <c r="S54" s="537"/>
      <c r="T54" s="41"/>
      <c r="U54" s="182"/>
      <c r="V54" s="182"/>
      <c r="W54" s="182"/>
      <c r="X54" s="182"/>
      <c r="Y54" s="182"/>
      <c r="Z54" s="182"/>
      <c r="AA54" s="182"/>
      <c r="AB54" s="182"/>
      <c r="AC54" s="182"/>
      <c r="AD54" s="182"/>
    </row>
    <row r="55" spans="1:30" ht="19.5" customHeight="1" x14ac:dyDescent="0.25">
      <c r="A55" s="338"/>
      <c r="B55" s="316"/>
      <c r="C55" s="566"/>
      <c r="D55" s="127"/>
      <c r="E55" s="127"/>
      <c r="F55" s="127"/>
      <c r="G55" s="127"/>
      <c r="H55" s="127"/>
      <c r="I55" s="127"/>
      <c r="J55" s="127"/>
      <c r="K55" s="127"/>
      <c r="L55" s="127"/>
      <c r="M55" s="127"/>
      <c r="N55" s="127"/>
      <c r="O55" s="127"/>
      <c r="P55" s="127"/>
      <c r="Q55" s="127"/>
      <c r="R55" s="338"/>
      <c r="S55" s="537"/>
      <c r="T55" s="41"/>
      <c r="U55" s="182"/>
      <c r="V55" s="182"/>
      <c r="W55" s="182"/>
      <c r="X55" s="182"/>
      <c r="Y55" s="182"/>
      <c r="Z55" s="182"/>
      <c r="AA55" s="182"/>
      <c r="AB55" s="182"/>
      <c r="AC55" s="182"/>
      <c r="AD55" s="182"/>
    </row>
    <row r="56" spans="1:30" ht="19.5" customHeight="1" x14ac:dyDescent="0.25">
      <c r="A56" s="338"/>
      <c r="B56" s="316"/>
      <c r="C56" s="566"/>
      <c r="D56" s="127"/>
      <c r="E56" s="127"/>
      <c r="F56" s="127"/>
      <c r="G56" s="127"/>
      <c r="H56" s="127"/>
      <c r="I56" s="127"/>
      <c r="J56" s="127"/>
      <c r="K56" s="127"/>
      <c r="L56" s="127"/>
      <c r="M56" s="127"/>
      <c r="N56" s="127"/>
      <c r="O56" s="127"/>
      <c r="P56" s="127"/>
      <c r="Q56" s="127"/>
      <c r="R56" s="338"/>
      <c r="S56" s="537"/>
      <c r="T56" s="41"/>
      <c r="U56" s="182"/>
      <c r="V56" s="182"/>
      <c r="W56" s="182"/>
      <c r="X56" s="182"/>
      <c r="Y56" s="182"/>
      <c r="Z56" s="182"/>
      <c r="AA56" s="182"/>
      <c r="AB56" s="182"/>
      <c r="AC56" s="182"/>
      <c r="AD56" s="182"/>
    </row>
    <row r="57" spans="1:30" ht="19.5" customHeight="1" x14ac:dyDescent="0.25">
      <c r="A57" s="338"/>
      <c r="B57" s="316"/>
      <c r="C57" s="566"/>
      <c r="D57" s="127"/>
      <c r="E57" s="127"/>
      <c r="F57" s="127"/>
      <c r="G57" s="127"/>
      <c r="H57" s="127"/>
      <c r="I57" s="182"/>
      <c r="J57" s="182"/>
      <c r="K57" s="182"/>
      <c r="L57" s="182"/>
      <c r="M57" s="182"/>
      <c r="N57" s="127"/>
      <c r="O57" s="127"/>
      <c r="P57" s="127"/>
      <c r="Q57" s="127"/>
      <c r="R57" s="338"/>
      <c r="S57" s="537"/>
      <c r="T57" s="41"/>
      <c r="U57" s="182"/>
      <c r="V57" s="182"/>
      <c r="W57" s="182"/>
      <c r="X57" s="182"/>
      <c r="Y57" s="182"/>
      <c r="Z57" s="182"/>
      <c r="AA57" s="182"/>
      <c r="AB57" s="182"/>
      <c r="AC57" s="182"/>
      <c r="AD57" s="182"/>
    </row>
    <row r="58" spans="1:30" ht="19.5" customHeight="1" x14ac:dyDescent="0.25">
      <c r="A58" s="338"/>
      <c r="B58" s="316"/>
      <c r="C58" s="566"/>
      <c r="D58" s="127"/>
      <c r="E58" s="127"/>
      <c r="F58" s="127"/>
      <c r="G58" s="127"/>
      <c r="H58" s="127"/>
      <c r="I58" s="182"/>
      <c r="J58" s="182"/>
      <c r="K58" s="182"/>
      <c r="L58" s="182"/>
      <c r="M58" s="182"/>
      <c r="N58" s="182"/>
      <c r="O58" s="182"/>
      <c r="P58" s="182"/>
      <c r="Q58" s="182"/>
      <c r="R58" s="338"/>
      <c r="S58" s="537"/>
      <c r="T58" s="41"/>
      <c r="U58" s="182"/>
      <c r="V58" s="182"/>
      <c r="W58" s="182"/>
      <c r="X58" s="182"/>
      <c r="Y58" s="182"/>
      <c r="Z58" s="182"/>
      <c r="AA58" s="182"/>
      <c r="AB58" s="182"/>
      <c r="AC58" s="182"/>
      <c r="AD58" s="182"/>
    </row>
    <row r="59" spans="1:30" ht="19.5" customHeight="1" x14ac:dyDescent="0.25">
      <c r="A59" s="338"/>
      <c r="B59" s="316"/>
      <c r="C59" s="566"/>
      <c r="D59" s="127"/>
      <c r="E59" s="127"/>
      <c r="F59" s="127"/>
      <c r="G59" s="127"/>
      <c r="H59" s="127"/>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ht="19.5" customHeight="1" x14ac:dyDescent="0.25">
      <c r="A60" s="338"/>
      <c r="B60" s="316"/>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316"/>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316"/>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row r="64" spans="1:30" x14ac:dyDescent="0.25">
      <c r="A64" s="338"/>
      <c r="B64" s="537"/>
      <c r="C64" s="566"/>
      <c r="D64" s="127"/>
      <c r="E64" s="127"/>
      <c r="F64" s="127"/>
      <c r="G64" s="127"/>
      <c r="H64" s="127"/>
      <c r="I64" s="182"/>
      <c r="J64" s="182"/>
      <c r="K64" s="182"/>
      <c r="L64" s="182"/>
      <c r="M64" s="182"/>
      <c r="R64" s="338"/>
      <c r="S64" s="537"/>
      <c r="T64" s="41"/>
      <c r="U64" s="182"/>
      <c r="V64" s="182"/>
      <c r="W64" s="182"/>
      <c r="X64" s="182"/>
      <c r="Y64" s="182"/>
      <c r="Z64" s="182"/>
      <c r="AA64" s="182"/>
      <c r="AB64" s="182"/>
      <c r="AC64" s="182"/>
      <c r="AD64" s="182"/>
    </row>
    <row r="65" spans="3:8" x14ac:dyDescent="0.25">
      <c r="C65" s="566"/>
      <c r="D65" s="127"/>
      <c r="E65" s="127"/>
      <c r="F65" s="127"/>
      <c r="G65" s="127"/>
      <c r="H65" s="127"/>
    </row>
  </sheetData>
  <sheetProtection sheet="1" objects="1" scenarios="1"/>
  <mergeCells count="2">
    <mergeCell ref="D2:H2"/>
    <mergeCell ref="O2:Q6"/>
  </mergeCells>
  <phoneticPr fontId="8" type="noConversion"/>
  <conditionalFormatting sqref="A8:A44">
    <cfRule type="cellIs" dxfId="1351" priority="1238" operator="greaterThan">
      <formula>0</formula>
    </cfRule>
  </conditionalFormatting>
  <conditionalFormatting sqref="C9:C44">
    <cfRule type="expression" dxfId="1350" priority="1261" stopIfTrue="1">
      <formula>$M9="A+"</formula>
    </cfRule>
    <cfRule type="expression" dxfId="1349" priority="1260" stopIfTrue="1">
      <formula>$M9=""</formula>
    </cfRule>
  </conditionalFormatting>
  <conditionalFormatting sqref="D9:H44">
    <cfRule type="cellIs" dxfId="1348" priority="14" operator="between">
      <formula>2.6</formula>
      <formula>2.9</formula>
    </cfRule>
    <cfRule type="cellIs" dxfId="1347" priority="12" operator="between">
      <formula>4</formula>
      <formula>5</formula>
    </cfRule>
    <cfRule type="cellIs" dxfId="1346" priority="13" operator="between">
      <formula>3</formula>
      <formula>3.9</formula>
    </cfRule>
    <cfRule type="cellIs" dxfId="1345" priority="15" operator="between">
      <formula>1.6</formula>
      <formula>2.5</formula>
    </cfRule>
    <cfRule type="cellIs" dxfId="1344" priority="16" operator="between">
      <formula>0.1</formula>
      <formula>1.5</formula>
    </cfRule>
    <cfRule type="cellIs" dxfId="1343" priority="17" operator="equal">
      <formula>""</formula>
    </cfRule>
  </conditionalFormatting>
  <conditionalFormatting sqref="D45:H45">
    <cfRule type="cellIs" dxfId="1342" priority="11" operator="between">
      <formula>1.6</formula>
      <formula>2.599</formula>
    </cfRule>
  </conditionalFormatting>
  <conditionalFormatting sqref="D46:H46">
    <cfRule type="cellIs" dxfId="1341" priority="8" operator="between">
      <formula>"C-4"</formula>
      <formula>"D-4"</formula>
    </cfRule>
  </conditionalFormatting>
  <conditionalFormatting sqref="D45:L45 L9:L44">
    <cfRule type="cellIs" dxfId="1340" priority="25" stopIfTrue="1" operator="between">
      <formula>0.001</formula>
      <formula>1.599</formula>
    </cfRule>
  </conditionalFormatting>
  <conditionalFormatting sqref="L9:L44 D45:L45">
    <cfRule type="cellIs" dxfId="1339" priority="26" stopIfTrue="1" operator="between">
      <formula>3</formula>
      <formula>3.999</formula>
    </cfRule>
    <cfRule type="cellIs" dxfId="1338" priority="27" stopIfTrue="1" operator="between">
      <formula>4</formula>
      <formula>5</formula>
    </cfRule>
  </conditionalFormatting>
  <conditionalFormatting sqref="L9:L45">
    <cfRule type="cellIs" dxfId="1337" priority="9" operator="between">
      <formula>1.6</formula>
      <formula>2.599</formula>
    </cfRule>
  </conditionalFormatting>
  <conditionalFormatting sqref="L46">
    <cfRule type="cellIs" dxfId="1336" priority="7" operator="between">
      <formula>"C-4"</formula>
      <formula>"D-4"</formula>
    </cfRule>
    <cfRule type="cellIs" dxfId="1335" priority="18" operator="equal">
      <formula>"E-5-"</formula>
    </cfRule>
    <cfRule type="cellIs" dxfId="1334" priority="19" operator="equal">
      <formula>"A-1+"</formula>
    </cfRule>
  </conditionalFormatting>
  <conditionalFormatting sqref="M9:M44 D46:H46">
    <cfRule type="cellIs" dxfId="1333" priority="20" operator="equal">
      <formula>"E-5-"</formula>
    </cfRule>
    <cfRule type="cellIs" dxfId="1332" priority="21" operator="equal">
      <formula>"A-1+"</formula>
    </cfRule>
  </conditionalFormatting>
  <conditionalFormatting sqref="M9:M44 D46:L46">
    <cfRule type="cellIs" dxfId="1331" priority="22" stopIfTrue="1" operator="between">
      <formula>"D-5"</formula>
      <formula>"E-5"</formula>
    </cfRule>
    <cfRule type="cellIs" dxfId="1330" priority="23" stopIfTrue="1" operator="between">
      <formula>"B-2"</formula>
      <formula>"B-3"</formula>
    </cfRule>
    <cfRule type="cellIs" dxfId="1329" priority="24" stopIfTrue="1" operator="between">
      <formula>"A-1"</formula>
      <formula>"A-2"</formula>
    </cfRule>
  </conditionalFormatting>
  <conditionalFormatting sqref="M9:M44">
    <cfRule type="cellIs" dxfId="1328" priority="6" operator="between">
      <formula>"C-4"</formula>
      <formula>"D-4"</formula>
    </cfRule>
  </conditionalFormatting>
  <conditionalFormatting sqref="O9:Q44">
    <cfRule type="cellIs" dxfId="1327" priority="3" operator="equal">
      <formula>"&lt;1F"</formula>
    </cfRule>
    <cfRule type="cellIs" dxfId="1326" priority="4" operator="equal">
      <formula>"1F"</formula>
    </cfRule>
    <cfRule type="expression" dxfId="1325" priority="5" stopIfTrue="1">
      <formula>$K$3="ja"</formula>
    </cfRule>
    <cfRule type="cellIs" dxfId="1324" priority="1" operator="equal">
      <formula>"2F"</formula>
    </cfRule>
  </conditionalFormatting>
  <conditionalFormatting sqref="Q9:Q44">
    <cfRule type="cellIs" dxfId="1323" priority="2" operator="equal">
      <formula>"1S"</formula>
    </cfRule>
  </conditionalFormatting>
  <conditionalFormatting sqref="R8:R44">
    <cfRule type="cellIs" dxfId="1322" priority="619" operator="greaterThan">
      <formula>0</formula>
    </cfRule>
  </conditionalFormatting>
  <conditionalFormatting sqref="T9:T44">
    <cfRule type="expression" dxfId="1321" priority="644" stopIfTrue="1">
      <formula>$M9=""</formula>
    </cfRule>
    <cfRule type="expression" dxfId="1320" priority="645" stopIfTrue="1">
      <formula>$M9="A+"</formula>
    </cfRule>
  </conditionalFormatting>
  <conditionalFormatting sqref="U9:U44">
    <cfRule type="expression" dxfId="1319" priority="635">
      <formula>$U9=""</formula>
    </cfRule>
    <cfRule type="expression" dxfId="1318" priority="636">
      <formula>$U9&lt;=$U$4</formula>
    </cfRule>
    <cfRule type="expression" dxfId="1317" priority="637">
      <formula>$U9&gt;=$U$3</formula>
    </cfRule>
  </conditionalFormatting>
  <conditionalFormatting sqref="V9:V44">
    <cfRule type="expression" dxfId="1316" priority="632">
      <formula>$V9=""</formula>
    </cfRule>
    <cfRule type="expression" dxfId="1315" priority="634">
      <formula>$V9&gt;=$V$3</formula>
    </cfRule>
    <cfRule type="expression" dxfId="1314" priority="633">
      <formula>$V9&lt;=$V$4</formula>
    </cfRule>
  </conditionalFormatting>
  <conditionalFormatting sqref="W9:W44">
    <cfRule type="expression" dxfId="1313" priority="629">
      <formula>$W9=""</formula>
    </cfRule>
    <cfRule type="expression" dxfId="1312" priority="630">
      <formula>$W9&lt;=$W$4</formula>
    </cfRule>
    <cfRule type="expression" dxfId="1311" priority="631">
      <formula>$W9&gt;=$W$3</formula>
    </cfRule>
  </conditionalFormatting>
  <conditionalFormatting sqref="X9:X44">
    <cfRule type="expression" dxfId="1310" priority="626">
      <formula>$X9=""</formula>
    </cfRule>
    <cfRule type="expression" dxfId="1309" priority="627">
      <formula>$X9&lt;=$X$4</formula>
    </cfRule>
    <cfRule type="expression" dxfId="1308" priority="628">
      <formula>$X9&gt;=$X$3</formula>
    </cfRule>
  </conditionalFormatting>
  <conditionalFormatting sqref="Y9:Y44">
    <cfRule type="expression" dxfId="1307" priority="623">
      <formula>$Y9=""</formula>
    </cfRule>
    <cfRule type="expression" dxfId="1306" priority="624">
      <formula>$Y9&lt;=$Y$4</formula>
    </cfRule>
    <cfRule type="expression" dxfId="1305" priority="625">
      <formula>$Y9&gt;=$Y$3</formula>
    </cfRule>
  </conditionalFormatting>
  <conditionalFormatting sqref="AC9:AC44">
    <cfRule type="cellIs" dxfId="1304" priority="640" stopIfTrue="1" operator="between">
      <formula>0.001</formula>
      <formula>1.999</formula>
    </cfRule>
    <cfRule type="cellIs" dxfId="1303" priority="642" stopIfTrue="1" operator="between">
      <formula>4</formula>
      <formula>5</formula>
    </cfRule>
    <cfRule type="cellIs" dxfId="1302" priority="641" stopIfTrue="1" operator="between">
      <formula>3</formula>
      <formula>3.999</formula>
    </cfRule>
  </conditionalFormatting>
  <conditionalFormatting sqref="AD9:AD44">
    <cfRule type="cellIs" dxfId="1301" priority="620" operator="equal">
      <formula>""</formula>
    </cfRule>
    <cfRule type="cellIs" dxfId="1300" priority="621" operator="lessThan">
      <formula>0.9</formula>
    </cfRule>
    <cfRule type="cellIs" dxfId="1299" priority="622" operator="greaterThanOrEqual">
      <formula>1.1</formula>
    </cfRule>
  </conditionalFormatting>
  <dataValidations count="1">
    <dataValidation type="list" allowBlank="1" showInputMessage="1" showErrorMessage="1" sqref="O9:Q44" xr:uid="{6FD356CB-6DCF-4738-981D-A11945BA8B1A}">
      <formula1>"&lt;1F,1F,2F/1S,"</formula1>
    </dataValidation>
  </dataValidations>
  <pageMargins left="0.54" right="0.26" top="0.49" bottom="0.43" header="0.24" footer="0.24"/>
  <pageSetup paperSize="9" scale="81" orientation="portrait" r:id="rId1"/>
  <headerFooter alignWithMargins="0">
    <oddHeader>&amp;C&amp;"Comic Sans MS,Standaard"&amp;16Leerrendement</oddHeader>
    <oddFooter>&amp;R© www.meesterharrie.nl</oddFooter>
  </headerFooter>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2"/>
  <dimension ref="A1"/>
  <sheetViews>
    <sheetView showGridLines="0" showRowColHeaders="0" zoomScaleNormal="100" workbookViewId="0"/>
  </sheetViews>
  <sheetFormatPr defaultRowHeight="12.5" x14ac:dyDescent="0.25"/>
  <sheetData/>
  <sheetProtection sheet="1" objects="1" scenarios="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362A-6536-44A2-A0CB-B528116E6475}">
  <dimension ref="C2:AQ71"/>
  <sheetViews>
    <sheetView showGridLines="0" showRowColHeaders="0" zoomScale="60" zoomScaleNormal="60" workbookViewId="0">
      <selection activeCell="R27" sqref="R27"/>
    </sheetView>
  </sheetViews>
  <sheetFormatPr defaultColWidth="8.81640625" defaultRowHeight="14.5" x14ac:dyDescent="0.35"/>
  <cols>
    <col min="1" max="1" width="8.81640625" style="649"/>
    <col min="2" max="2" width="5.54296875" style="649" customWidth="1"/>
    <col min="3" max="4" width="18.54296875" style="649" customWidth="1"/>
    <col min="5" max="5" width="9.54296875" style="648" customWidth="1"/>
    <col min="6" max="7" width="18.54296875" style="649" customWidth="1"/>
    <col min="8" max="8" width="9.54296875" style="649" customWidth="1"/>
    <col min="9" max="10" width="18.54296875" style="649" customWidth="1"/>
    <col min="11" max="11" width="9.54296875" style="649" customWidth="1"/>
    <col min="12" max="13" width="18.54296875" style="649" customWidth="1"/>
    <col min="14" max="14" width="6.54296875" style="649" customWidth="1"/>
    <col min="15" max="15" width="3.1796875" style="649" customWidth="1"/>
    <col min="16" max="17" width="8.81640625" style="649" customWidth="1"/>
    <col min="18" max="20" width="8.81640625" style="649"/>
    <col min="21" max="21" width="6.54296875" style="649" customWidth="1"/>
    <col min="22" max="22" width="3.26953125" style="649" customWidth="1"/>
    <col min="23" max="24" width="8.7265625" style="649" customWidth="1"/>
    <col min="25" max="33" width="8.81640625" style="649"/>
    <col min="34" max="36" width="8.81640625" style="650"/>
    <col min="37" max="16384" width="8.81640625" style="649"/>
  </cols>
  <sheetData>
    <row r="2" spans="3:36" ht="15" thickBot="1" x14ac:dyDescent="0.4">
      <c r="C2" s="647"/>
      <c r="D2" s="647"/>
    </row>
    <row r="3" spans="3:36" ht="22" customHeight="1" thickTop="1" x14ac:dyDescent="0.35">
      <c r="C3" s="986"/>
      <c r="D3" s="987"/>
      <c r="E3" s="651">
        <f>D10</f>
        <v>0.85</v>
      </c>
      <c r="W3" s="865"/>
    </row>
    <row r="4" spans="3:36" s="652" customFormat="1" ht="25" customHeight="1" thickBot="1" x14ac:dyDescent="0.3">
      <c r="C4" s="988"/>
      <c r="D4" s="989"/>
      <c r="E4" s="651">
        <f>D12</f>
        <v>0.94499999999999995</v>
      </c>
      <c r="W4" s="653"/>
      <c r="X4" s="653" t="s">
        <v>76</v>
      </c>
      <c r="Y4" s="653" t="s">
        <v>82</v>
      </c>
      <c r="AA4" s="653"/>
      <c r="AB4" s="653" t="s">
        <v>76</v>
      </c>
      <c r="AC4" s="653" t="s">
        <v>82</v>
      </c>
      <c r="AE4" s="653"/>
      <c r="AF4" s="653" t="s">
        <v>76</v>
      </c>
      <c r="AG4" s="653" t="s">
        <v>83</v>
      </c>
      <c r="AH4" s="991" t="s">
        <v>76</v>
      </c>
      <c r="AI4" s="654" t="s">
        <v>86</v>
      </c>
      <c r="AJ4" s="654">
        <v>0</v>
      </c>
    </row>
    <row r="5" spans="3:36" s="652" customFormat="1" ht="25" customHeight="1" thickTop="1" thickBot="1" x14ac:dyDescent="0.55000000000000004">
      <c r="C5" s="990" t="s">
        <v>87</v>
      </c>
      <c r="D5" s="990"/>
      <c r="E5" s="651">
        <f>D18</f>
        <v>0.435</v>
      </c>
      <c r="W5" s="653" t="s">
        <v>86</v>
      </c>
      <c r="X5" s="655">
        <v>0</v>
      </c>
      <c r="Y5" s="655">
        <v>0</v>
      </c>
      <c r="AA5" s="653" t="s">
        <v>86</v>
      </c>
      <c r="AB5" s="655">
        <v>0.4</v>
      </c>
      <c r="AC5" s="655">
        <v>0</v>
      </c>
      <c r="AE5" s="653" t="s">
        <v>86</v>
      </c>
      <c r="AF5" s="655">
        <v>0</v>
      </c>
      <c r="AG5" s="655">
        <v>0</v>
      </c>
      <c r="AH5" s="991"/>
      <c r="AI5" s="654" t="s">
        <v>88</v>
      </c>
      <c r="AJ5" s="654">
        <v>0</v>
      </c>
    </row>
    <row r="6" spans="3:36" s="652" customFormat="1" ht="25" customHeight="1" thickTop="1" thickBot="1" x14ac:dyDescent="0.3">
      <c r="C6" s="565">
        <v>2024</v>
      </c>
      <c r="D6" s="565">
        <v>2025</v>
      </c>
      <c r="E6" s="651">
        <f>D20</f>
        <v>0.55700000000000005</v>
      </c>
      <c r="W6" s="653" t="s">
        <v>88</v>
      </c>
      <c r="X6" s="655">
        <v>0.4</v>
      </c>
      <c r="Y6" s="655">
        <v>0</v>
      </c>
      <c r="AA6" s="653" t="s">
        <v>88</v>
      </c>
      <c r="AB6" s="655">
        <v>0.5</v>
      </c>
      <c r="AC6" s="655">
        <v>0</v>
      </c>
      <c r="AE6" s="653" t="s">
        <v>88</v>
      </c>
      <c r="AF6" s="655">
        <v>0.1</v>
      </c>
      <c r="AG6" s="655">
        <v>0</v>
      </c>
      <c r="AH6" s="991"/>
      <c r="AI6" s="654" t="s">
        <v>89</v>
      </c>
      <c r="AJ6" s="654">
        <v>0</v>
      </c>
    </row>
    <row r="7" spans="3:36" s="652" customFormat="1" ht="25" customHeight="1" thickTop="1" thickBot="1" x14ac:dyDescent="0.3">
      <c r="C7" s="656" t="s">
        <v>90</v>
      </c>
      <c r="D7" s="565">
        <v>31.2</v>
      </c>
      <c r="E7" s="657"/>
      <c r="W7" s="653" t="s">
        <v>89</v>
      </c>
      <c r="X7" s="655">
        <v>0.5</v>
      </c>
      <c r="Y7" s="655">
        <v>0.05</v>
      </c>
      <c r="AA7" s="653" t="s">
        <v>89</v>
      </c>
      <c r="AB7" s="655">
        <v>0.6</v>
      </c>
      <c r="AC7" s="655">
        <v>0</v>
      </c>
      <c r="AE7" s="653" t="s">
        <v>89</v>
      </c>
      <c r="AF7" s="655">
        <v>0.4</v>
      </c>
      <c r="AG7" s="655">
        <v>0</v>
      </c>
      <c r="AH7" s="991"/>
      <c r="AI7" s="654" t="s">
        <v>91</v>
      </c>
      <c r="AJ7" s="654">
        <v>0</v>
      </c>
    </row>
    <row r="8" spans="3:36" s="652" customFormat="1" ht="25" customHeight="1" thickTop="1" x14ac:dyDescent="0.35">
      <c r="C8" s="658"/>
      <c r="D8" s="659"/>
      <c r="E8" s="660">
        <f>$D24</f>
        <v>1</v>
      </c>
      <c r="W8" s="653" t="s">
        <v>91</v>
      </c>
      <c r="X8" s="655">
        <v>0.7</v>
      </c>
      <c r="Y8" s="655">
        <v>0.2</v>
      </c>
      <c r="AA8" s="653" t="s">
        <v>91</v>
      </c>
      <c r="AB8" s="655">
        <v>0.75</v>
      </c>
      <c r="AC8" s="655">
        <v>0.2</v>
      </c>
      <c r="AE8" s="653" t="s">
        <v>91</v>
      </c>
      <c r="AF8" s="655">
        <v>0.6</v>
      </c>
      <c r="AG8" s="655">
        <v>0.1</v>
      </c>
      <c r="AH8" s="991"/>
      <c r="AI8" s="654" t="s">
        <v>92</v>
      </c>
      <c r="AJ8" s="650">
        <v>0</v>
      </c>
    </row>
    <row r="9" spans="3:36" s="652" customFormat="1" ht="25" customHeight="1" thickBot="1" x14ac:dyDescent="0.4">
      <c r="C9" s="661" t="s">
        <v>93</v>
      </c>
      <c r="D9" s="661"/>
      <c r="E9" s="660">
        <f>$G24</f>
        <v>1</v>
      </c>
      <c r="W9" s="653" t="s">
        <v>92</v>
      </c>
      <c r="X9" s="655">
        <v>0.75</v>
      </c>
      <c r="Y9" s="655">
        <v>0.25</v>
      </c>
      <c r="AA9" s="653" t="s">
        <v>92</v>
      </c>
      <c r="AB9" s="655">
        <v>0.8</v>
      </c>
      <c r="AC9" s="655">
        <v>0.25</v>
      </c>
      <c r="AE9" s="653" t="s">
        <v>92</v>
      </c>
      <c r="AF9" s="655">
        <v>0.75</v>
      </c>
      <c r="AG9" s="655">
        <v>0.2</v>
      </c>
      <c r="AH9" s="991"/>
      <c r="AI9" s="654" t="s">
        <v>94</v>
      </c>
      <c r="AJ9" s="650">
        <v>0</v>
      </c>
    </row>
    <row r="10" spans="3:36" s="652" customFormat="1" ht="25" customHeight="1" thickTop="1" thickBot="1" x14ac:dyDescent="0.4">
      <c r="C10" s="662" t="s">
        <v>95</v>
      </c>
      <c r="D10" s="663">
        <v>0.85</v>
      </c>
      <c r="E10" s="651" t="e">
        <f>$J24</f>
        <v>#DIV/0!</v>
      </c>
      <c r="W10" s="653" t="s">
        <v>94</v>
      </c>
      <c r="X10" s="655">
        <v>0.8</v>
      </c>
      <c r="Y10" s="655">
        <v>0.45</v>
      </c>
      <c r="AA10" s="653" t="s">
        <v>94</v>
      </c>
      <c r="AB10" s="655">
        <v>0.85</v>
      </c>
      <c r="AC10" s="655">
        <v>0.45</v>
      </c>
      <c r="AE10" s="653" t="s">
        <v>94</v>
      </c>
      <c r="AF10" s="655">
        <v>0.9</v>
      </c>
      <c r="AG10" s="655">
        <v>0.3</v>
      </c>
      <c r="AH10" s="991"/>
      <c r="AI10" s="654" t="s">
        <v>96</v>
      </c>
      <c r="AJ10" s="650">
        <v>0</v>
      </c>
    </row>
    <row r="11" spans="3:36" s="652" customFormat="1" ht="15" customHeight="1" thickTop="1" thickBot="1" x14ac:dyDescent="0.3">
      <c r="C11" s="664"/>
      <c r="D11" s="665"/>
      <c r="E11" s="651">
        <f>$M24</f>
        <v>0</v>
      </c>
      <c r="W11" s="653" t="s">
        <v>96</v>
      </c>
      <c r="X11" s="655">
        <f>$D$12</f>
        <v>0.94499999999999995</v>
      </c>
      <c r="Y11" s="655">
        <f>65%</f>
        <v>0.65</v>
      </c>
      <c r="AA11" s="653" t="s">
        <v>96</v>
      </c>
      <c r="AB11" s="655">
        <f>$D$12</f>
        <v>0.94499999999999995</v>
      </c>
      <c r="AC11" s="655">
        <f>65%</f>
        <v>0.65</v>
      </c>
      <c r="AE11" s="653" t="s">
        <v>96</v>
      </c>
      <c r="AF11" s="655">
        <f>$D$12</f>
        <v>0.94499999999999995</v>
      </c>
      <c r="AG11" s="655">
        <f>45%</f>
        <v>0.45</v>
      </c>
      <c r="AH11" s="991" t="s">
        <v>82</v>
      </c>
      <c r="AI11" s="654" t="s">
        <v>86</v>
      </c>
      <c r="AJ11" s="654">
        <v>0</v>
      </c>
    </row>
    <row r="12" spans="3:36" s="652" customFormat="1" ht="25" customHeight="1" thickTop="1" thickBot="1" x14ac:dyDescent="0.3">
      <c r="C12" s="666" t="s">
        <v>97</v>
      </c>
      <c r="D12" s="561">
        <f>IF($D$7="","",IF($D$7&gt;0,(VLOOKUP($D$7,schoolweging!$A$64:$E$202,5,0))))</f>
        <v>0.94499999999999995</v>
      </c>
      <c r="E12" s="651"/>
      <c r="W12" s="652">
        <v>0</v>
      </c>
      <c r="X12" s="652">
        <v>0</v>
      </c>
      <c r="Y12" s="652">
        <v>0</v>
      </c>
      <c r="Z12" s="652">
        <v>0</v>
      </c>
      <c r="AA12" s="652">
        <v>0</v>
      </c>
      <c r="AB12" s="652">
        <v>0</v>
      </c>
      <c r="AC12" s="652">
        <v>0</v>
      </c>
      <c r="AH12" s="991"/>
      <c r="AI12" s="654" t="s">
        <v>88</v>
      </c>
      <c r="AJ12" s="654">
        <v>0</v>
      </c>
    </row>
    <row r="13" spans="3:36" s="652" customFormat="1" ht="25" customHeight="1" thickTop="1" x14ac:dyDescent="0.35">
      <c r="C13" s="658"/>
      <c r="D13" s="562"/>
      <c r="E13" s="660">
        <f>$D25</f>
        <v>0.875</v>
      </c>
      <c r="Y13" s="653"/>
      <c r="Z13" s="653"/>
      <c r="AA13" s="653"/>
      <c r="AB13" s="653"/>
      <c r="AC13" s="653"/>
      <c r="AH13" s="991"/>
      <c r="AI13" s="654" t="s">
        <v>89</v>
      </c>
      <c r="AJ13" s="654">
        <v>0</v>
      </c>
    </row>
    <row r="14" spans="3:36" s="652" customFormat="1" ht="25" customHeight="1" x14ac:dyDescent="0.35">
      <c r="C14" s="658"/>
      <c r="D14" s="562"/>
      <c r="E14" s="660">
        <f>$G25</f>
        <v>0.75</v>
      </c>
      <c r="AH14" s="991"/>
      <c r="AI14" s="654" t="s">
        <v>91</v>
      </c>
      <c r="AJ14" s="654">
        <v>0</v>
      </c>
    </row>
    <row r="15" spans="3:36" s="652" customFormat="1" ht="25" customHeight="1" x14ac:dyDescent="0.35">
      <c r="E15" s="651" t="e">
        <f>$J25</f>
        <v>#DIV/0!</v>
      </c>
      <c r="AH15" s="991"/>
      <c r="AI15" s="654" t="s">
        <v>92</v>
      </c>
      <c r="AJ15" s="650">
        <v>0</v>
      </c>
    </row>
    <row r="16" spans="3:36" s="652" customFormat="1" ht="25" customHeight="1" x14ac:dyDescent="0.35">
      <c r="E16" s="651">
        <f>$M25</f>
        <v>0</v>
      </c>
      <c r="AH16" s="991"/>
      <c r="AI16" s="654" t="s">
        <v>94</v>
      </c>
      <c r="AJ16" s="650">
        <v>0</v>
      </c>
    </row>
    <row r="17" spans="3:43" ht="25" customHeight="1" thickBot="1" x14ac:dyDescent="0.4">
      <c r="C17" s="667" t="s">
        <v>98</v>
      </c>
      <c r="D17" s="667"/>
      <c r="E17" s="651"/>
      <c r="AH17" s="991"/>
      <c r="AI17" s="654" t="s">
        <v>96</v>
      </c>
      <c r="AJ17" s="650">
        <v>0</v>
      </c>
    </row>
    <row r="18" spans="3:43" ht="25" customHeight="1" thickTop="1" thickBot="1" x14ac:dyDescent="0.4">
      <c r="C18" s="668" t="s">
        <v>99</v>
      </c>
      <c r="D18" s="563">
        <f>IF($D$7="","",IF($D$7&gt;0,(VLOOKUP($D$7,schoolweging!$A$64:$E$202,2,0))))</f>
        <v>0.435</v>
      </c>
      <c r="E18" s="660">
        <f>$D27</f>
        <v>1</v>
      </c>
      <c r="AH18" s="991" t="s">
        <v>76</v>
      </c>
      <c r="AI18" s="654" t="s">
        <v>86</v>
      </c>
      <c r="AJ18" s="654">
        <v>0</v>
      </c>
    </row>
    <row r="19" spans="3:43" ht="15" customHeight="1" thickTop="1" thickBot="1" x14ac:dyDescent="0.7">
      <c r="C19" s="669"/>
      <c r="D19" s="562"/>
      <c r="E19" s="660">
        <f>$G27</f>
        <v>1</v>
      </c>
      <c r="AH19" s="991"/>
      <c r="AI19" s="654" t="s">
        <v>88</v>
      </c>
      <c r="AJ19" s="654">
        <v>0</v>
      </c>
    </row>
    <row r="20" spans="3:43" s="676" customFormat="1" ht="25" customHeight="1" thickTop="1" thickBot="1" x14ac:dyDescent="0.3">
      <c r="C20" s="670" t="s">
        <v>100</v>
      </c>
      <c r="D20" s="564">
        <f>IF($D$7="","",IF($D$7&gt;0,(VLOOKUP($D$7,schoolweging!$A$64:$E$202,3,0))))</f>
        <v>0.55700000000000005</v>
      </c>
      <c r="E20" s="651" t="e">
        <f>$J27</f>
        <v>#DIV/0!</v>
      </c>
      <c r="F20" s="671"/>
      <c r="G20" s="672"/>
      <c r="H20" s="673"/>
      <c r="I20" s="674"/>
      <c r="J20" s="674"/>
      <c r="K20" s="673"/>
      <c r="L20" s="673"/>
      <c r="M20" s="675"/>
      <c r="O20" s="674"/>
      <c r="P20" s="674"/>
      <c r="Q20" s="659"/>
      <c r="V20" s="674"/>
      <c r="W20" s="674"/>
      <c r="X20" s="659"/>
      <c r="AH20" s="991"/>
      <c r="AI20" s="654" t="s">
        <v>89</v>
      </c>
      <c r="AJ20" s="654">
        <v>0</v>
      </c>
    </row>
    <row r="21" spans="3:43" ht="29.5" thickTop="1" thickBot="1" x14ac:dyDescent="0.7">
      <c r="C21" s="669"/>
      <c r="D21" s="562"/>
      <c r="E21" s="651">
        <f>$M27</f>
        <v>0</v>
      </c>
      <c r="AH21" s="991"/>
      <c r="AI21" s="654" t="s">
        <v>91</v>
      </c>
      <c r="AJ21" s="654">
        <v>0</v>
      </c>
    </row>
    <row r="22" spans="3:43" ht="25" customHeight="1" x14ac:dyDescent="0.5">
      <c r="C22" s="983" t="s">
        <v>101</v>
      </c>
      <c r="D22" s="984"/>
      <c r="E22" s="677"/>
      <c r="F22" s="983" t="s">
        <v>102</v>
      </c>
      <c r="G22" s="984"/>
      <c r="I22" s="983" t="s">
        <v>103</v>
      </c>
      <c r="J22" s="984"/>
      <c r="L22" s="983" t="s">
        <v>104</v>
      </c>
      <c r="M22" s="984"/>
      <c r="V22" s="968" t="s">
        <v>105</v>
      </c>
      <c r="W22" s="969"/>
      <c r="X22" s="969"/>
      <c r="Y22" s="969"/>
      <c r="Z22" s="970"/>
      <c r="AA22" s="678"/>
      <c r="AB22" s="678"/>
      <c r="AC22" s="678"/>
      <c r="AD22" s="678"/>
      <c r="AE22" s="678"/>
      <c r="AF22" s="678"/>
      <c r="AG22" s="678"/>
      <c r="AH22" s="991"/>
      <c r="AI22" s="654" t="s">
        <v>92</v>
      </c>
      <c r="AJ22" s="650">
        <v>0</v>
      </c>
      <c r="AK22" s="678"/>
      <c r="AL22" s="678"/>
      <c r="AM22" s="678"/>
      <c r="AN22" s="678"/>
      <c r="AO22" s="678"/>
      <c r="AP22" s="678"/>
      <c r="AQ22" s="678"/>
    </row>
    <row r="23" spans="3:43" ht="25" customHeight="1" thickBot="1" x14ac:dyDescent="0.4">
      <c r="C23" s="679" t="s">
        <v>105</v>
      </c>
      <c r="D23" s="680" t="s">
        <v>106</v>
      </c>
      <c r="E23" s="660">
        <f>$D28</f>
        <v>0.875</v>
      </c>
      <c r="F23" s="679" t="s">
        <v>105</v>
      </c>
      <c r="G23" s="680" t="s">
        <v>106</v>
      </c>
      <c r="I23" s="681" t="s">
        <v>105</v>
      </c>
      <c r="J23" s="682" t="s">
        <v>106</v>
      </c>
      <c r="L23" s="679" t="s">
        <v>105</v>
      </c>
      <c r="M23" s="680" t="s">
        <v>106</v>
      </c>
      <c r="V23" s="971" t="s">
        <v>107</v>
      </c>
      <c r="W23" s="972"/>
      <c r="X23" s="972"/>
      <c r="Y23" s="972"/>
      <c r="Z23" s="973"/>
      <c r="AA23" s="678"/>
      <c r="AB23" s="678"/>
      <c r="AC23" s="678"/>
      <c r="AD23" s="678"/>
      <c r="AE23" s="678"/>
      <c r="AF23" s="678"/>
      <c r="AG23" s="678"/>
      <c r="AH23" s="991"/>
      <c r="AI23" s="654" t="s">
        <v>94</v>
      </c>
      <c r="AJ23" s="650">
        <v>0</v>
      </c>
      <c r="AK23" s="678"/>
      <c r="AL23" s="678"/>
      <c r="AM23" s="678"/>
      <c r="AN23" s="678"/>
      <c r="AO23" s="678"/>
      <c r="AP23" s="678"/>
      <c r="AQ23" s="678"/>
    </row>
    <row r="24" spans="3:43" ht="21" x14ac:dyDescent="0.5">
      <c r="C24" s="683" t="s">
        <v>107</v>
      </c>
      <c r="D24" s="926">
        <f>'NIVEAU WAARDE - vorig jaar'!$O$46</f>
        <v>1</v>
      </c>
      <c r="E24" s="660">
        <f>$G28</f>
        <v>0.875</v>
      </c>
      <c r="F24" s="683" t="s">
        <v>107</v>
      </c>
      <c r="G24" s="698">
        <f>'NIVEAU WAARDE - 1e toetsperiode'!$O$46</f>
        <v>1</v>
      </c>
      <c r="I24" s="684" t="s">
        <v>107</v>
      </c>
      <c r="J24" s="932" t="e">
        <f>'NIVEAU WAARDE - 2e toetsperiode'!$O$46</f>
        <v>#DIV/0!</v>
      </c>
      <c r="L24" s="683" t="s">
        <v>107</v>
      </c>
      <c r="M24" s="929">
        <f>'VERWIJZING - VO'!$V$43</f>
        <v>0</v>
      </c>
      <c r="V24" s="974" t="s">
        <v>108</v>
      </c>
      <c r="W24" s="975"/>
      <c r="X24" s="975"/>
      <c r="Y24" s="975"/>
      <c r="Z24" s="976"/>
      <c r="AA24" s="678"/>
      <c r="AB24" s="678"/>
      <c r="AC24" s="678"/>
      <c r="AD24" s="678"/>
      <c r="AE24" s="678"/>
      <c r="AF24" s="678"/>
      <c r="AG24" s="678"/>
      <c r="AH24" s="991" t="s">
        <v>82</v>
      </c>
      <c r="AI24" s="654" t="s">
        <v>96</v>
      </c>
      <c r="AJ24" s="650">
        <v>0</v>
      </c>
      <c r="AK24" s="678"/>
      <c r="AL24" s="678"/>
      <c r="AM24" s="678"/>
      <c r="AN24" s="678"/>
      <c r="AO24" s="678"/>
      <c r="AP24" s="678"/>
      <c r="AQ24" s="678"/>
    </row>
    <row r="25" spans="3:43" ht="21" customHeight="1" thickBot="1" x14ac:dyDescent="0.55000000000000004">
      <c r="C25" s="685" t="s">
        <v>108</v>
      </c>
      <c r="D25" s="927">
        <f>'NIVEAU WAARDE - vorig jaar'!$O$47</f>
        <v>0.875</v>
      </c>
      <c r="E25" s="651" t="e">
        <f>$J28</f>
        <v>#DIV/0!</v>
      </c>
      <c r="F25" s="685" t="s">
        <v>108</v>
      </c>
      <c r="G25" s="699">
        <f>'NIVEAU WAARDE - 1e toetsperiode'!$O$47</f>
        <v>0.75</v>
      </c>
      <c r="I25" s="685" t="s">
        <v>108</v>
      </c>
      <c r="J25" s="927" t="e">
        <f>'NIVEAU WAARDE - 2e toetsperiode'!$O$47</f>
        <v>#DIV/0!</v>
      </c>
      <c r="L25" s="685" t="s">
        <v>108</v>
      </c>
      <c r="M25" s="930">
        <f>'VERWIJZING - VO'!$W$43</f>
        <v>0</v>
      </c>
      <c r="V25" s="977"/>
      <c r="W25" s="978"/>
      <c r="X25" s="978"/>
      <c r="Y25" s="978"/>
      <c r="Z25" s="979"/>
      <c r="AA25" s="678"/>
      <c r="AB25" s="678"/>
      <c r="AC25" s="678"/>
      <c r="AD25" s="678"/>
      <c r="AE25" s="678"/>
      <c r="AF25" s="678"/>
      <c r="AG25" s="678"/>
      <c r="AH25" s="991"/>
      <c r="AI25" s="654" t="s">
        <v>86</v>
      </c>
      <c r="AJ25" s="654">
        <v>0</v>
      </c>
      <c r="AK25" s="678"/>
      <c r="AL25" s="678"/>
      <c r="AM25" s="678"/>
      <c r="AN25" s="678"/>
      <c r="AO25" s="678"/>
      <c r="AP25" s="678"/>
      <c r="AQ25" s="678"/>
    </row>
    <row r="26" spans="3:43" ht="21.5" thickBot="1" x14ac:dyDescent="0.55000000000000004">
      <c r="C26" s="686"/>
      <c r="D26" s="928"/>
      <c r="E26" s="651">
        <f>$M28</f>
        <v>0</v>
      </c>
      <c r="F26" s="686"/>
      <c r="G26" s="687"/>
      <c r="I26" s="686"/>
      <c r="J26" s="928"/>
      <c r="L26" s="686"/>
      <c r="M26" s="933"/>
      <c r="V26" s="980" t="s">
        <v>109</v>
      </c>
      <c r="W26" s="981"/>
      <c r="X26" s="981"/>
      <c r="Y26" s="981"/>
      <c r="Z26" s="982"/>
      <c r="AA26" s="678"/>
      <c r="AB26" s="678"/>
      <c r="AC26" s="678"/>
      <c r="AD26" s="678"/>
      <c r="AE26" s="678"/>
      <c r="AF26" s="678"/>
      <c r="AG26" s="678"/>
      <c r="AH26" s="991"/>
      <c r="AI26" s="654" t="s">
        <v>88</v>
      </c>
      <c r="AJ26" s="654">
        <v>0</v>
      </c>
      <c r="AK26" s="678"/>
      <c r="AL26" s="678"/>
      <c r="AM26" s="678"/>
      <c r="AN26" s="678"/>
      <c r="AO26" s="678"/>
      <c r="AP26" s="678"/>
      <c r="AQ26" s="678"/>
    </row>
    <row r="27" spans="3:43" ht="21" x14ac:dyDescent="0.35">
      <c r="C27" s="688" t="s">
        <v>109</v>
      </c>
      <c r="D27" s="929">
        <f>'NIVEAU WAARDE - vorig jaar'!$P$46</f>
        <v>1</v>
      </c>
      <c r="E27" s="689"/>
      <c r="F27" s="688" t="s">
        <v>109</v>
      </c>
      <c r="G27" s="700">
        <f>'NIVEAU WAARDE - 1e toetsperiode'!$P$46</f>
        <v>1</v>
      </c>
      <c r="I27" s="688" t="s">
        <v>109</v>
      </c>
      <c r="J27" s="929" t="e">
        <f>'NIVEAU WAARDE - 2e toetsperiode'!$P$46</f>
        <v>#DIV/0!</v>
      </c>
      <c r="L27" s="688" t="s">
        <v>109</v>
      </c>
      <c r="M27" s="929">
        <f>'VERWIJZING - VO'!$Z$43</f>
        <v>0</v>
      </c>
      <c r="V27" s="956" t="s">
        <v>110</v>
      </c>
      <c r="W27" s="957"/>
      <c r="X27" s="957"/>
      <c r="Y27" s="957"/>
      <c r="Z27" s="958"/>
      <c r="AA27" s="678"/>
      <c r="AB27" s="678"/>
      <c r="AC27" s="678"/>
      <c r="AD27" s="678"/>
      <c r="AE27" s="678"/>
      <c r="AF27" s="678"/>
      <c r="AG27" s="678"/>
      <c r="AH27" s="991"/>
      <c r="AI27" s="654" t="s">
        <v>89</v>
      </c>
      <c r="AJ27" s="654">
        <v>0</v>
      </c>
      <c r="AK27" s="678"/>
      <c r="AL27" s="678"/>
      <c r="AM27" s="678"/>
      <c r="AN27" s="678"/>
      <c r="AO27" s="678"/>
      <c r="AP27" s="678"/>
      <c r="AQ27" s="678"/>
    </row>
    <row r="28" spans="3:43" ht="21.5" thickBot="1" x14ac:dyDescent="0.4">
      <c r="C28" s="690" t="s">
        <v>110</v>
      </c>
      <c r="D28" s="930">
        <f>'NIVEAU WAARDE - vorig jaar'!$P$47</f>
        <v>0.875</v>
      </c>
      <c r="E28" s="660">
        <f>$D30</f>
        <v>1</v>
      </c>
      <c r="F28" s="690" t="s">
        <v>110</v>
      </c>
      <c r="G28" s="701">
        <f>'NIVEAU WAARDE - 1e toetsperiode'!$P$47</f>
        <v>0.875</v>
      </c>
      <c r="I28" s="690" t="s">
        <v>110</v>
      </c>
      <c r="J28" s="930" t="e">
        <f>'[1]NIVEAU WAARDE - 2e toetsperiode'!$P$47</f>
        <v>#DIV/0!</v>
      </c>
      <c r="L28" s="690" t="s">
        <v>110</v>
      </c>
      <c r="M28" s="930">
        <f>'VERWIJZING - VO'!$AA$43</f>
        <v>0</v>
      </c>
      <c r="V28" s="959"/>
      <c r="W28" s="960"/>
      <c r="X28" s="960"/>
      <c r="Y28" s="960"/>
      <c r="Z28" s="961"/>
      <c r="AA28" s="678"/>
      <c r="AB28" s="678"/>
      <c r="AC28" s="678"/>
      <c r="AD28" s="678"/>
      <c r="AE28" s="678"/>
      <c r="AF28" s="678"/>
      <c r="AG28" s="678"/>
      <c r="AH28" s="991"/>
      <c r="AI28" s="654" t="s">
        <v>91</v>
      </c>
      <c r="AJ28" s="654">
        <v>0</v>
      </c>
      <c r="AK28" s="678"/>
      <c r="AL28" s="678"/>
      <c r="AM28" s="678"/>
      <c r="AN28" s="678"/>
      <c r="AO28" s="678"/>
      <c r="AP28" s="678"/>
      <c r="AQ28" s="678"/>
    </row>
    <row r="29" spans="3:43" ht="21.5" thickBot="1" x14ac:dyDescent="0.4">
      <c r="C29" s="691"/>
      <c r="D29" s="931"/>
      <c r="E29" s="660">
        <f>$G30</f>
        <v>1</v>
      </c>
      <c r="F29" s="691"/>
      <c r="G29" s="692"/>
      <c r="I29" s="691"/>
      <c r="J29" s="931"/>
      <c r="L29" s="691"/>
      <c r="M29" s="934"/>
      <c r="V29" s="962" t="s">
        <v>111</v>
      </c>
      <c r="W29" s="963"/>
      <c r="X29" s="963"/>
      <c r="Y29" s="963"/>
      <c r="Z29" s="964"/>
      <c r="AA29" s="678"/>
      <c r="AB29" s="678"/>
      <c r="AC29" s="678"/>
      <c r="AD29" s="678"/>
      <c r="AE29" s="678"/>
      <c r="AF29" s="678"/>
      <c r="AG29" s="678"/>
      <c r="AH29" s="991"/>
      <c r="AI29" s="654" t="s">
        <v>92</v>
      </c>
      <c r="AJ29" s="650">
        <v>0</v>
      </c>
      <c r="AK29" s="678"/>
      <c r="AL29" s="678"/>
      <c r="AM29" s="678"/>
      <c r="AN29" s="678"/>
      <c r="AO29" s="678"/>
      <c r="AP29" s="678"/>
      <c r="AQ29" s="678"/>
    </row>
    <row r="30" spans="3:43" ht="21.5" thickBot="1" x14ac:dyDescent="0.4">
      <c r="C30" s="693" t="s">
        <v>111</v>
      </c>
      <c r="D30" s="929">
        <f>'NIVEAU WAARDE - vorig jaar'!$Q$46</f>
        <v>1</v>
      </c>
      <c r="E30" s="651" t="e">
        <f>$J30</f>
        <v>#DIV/0!</v>
      </c>
      <c r="F30" s="693" t="s">
        <v>111</v>
      </c>
      <c r="G30" s="700">
        <f>'NIVEAU WAARDE - 1e toetsperiode'!$Q$46</f>
        <v>1</v>
      </c>
      <c r="I30" s="693" t="s">
        <v>111</v>
      </c>
      <c r="J30" s="929" t="e">
        <f>'NIVEAU WAARDE - 2e toetsperiode'!$Q$46</f>
        <v>#DIV/0!</v>
      </c>
      <c r="L30" s="693" t="s">
        <v>111</v>
      </c>
      <c r="M30" s="929">
        <f>'VERWIJZING - VO'!$AD$43</f>
        <v>0</v>
      </c>
      <c r="V30" s="965" t="s">
        <v>112</v>
      </c>
      <c r="W30" s="966"/>
      <c r="X30" s="966"/>
      <c r="Y30" s="966"/>
      <c r="Z30" s="967"/>
      <c r="AA30" s="678"/>
      <c r="AB30" s="678"/>
      <c r="AC30" s="678"/>
      <c r="AD30" s="678"/>
      <c r="AE30" s="678"/>
      <c r="AF30" s="678"/>
      <c r="AG30" s="678"/>
      <c r="AH30" s="991"/>
      <c r="AI30" s="654" t="s">
        <v>94</v>
      </c>
      <c r="AJ30" s="650">
        <v>0</v>
      </c>
      <c r="AK30" s="678"/>
      <c r="AL30" s="678"/>
      <c r="AM30" s="678"/>
      <c r="AN30" s="678"/>
      <c r="AO30" s="678"/>
      <c r="AP30" s="678"/>
      <c r="AQ30" s="678"/>
    </row>
    <row r="31" spans="3:43" ht="21.5" thickBot="1" x14ac:dyDescent="0.4">
      <c r="C31" s="694" t="s">
        <v>113</v>
      </c>
      <c r="D31" s="930">
        <f>'NIVEAU WAARDE - vorig jaar'!$Q$47</f>
        <v>0.875</v>
      </c>
      <c r="E31" s="651">
        <f>$M30</f>
        <v>0</v>
      </c>
      <c r="F31" s="694" t="s">
        <v>113</v>
      </c>
      <c r="G31" s="701">
        <f>'NIVEAU WAARDE - 1e toetsperiode'!$Q$47</f>
        <v>1</v>
      </c>
      <c r="I31" s="694" t="s">
        <v>113</v>
      </c>
      <c r="J31" s="930" t="e">
        <f>'NIVEAU WAARDE - 2e toetsperiode'!$Q$47</f>
        <v>#DIV/0!</v>
      </c>
      <c r="L31" s="694" t="s">
        <v>113</v>
      </c>
      <c r="M31" s="930">
        <f>'VERWIJZING - VO'!$AE$43</f>
        <v>0</v>
      </c>
      <c r="W31" s="678"/>
      <c r="X31" s="678"/>
      <c r="Y31" s="678"/>
      <c r="Z31" s="678"/>
      <c r="AA31" s="678"/>
      <c r="AB31" s="678"/>
      <c r="AC31" s="678"/>
      <c r="AD31" s="678"/>
      <c r="AE31" s="678"/>
      <c r="AF31" s="678"/>
      <c r="AG31" s="678"/>
      <c r="AH31" s="991"/>
      <c r="AI31" s="654" t="s">
        <v>96</v>
      </c>
      <c r="AJ31" s="650">
        <v>0</v>
      </c>
      <c r="AK31" s="678"/>
      <c r="AL31" s="678"/>
      <c r="AM31" s="678"/>
      <c r="AN31" s="678"/>
      <c r="AO31" s="678"/>
      <c r="AP31" s="678"/>
      <c r="AQ31" s="678"/>
    </row>
    <row r="32" spans="3:43" ht="15.5" x14ac:dyDescent="0.35">
      <c r="E32" s="651"/>
      <c r="F32" s="695"/>
      <c r="W32" s="678"/>
      <c r="X32" s="678"/>
      <c r="Y32" s="678"/>
      <c r="Z32" s="678"/>
      <c r="AA32" s="678"/>
      <c r="AB32" s="678"/>
      <c r="AC32" s="678"/>
      <c r="AD32" s="678"/>
      <c r="AE32" s="678"/>
      <c r="AF32" s="678"/>
      <c r="AG32" s="678"/>
      <c r="AH32" s="991" t="s">
        <v>76</v>
      </c>
      <c r="AI32" s="654" t="s">
        <v>86</v>
      </c>
      <c r="AJ32" s="654">
        <v>0</v>
      </c>
      <c r="AK32" s="678"/>
      <c r="AL32" s="678"/>
      <c r="AM32" s="678"/>
      <c r="AN32" s="678"/>
      <c r="AO32" s="678"/>
      <c r="AP32" s="678"/>
      <c r="AQ32" s="678"/>
    </row>
    <row r="33" spans="3:43" ht="15.5" x14ac:dyDescent="0.35">
      <c r="E33" s="660">
        <f>$D31</f>
        <v>0.875</v>
      </c>
      <c r="W33" s="678"/>
      <c r="X33" s="678"/>
      <c r="Y33" s="678"/>
      <c r="Z33" s="678"/>
      <c r="AA33" s="678"/>
      <c r="AB33" s="678"/>
      <c r="AC33" s="678"/>
      <c r="AD33" s="678"/>
      <c r="AE33" s="678"/>
      <c r="AF33" s="678"/>
      <c r="AG33" s="678"/>
      <c r="AH33" s="991"/>
      <c r="AI33" s="654" t="s">
        <v>88</v>
      </c>
      <c r="AJ33" s="654">
        <v>0</v>
      </c>
      <c r="AK33" s="678"/>
      <c r="AL33" s="678"/>
      <c r="AM33" s="678"/>
      <c r="AN33" s="678"/>
      <c r="AO33" s="678"/>
      <c r="AP33" s="678"/>
      <c r="AQ33" s="678"/>
    </row>
    <row r="34" spans="3:43" ht="15.5" x14ac:dyDescent="0.35">
      <c r="E34" s="660">
        <f>$G31</f>
        <v>1</v>
      </c>
      <c r="W34" s="678"/>
      <c r="X34" s="678"/>
      <c r="Y34" s="678"/>
      <c r="Z34" s="678"/>
      <c r="AA34" s="678"/>
      <c r="AB34" s="678"/>
      <c r="AC34" s="678"/>
      <c r="AD34" s="678"/>
      <c r="AE34" s="678"/>
      <c r="AF34" s="678"/>
      <c r="AG34" s="678"/>
      <c r="AH34" s="991"/>
      <c r="AI34" s="654" t="s">
        <v>89</v>
      </c>
      <c r="AJ34" s="654">
        <v>0</v>
      </c>
      <c r="AK34" s="678"/>
      <c r="AL34" s="678"/>
      <c r="AM34" s="678"/>
      <c r="AN34" s="678"/>
      <c r="AO34" s="678"/>
      <c r="AP34" s="678"/>
      <c r="AQ34" s="678"/>
    </row>
    <row r="35" spans="3:43" ht="15.5" x14ac:dyDescent="0.35">
      <c r="E35" s="651" t="e">
        <f>$J31</f>
        <v>#DIV/0!</v>
      </c>
      <c r="W35" s="678"/>
      <c r="X35" s="678"/>
      <c r="Y35" s="678"/>
      <c r="Z35" s="678"/>
      <c r="AA35" s="678"/>
      <c r="AB35" s="678"/>
      <c r="AC35" s="678"/>
      <c r="AD35" s="678"/>
      <c r="AE35" s="678"/>
      <c r="AF35" s="678"/>
      <c r="AG35" s="678"/>
      <c r="AH35" s="991"/>
      <c r="AI35" s="654" t="s">
        <v>91</v>
      </c>
      <c r="AJ35" s="654">
        <v>0</v>
      </c>
      <c r="AK35" s="678"/>
      <c r="AL35" s="678"/>
      <c r="AM35" s="678"/>
      <c r="AN35" s="678"/>
      <c r="AO35" s="678"/>
      <c r="AP35" s="678"/>
      <c r="AQ35" s="678"/>
    </row>
    <row r="36" spans="3:43" ht="15.5" x14ac:dyDescent="0.35">
      <c r="E36" s="651">
        <f>$M31</f>
        <v>0</v>
      </c>
      <c r="W36" s="678"/>
      <c r="X36" s="678"/>
      <c r="Y36" s="678"/>
      <c r="Z36" s="678"/>
      <c r="AA36" s="678"/>
      <c r="AB36" s="678"/>
      <c r="AC36" s="678"/>
      <c r="AD36" s="678"/>
      <c r="AE36" s="678"/>
      <c r="AF36" s="678"/>
      <c r="AG36" s="678"/>
      <c r="AH36" s="991"/>
      <c r="AI36" s="654" t="s">
        <v>92</v>
      </c>
      <c r="AJ36" s="650">
        <v>0</v>
      </c>
      <c r="AK36" s="678"/>
      <c r="AL36" s="678"/>
      <c r="AM36" s="678"/>
      <c r="AN36" s="678"/>
      <c r="AO36" s="678"/>
      <c r="AP36" s="678"/>
      <c r="AQ36" s="678"/>
    </row>
    <row r="37" spans="3:43" x14ac:dyDescent="0.35">
      <c r="W37" s="678"/>
      <c r="X37" s="678"/>
      <c r="Y37" s="678"/>
      <c r="Z37" s="678"/>
      <c r="AA37" s="678"/>
      <c r="AB37" s="678"/>
      <c r="AC37" s="678"/>
      <c r="AD37" s="678"/>
      <c r="AE37" s="678"/>
      <c r="AF37" s="678"/>
      <c r="AG37" s="678"/>
      <c r="AH37" s="991"/>
      <c r="AI37" s="654" t="s">
        <v>94</v>
      </c>
      <c r="AJ37" s="650">
        <v>0</v>
      </c>
      <c r="AK37" s="678"/>
      <c r="AL37" s="678"/>
      <c r="AM37" s="678"/>
      <c r="AN37" s="678"/>
      <c r="AO37" s="678"/>
      <c r="AP37" s="678"/>
      <c r="AQ37" s="678"/>
    </row>
    <row r="38" spans="3:43" x14ac:dyDescent="0.35">
      <c r="W38" s="678"/>
      <c r="X38" s="678"/>
      <c r="Y38" s="678"/>
      <c r="Z38" s="678"/>
      <c r="AA38" s="678"/>
      <c r="AB38" s="678"/>
      <c r="AC38" s="678"/>
      <c r="AD38" s="678"/>
      <c r="AE38" s="678"/>
      <c r="AF38" s="678"/>
      <c r="AG38" s="678"/>
      <c r="AH38" s="991"/>
      <c r="AI38" s="654" t="s">
        <v>96</v>
      </c>
      <c r="AJ38" s="650">
        <v>0</v>
      </c>
      <c r="AK38" s="678"/>
      <c r="AL38" s="678"/>
      <c r="AM38" s="678"/>
      <c r="AN38" s="678"/>
      <c r="AO38" s="678"/>
      <c r="AP38" s="678"/>
      <c r="AQ38" s="678"/>
    </row>
    <row r="39" spans="3:43" x14ac:dyDescent="0.35">
      <c r="W39" s="678"/>
      <c r="X39" s="678"/>
      <c r="Y39" s="678"/>
      <c r="Z39" s="678"/>
      <c r="AA39" s="678"/>
      <c r="AB39" s="678"/>
      <c r="AC39" s="678"/>
      <c r="AD39" s="678"/>
      <c r="AE39" s="678"/>
      <c r="AF39" s="678"/>
      <c r="AG39" s="678"/>
      <c r="AH39" s="991" t="s">
        <v>83</v>
      </c>
      <c r="AI39" s="654" t="s">
        <v>86</v>
      </c>
      <c r="AJ39" s="654">
        <v>0</v>
      </c>
      <c r="AK39" s="678"/>
      <c r="AL39" s="678"/>
      <c r="AM39" s="678"/>
      <c r="AN39" s="678"/>
      <c r="AO39" s="678"/>
      <c r="AP39" s="678"/>
      <c r="AQ39" s="678"/>
    </row>
    <row r="40" spans="3:43" x14ac:dyDescent="0.35">
      <c r="W40" s="678"/>
      <c r="X40" s="678"/>
      <c r="Y40" s="678"/>
      <c r="Z40" s="678"/>
      <c r="AA40" s="678"/>
      <c r="AB40" s="678"/>
      <c r="AC40" s="678"/>
      <c r="AD40" s="678"/>
      <c r="AE40" s="678"/>
      <c r="AF40" s="678"/>
      <c r="AG40" s="678"/>
      <c r="AH40" s="991"/>
      <c r="AI40" s="654" t="s">
        <v>88</v>
      </c>
      <c r="AJ40" s="654">
        <v>0</v>
      </c>
      <c r="AK40" s="678"/>
      <c r="AL40" s="678"/>
      <c r="AM40" s="678"/>
      <c r="AN40" s="678"/>
      <c r="AO40" s="678"/>
      <c r="AP40" s="678"/>
      <c r="AQ40" s="678"/>
    </row>
    <row r="41" spans="3:43" ht="15.5" x14ac:dyDescent="0.35">
      <c r="C41" s="985"/>
      <c r="D41" s="985"/>
      <c r="E41" s="651"/>
      <c r="W41" s="678"/>
      <c r="X41" s="678"/>
      <c r="Y41" s="678"/>
      <c r="Z41" s="678"/>
      <c r="AA41" s="678"/>
      <c r="AB41" s="678"/>
      <c r="AC41" s="678"/>
      <c r="AD41" s="678"/>
      <c r="AE41" s="678"/>
      <c r="AF41" s="678"/>
      <c r="AG41" s="678"/>
      <c r="AH41" s="991"/>
      <c r="AI41" s="654" t="s">
        <v>89</v>
      </c>
      <c r="AJ41" s="654">
        <v>0</v>
      </c>
      <c r="AK41" s="678"/>
      <c r="AL41" s="678"/>
      <c r="AM41" s="678"/>
      <c r="AN41" s="678"/>
      <c r="AO41" s="678"/>
      <c r="AP41" s="678"/>
      <c r="AQ41" s="678"/>
    </row>
    <row r="42" spans="3:43" ht="15.5" x14ac:dyDescent="0.35">
      <c r="C42" s="696"/>
      <c r="D42" s="696"/>
      <c r="E42" s="651"/>
      <c r="AH42" s="991"/>
      <c r="AI42" s="654" t="s">
        <v>91</v>
      </c>
      <c r="AJ42" s="654">
        <v>0</v>
      </c>
    </row>
    <row r="43" spans="3:43" ht="15.5" x14ac:dyDescent="0.35">
      <c r="C43" s="696"/>
      <c r="D43" s="696"/>
      <c r="E43" s="651"/>
      <c r="AH43" s="991"/>
      <c r="AI43" s="654" t="s">
        <v>92</v>
      </c>
      <c r="AJ43" s="650">
        <v>0</v>
      </c>
    </row>
    <row r="44" spans="3:43" ht="15.5" x14ac:dyDescent="0.35">
      <c r="C44" s="696"/>
      <c r="D44" s="696"/>
      <c r="E44" s="651"/>
      <c r="AH44" s="991"/>
      <c r="AI44" s="654" t="s">
        <v>94</v>
      </c>
      <c r="AJ44" s="650">
        <v>0</v>
      </c>
    </row>
    <row r="45" spans="3:43" ht="15.5" x14ac:dyDescent="0.35">
      <c r="C45" s="696"/>
      <c r="D45" s="696"/>
      <c r="E45" s="651"/>
      <c r="AH45" s="991"/>
      <c r="AI45" s="654" t="s">
        <v>96</v>
      </c>
      <c r="AJ45" s="650">
        <v>0</v>
      </c>
    </row>
    <row r="46" spans="3:43" ht="15.5" x14ac:dyDescent="0.35">
      <c r="C46" s="696"/>
      <c r="D46" s="696"/>
      <c r="E46" s="651"/>
    </row>
    <row r="47" spans="3:43" ht="15.5" x14ac:dyDescent="0.35">
      <c r="C47" s="696"/>
      <c r="D47" s="696"/>
      <c r="E47" s="651"/>
    </row>
    <row r="48" spans="3:43" ht="15.5" x14ac:dyDescent="0.35">
      <c r="C48" s="696"/>
      <c r="D48" s="696"/>
      <c r="E48" s="651"/>
    </row>
    <row r="49" spans="3:5" ht="15.5" x14ac:dyDescent="0.35">
      <c r="C49" s="696"/>
      <c r="D49" s="696"/>
      <c r="E49" s="651"/>
    </row>
    <row r="50" spans="3:5" ht="15.5" x14ac:dyDescent="0.35">
      <c r="C50" s="696"/>
      <c r="D50" s="696"/>
      <c r="E50" s="651"/>
    </row>
    <row r="51" spans="3:5" ht="15.5" x14ac:dyDescent="0.35">
      <c r="C51" s="696"/>
      <c r="D51" s="696"/>
      <c r="E51" s="651"/>
    </row>
    <row r="52" spans="3:5" ht="15.5" x14ac:dyDescent="0.35">
      <c r="C52" s="696"/>
      <c r="D52" s="696"/>
      <c r="E52" s="651"/>
    </row>
    <row r="53" spans="3:5" ht="15.5" x14ac:dyDescent="0.35">
      <c r="C53" s="696"/>
      <c r="D53" s="696"/>
      <c r="E53" s="651"/>
    </row>
    <row r="54" spans="3:5" ht="15.5" x14ac:dyDescent="0.35">
      <c r="C54" s="696"/>
      <c r="D54" s="696"/>
      <c r="E54" s="651"/>
    </row>
    <row r="55" spans="3:5" ht="15.5" x14ac:dyDescent="0.35">
      <c r="C55" s="696"/>
      <c r="D55" s="696"/>
      <c r="E55" s="651"/>
    </row>
    <row r="56" spans="3:5" ht="15.5" x14ac:dyDescent="0.35">
      <c r="C56" s="696"/>
      <c r="D56" s="696"/>
      <c r="E56" s="651"/>
    </row>
    <row r="57" spans="3:5" ht="15.5" x14ac:dyDescent="0.35">
      <c r="C57" s="696"/>
      <c r="D57" s="696"/>
      <c r="E57" s="651"/>
    </row>
    <row r="58" spans="3:5" ht="15.5" x14ac:dyDescent="0.35">
      <c r="C58" s="697"/>
      <c r="D58" s="697"/>
      <c r="E58" s="651"/>
    </row>
    <row r="59" spans="3:5" ht="15.5" x14ac:dyDescent="0.35">
      <c r="C59" s="696"/>
      <c r="D59" s="696"/>
      <c r="E59" s="651"/>
    </row>
    <row r="60" spans="3:5" ht="15.5" x14ac:dyDescent="0.35">
      <c r="C60" s="696"/>
      <c r="D60" s="696"/>
      <c r="E60" s="651"/>
    </row>
    <row r="61" spans="3:5" ht="15.5" x14ac:dyDescent="0.35">
      <c r="C61" s="696"/>
      <c r="D61" s="696"/>
      <c r="E61" s="651"/>
    </row>
    <row r="62" spans="3:5" ht="15.5" x14ac:dyDescent="0.35">
      <c r="C62" s="696"/>
      <c r="D62" s="696"/>
      <c r="E62" s="651"/>
    </row>
    <row r="63" spans="3:5" ht="15.5" x14ac:dyDescent="0.35">
      <c r="C63" s="696"/>
      <c r="D63" s="696"/>
      <c r="E63" s="651"/>
    </row>
    <row r="64" spans="3:5" ht="15.5" x14ac:dyDescent="0.35">
      <c r="C64" s="696"/>
      <c r="D64" s="696"/>
      <c r="E64" s="651"/>
    </row>
    <row r="65" spans="3:5" ht="15.5" x14ac:dyDescent="0.35">
      <c r="C65" s="696"/>
      <c r="D65" s="696"/>
      <c r="E65" s="651"/>
    </row>
    <row r="66" spans="3:5" ht="15.5" x14ac:dyDescent="0.35">
      <c r="C66" s="696"/>
      <c r="D66" s="696"/>
      <c r="E66" s="651"/>
    </row>
    <row r="67" spans="3:5" ht="15.5" x14ac:dyDescent="0.35">
      <c r="C67" s="696"/>
      <c r="D67" s="696"/>
      <c r="E67" s="651"/>
    </row>
    <row r="68" spans="3:5" ht="15.5" x14ac:dyDescent="0.35">
      <c r="C68" s="696"/>
      <c r="D68" s="696"/>
      <c r="E68" s="651"/>
    </row>
    <row r="69" spans="3:5" ht="15.5" x14ac:dyDescent="0.35">
      <c r="C69" s="696"/>
      <c r="D69" s="696"/>
      <c r="E69" s="651"/>
    </row>
    <row r="70" spans="3:5" ht="15.5" x14ac:dyDescent="0.35">
      <c r="C70" s="696"/>
      <c r="D70" s="696"/>
      <c r="E70" s="651"/>
    </row>
    <row r="71" spans="3:5" ht="15.5" x14ac:dyDescent="0.35">
      <c r="C71" s="697"/>
      <c r="D71" s="697"/>
      <c r="E71" s="651"/>
    </row>
  </sheetData>
  <sheetProtection sheet="1" objects="1" scenarios="1"/>
  <mergeCells count="22">
    <mergeCell ref="AH39:AH45"/>
    <mergeCell ref="AH4:AH10"/>
    <mergeCell ref="AH11:AH17"/>
    <mergeCell ref="AH18:AH23"/>
    <mergeCell ref="AH24:AH31"/>
    <mergeCell ref="AH32:AH38"/>
    <mergeCell ref="I22:J22"/>
    <mergeCell ref="L22:M22"/>
    <mergeCell ref="C41:D41"/>
    <mergeCell ref="C3:D4"/>
    <mergeCell ref="C5:D5"/>
    <mergeCell ref="C22:D22"/>
    <mergeCell ref="F22:G22"/>
    <mergeCell ref="V27:Z27"/>
    <mergeCell ref="V28:Z28"/>
    <mergeCell ref="V29:Z29"/>
    <mergeCell ref="V30:Z30"/>
    <mergeCell ref="V22:Z22"/>
    <mergeCell ref="V23:Z23"/>
    <mergeCell ref="V24:Z24"/>
    <mergeCell ref="V25:Z25"/>
    <mergeCell ref="V26:Z26"/>
  </mergeCells>
  <conditionalFormatting sqref="D24:D31">
    <cfRule type="cellIs" dxfId="1298" priority="4" operator="greaterThan">
      <formula>0</formula>
    </cfRule>
  </conditionalFormatting>
  <conditionalFormatting sqref="G24:G31">
    <cfRule type="cellIs" dxfId="1297" priority="3" operator="greaterThan">
      <formula>0</formula>
    </cfRule>
  </conditionalFormatting>
  <conditionalFormatting sqref="J24:J31">
    <cfRule type="cellIs" dxfId="1296" priority="2" operator="greaterThan">
      <formula>0</formula>
    </cfRule>
  </conditionalFormatting>
  <conditionalFormatting sqref="M24:M31">
    <cfRule type="cellIs" dxfId="1295" priority="1" operator="greaterThan">
      <formula>0</formula>
    </cfRule>
  </conditionalFormatting>
  <pageMargins left="0.23622047244094491" right="0.23622047244094491" top="0.74803149606299213" bottom="0.74803149606299213" header="0.31496062992125984" footer="0.31496062992125984"/>
  <pageSetup paperSize="9" scale="71" orientation="landscape" horizontalDpi="4294967293" r:id="rId1"/>
  <headerFooter>
    <oddHeader>&amp;C&amp;"-,Vet"&amp;16REFERENTIESCORES - LVS TOETSEN GROEP 6-7-8 + EINDTOETS GROEP 8</oddHeader>
  </headerFooter>
  <colBreaks count="2" manualBreakCount="2">
    <brk id="14" min="1" max="30" man="1"/>
    <brk id="20" min="1" max="30"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CD18-66FE-464E-A5A3-CF5B13BB95CB}">
  <dimension ref="A1:E202"/>
  <sheetViews>
    <sheetView zoomScaleNormal="100" workbookViewId="0">
      <selection sqref="A1:E203"/>
    </sheetView>
  </sheetViews>
  <sheetFormatPr defaultColWidth="9.1796875" defaultRowHeight="14.5" x14ac:dyDescent="0.35"/>
  <cols>
    <col min="1" max="1" width="13.453125" style="556" bestFit="1" customWidth="1"/>
    <col min="2" max="2" width="18.54296875" style="557" bestFit="1" customWidth="1"/>
    <col min="3" max="3" width="8.453125" style="557" bestFit="1" customWidth="1"/>
    <col min="4" max="1025" width="8.54296875" style="557" customWidth="1"/>
    <col min="1026" max="16384" width="9.1796875" style="557"/>
  </cols>
  <sheetData>
    <row r="1" spans="1:5" x14ac:dyDescent="0.35">
      <c r="A1" s="556" t="s">
        <v>114</v>
      </c>
      <c r="B1" s="557" t="s">
        <v>115</v>
      </c>
      <c r="C1" s="557" t="s">
        <v>116</v>
      </c>
      <c r="E1" s="557" t="s">
        <v>117</v>
      </c>
    </row>
    <row r="2" spans="1:5" x14ac:dyDescent="0.35">
      <c r="A2" s="558">
        <v>20</v>
      </c>
      <c r="B2" s="935">
        <v>0.68300000000000005</v>
      </c>
      <c r="C2" s="935">
        <v>0.77900000000000003</v>
      </c>
      <c r="D2" s="936"/>
      <c r="E2" s="937">
        <v>0.98699999999999999</v>
      </c>
    </row>
    <row r="3" spans="1:5" x14ac:dyDescent="0.35">
      <c r="A3" s="558">
        <f t="shared" ref="A3:A37" si="0">A2+0.1</f>
        <v>20.100000000000001</v>
      </c>
      <c r="B3" s="938">
        <v>0.68300000000000005</v>
      </c>
      <c r="C3" s="935">
        <v>0.77900000000000003</v>
      </c>
      <c r="E3" s="939">
        <v>0.98699999999999999</v>
      </c>
    </row>
    <row r="4" spans="1:5" x14ac:dyDescent="0.35">
      <c r="A4" s="558">
        <f t="shared" si="0"/>
        <v>20.200000000000003</v>
      </c>
      <c r="B4" s="938">
        <v>0.68300000000000005</v>
      </c>
      <c r="C4" s="935">
        <v>0.77900000000000003</v>
      </c>
      <c r="E4" s="939">
        <v>0.98699999999999999</v>
      </c>
    </row>
    <row r="5" spans="1:5" x14ac:dyDescent="0.35">
      <c r="A5" s="558">
        <f t="shared" si="0"/>
        <v>20.300000000000004</v>
      </c>
      <c r="B5" s="938">
        <v>0.68300000000000005</v>
      </c>
      <c r="C5" s="935">
        <v>0.77900000000000003</v>
      </c>
      <c r="E5" s="939">
        <v>0.98699999999999999</v>
      </c>
    </row>
    <row r="6" spans="1:5" x14ac:dyDescent="0.35">
      <c r="A6" s="558">
        <f t="shared" si="0"/>
        <v>20.400000000000006</v>
      </c>
      <c r="B6" s="938">
        <v>0.68300000000000005</v>
      </c>
      <c r="C6" s="935">
        <v>0.77900000000000003</v>
      </c>
      <c r="E6" s="939">
        <v>0.98699999999999999</v>
      </c>
    </row>
    <row r="7" spans="1:5" x14ac:dyDescent="0.35">
      <c r="A7" s="558">
        <f t="shared" si="0"/>
        <v>20.500000000000007</v>
      </c>
      <c r="B7" s="938">
        <v>0.68300000000000005</v>
      </c>
      <c r="C7" s="935">
        <v>0.77900000000000003</v>
      </c>
      <c r="E7" s="939">
        <v>0.98699999999999999</v>
      </c>
    </row>
    <row r="8" spans="1:5" x14ac:dyDescent="0.35">
      <c r="A8" s="558">
        <f t="shared" si="0"/>
        <v>20.600000000000009</v>
      </c>
      <c r="B8" s="938">
        <v>0.68300000000000005</v>
      </c>
      <c r="C8" s="935">
        <v>0.77900000000000003</v>
      </c>
      <c r="E8" s="939">
        <v>0.98699999999999999</v>
      </c>
    </row>
    <row r="9" spans="1:5" x14ac:dyDescent="0.35">
      <c r="A9" s="558">
        <f t="shared" si="0"/>
        <v>20.70000000000001</v>
      </c>
      <c r="B9" s="938">
        <v>0.68300000000000005</v>
      </c>
      <c r="C9" s="935">
        <v>0.77900000000000003</v>
      </c>
      <c r="E9" s="939">
        <v>0.98699999999999999</v>
      </c>
    </row>
    <row r="10" spans="1:5" x14ac:dyDescent="0.35">
      <c r="A10" s="558">
        <f t="shared" si="0"/>
        <v>20.800000000000011</v>
      </c>
      <c r="B10" s="938">
        <v>0.68300000000000005</v>
      </c>
      <c r="C10" s="935">
        <v>0.77900000000000003</v>
      </c>
      <c r="E10" s="939">
        <v>0.98699999999999999</v>
      </c>
    </row>
    <row r="11" spans="1:5" x14ac:dyDescent="0.35">
      <c r="A11" s="558">
        <f t="shared" si="0"/>
        <v>20.900000000000013</v>
      </c>
      <c r="B11" s="938">
        <v>0.68300000000000005</v>
      </c>
      <c r="C11" s="935">
        <v>0.77900000000000003</v>
      </c>
      <c r="E11" s="939">
        <v>0.98699999999999999</v>
      </c>
    </row>
    <row r="12" spans="1:5" x14ac:dyDescent="0.35">
      <c r="A12" s="558">
        <f t="shared" si="0"/>
        <v>21.000000000000014</v>
      </c>
      <c r="B12" s="935">
        <v>0.65</v>
      </c>
      <c r="C12" s="935">
        <v>0.72899999999999998</v>
      </c>
      <c r="D12" s="936"/>
      <c r="E12" s="940">
        <v>0.98</v>
      </c>
    </row>
    <row r="13" spans="1:5" x14ac:dyDescent="0.35">
      <c r="A13" s="558">
        <f t="shared" si="0"/>
        <v>21.100000000000016</v>
      </c>
      <c r="B13" s="938">
        <v>0.65</v>
      </c>
      <c r="C13" s="935">
        <v>0.72899999999999998</v>
      </c>
      <c r="E13" s="941">
        <v>0.98</v>
      </c>
    </row>
    <row r="14" spans="1:5" x14ac:dyDescent="0.35">
      <c r="A14" s="558">
        <f t="shared" si="0"/>
        <v>21.200000000000017</v>
      </c>
      <c r="B14" s="938">
        <v>0.65</v>
      </c>
      <c r="C14" s="935">
        <v>0.72899999999999998</v>
      </c>
      <c r="E14" s="941">
        <v>0.98</v>
      </c>
    </row>
    <row r="15" spans="1:5" x14ac:dyDescent="0.35">
      <c r="A15" s="558">
        <f t="shared" si="0"/>
        <v>21.300000000000018</v>
      </c>
      <c r="B15" s="938">
        <v>0.65</v>
      </c>
      <c r="C15" s="935">
        <v>0.72899999999999998</v>
      </c>
      <c r="E15" s="941">
        <v>0.98</v>
      </c>
    </row>
    <row r="16" spans="1:5" x14ac:dyDescent="0.35">
      <c r="A16" s="558">
        <f t="shared" si="0"/>
        <v>21.40000000000002</v>
      </c>
      <c r="B16" s="938">
        <v>0.65</v>
      </c>
      <c r="C16" s="935">
        <v>0.72899999999999998</v>
      </c>
      <c r="E16" s="941">
        <v>0.98</v>
      </c>
    </row>
    <row r="17" spans="1:5" x14ac:dyDescent="0.35">
      <c r="A17" s="558">
        <f t="shared" si="0"/>
        <v>21.500000000000021</v>
      </c>
      <c r="B17" s="938">
        <v>0.65</v>
      </c>
      <c r="C17" s="935">
        <v>0.72899999999999998</v>
      </c>
      <c r="E17" s="941">
        <v>0.98</v>
      </c>
    </row>
    <row r="18" spans="1:5" x14ac:dyDescent="0.35">
      <c r="A18" s="558">
        <f t="shared" si="0"/>
        <v>21.600000000000023</v>
      </c>
      <c r="B18" s="938">
        <v>0.65</v>
      </c>
      <c r="C18" s="935">
        <v>0.72899999999999998</v>
      </c>
      <c r="E18" s="941">
        <v>0.98</v>
      </c>
    </row>
    <row r="19" spans="1:5" x14ac:dyDescent="0.35">
      <c r="A19" s="558">
        <f t="shared" si="0"/>
        <v>21.700000000000024</v>
      </c>
      <c r="B19" s="938">
        <v>0.65</v>
      </c>
      <c r="C19" s="935">
        <v>0.72899999999999998</v>
      </c>
      <c r="E19" s="941">
        <v>0.98</v>
      </c>
    </row>
    <row r="20" spans="1:5" x14ac:dyDescent="0.35">
      <c r="A20" s="558">
        <f t="shared" si="0"/>
        <v>21.800000000000026</v>
      </c>
      <c r="B20" s="938">
        <v>0.65</v>
      </c>
      <c r="C20" s="935">
        <v>0.72899999999999998</v>
      </c>
      <c r="E20" s="941">
        <v>0.98</v>
      </c>
    </row>
    <row r="21" spans="1:5" x14ac:dyDescent="0.35">
      <c r="A21" s="558">
        <f t="shared" si="0"/>
        <v>21.900000000000027</v>
      </c>
      <c r="B21" s="938">
        <v>0.65</v>
      </c>
      <c r="C21" s="935">
        <v>0.72899999999999998</v>
      </c>
      <c r="E21" s="941">
        <v>0.98</v>
      </c>
    </row>
    <row r="22" spans="1:5" x14ac:dyDescent="0.35">
      <c r="A22" s="558">
        <f t="shared" si="0"/>
        <v>22.000000000000028</v>
      </c>
      <c r="B22" s="935">
        <v>0.61899999999999999</v>
      </c>
      <c r="C22" s="935">
        <v>0.71</v>
      </c>
      <c r="D22" s="936"/>
      <c r="E22" s="937">
        <v>0.97799999999999998</v>
      </c>
    </row>
    <row r="23" spans="1:5" x14ac:dyDescent="0.35">
      <c r="A23" s="558">
        <f t="shared" si="0"/>
        <v>22.10000000000003</v>
      </c>
      <c r="B23" s="559">
        <v>0.61899999999999999</v>
      </c>
      <c r="C23" s="935">
        <v>0.71</v>
      </c>
      <c r="E23" s="939">
        <v>0.97799999999999998</v>
      </c>
    </row>
    <row r="24" spans="1:5" x14ac:dyDescent="0.35">
      <c r="A24" s="558">
        <f t="shared" si="0"/>
        <v>22.200000000000031</v>
      </c>
      <c r="B24" s="559">
        <v>0.61899999999999999</v>
      </c>
      <c r="C24" s="935">
        <v>0.71</v>
      </c>
      <c r="E24" s="939">
        <v>0.97799999999999998</v>
      </c>
    </row>
    <row r="25" spans="1:5" x14ac:dyDescent="0.35">
      <c r="A25" s="558">
        <f t="shared" si="0"/>
        <v>22.300000000000033</v>
      </c>
      <c r="B25" s="559">
        <v>0.61899999999999999</v>
      </c>
      <c r="C25" s="935">
        <v>0.71</v>
      </c>
      <c r="E25" s="939">
        <v>0.97799999999999998</v>
      </c>
    </row>
    <row r="26" spans="1:5" x14ac:dyDescent="0.35">
      <c r="A26" s="558">
        <f t="shared" si="0"/>
        <v>22.400000000000034</v>
      </c>
      <c r="B26" s="559">
        <v>0.61899999999999999</v>
      </c>
      <c r="C26" s="935">
        <v>0.71</v>
      </c>
      <c r="E26" s="939">
        <v>0.97799999999999998</v>
      </c>
    </row>
    <row r="27" spans="1:5" x14ac:dyDescent="0.35">
      <c r="A27" s="558">
        <f t="shared" si="0"/>
        <v>22.500000000000036</v>
      </c>
      <c r="B27" s="559">
        <v>0.61899999999999999</v>
      </c>
      <c r="C27" s="935">
        <v>0.71</v>
      </c>
      <c r="E27" s="939">
        <v>0.97799999999999998</v>
      </c>
    </row>
    <row r="28" spans="1:5" x14ac:dyDescent="0.35">
      <c r="A28" s="558">
        <f t="shared" si="0"/>
        <v>22.600000000000037</v>
      </c>
      <c r="B28" s="559">
        <v>0.61899999999999999</v>
      </c>
      <c r="C28" s="935">
        <v>0.71</v>
      </c>
      <c r="E28" s="939">
        <v>0.97799999999999998</v>
      </c>
    </row>
    <row r="29" spans="1:5" x14ac:dyDescent="0.35">
      <c r="A29" s="558">
        <f t="shared" si="0"/>
        <v>22.700000000000038</v>
      </c>
      <c r="B29" s="559">
        <v>0.61899999999999999</v>
      </c>
      <c r="C29" s="935">
        <v>0.71</v>
      </c>
      <c r="E29" s="939">
        <v>0.97799999999999998</v>
      </c>
    </row>
    <row r="30" spans="1:5" x14ac:dyDescent="0.35">
      <c r="A30" s="558">
        <f t="shared" si="0"/>
        <v>22.80000000000004</v>
      </c>
      <c r="B30" s="559">
        <v>0.61899999999999999</v>
      </c>
      <c r="C30" s="935">
        <v>0.71</v>
      </c>
      <c r="E30" s="939">
        <v>0.97799999999999998</v>
      </c>
    </row>
    <row r="31" spans="1:5" x14ac:dyDescent="0.35">
      <c r="A31" s="558">
        <f t="shared" si="0"/>
        <v>22.900000000000041</v>
      </c>
      <c r="B31" s="559">
        <v>0.61899999999999999</v>
      </c>
      <c r="C31" s="935">
        <v>0.71</v>
      </c>
      <c r="E31" s="939">
        <v>0.97799999999999998</v>
      </c>
    </row>
    <row r="32" spans="1:5" x14ac:dyDescent="0.35">
      <c r="A32" s="558">
        <f t="shared" si="0"/>
        <v>23.000000000000043</v>
      </c>
      <c r="B32" s="935">
        <v>0.58899999999999997</v>
      </c>
      <c r="C32" s="935">
        <v>0.68200000000000005</v>
      </c>
      <c r="D32" s="936"/>
      <c r="E32" s="937">
        <v>0.97299999999999998</v>
      </c>
    </row>
    <row r="33" spans="1:5" x14ac:dyDescent="0.35">
      <c r="A33" s="558">
        <f t="shared" si="0"/>
        <v>23.100000000000044</v>
      </c>
      <c r="B33" s="559">
        <v>0.58899999999999997</v>
      </c>
      <c r="C33" s="935">
        <v>0.68200000000000005</v>
      </c>
      <c r="E33" s="939">
        <v>0.97299999999999998</v>
      </c>
    </row>
    <row r="34" spans="1:5" x14ac:dyDescent="0.35">
      <c r="A34" s="558">
        <f t="shared" si="0"/>
        <v>23.200000000000045</v>
      </c>
      <c r="B34" s="559">
        <v>0.58899999999999997</v>
      </c>
      <c r="C34" s="935">
        <v>0.68200000000000005</v>
      </c>
      <c r="E34" s="939">
        <v>0.97299999999999998</v>
      </c>
    </row>
    <row r="35" spans="1:5" x14ac:dyDescent="0.35">
      <c r="A35" s="558">
        <f t="shared" si="0"/>
        <v>23.300000000000047</v>
      </c>
      <c r="B35" s="559">
        <v>0.58899999999999997</v>
      </c>
      <c r="C35" s="935">
        <v>0.68200000000000005</v>
      </c>
      <c r="E35" s="939">
        <v>0.97299999999999998</v>
      </c>
    </row>
    <row r="36" spans="1:5" x14ac:dyDescent="0.35">
      <c r="A36" s="558">
        <f t="shared" si="0"/>
        <v>23.400000000000048</v>
      </c>
      <c r="B36" s="559">
        <v>0.58899999999999997</v>
      </c>
      <c r="C36" s="935">
        <v>0.68200000000000005</v>
      </c>
      <c r="E36" s="939">
        <v>0.97299999999999998</v>
      </c>
    </row>
    <row r="37" spans="1:5" x14ac:dyDescent="0.35">
      <c r="A37" s="558">
        <f t="shared" si="0"/>
        <v>23.50000000000005</v>
      </c>
      <c r="B37" s="559">
        <v>0.58899999999999997</v>
      </c>
      <c r="C37" s="935">
        <v>0.68200000000000005</v>
      </c>
      <c r="E37" s="939">
        <v>0.97299999999999998</v>
      </c>
    </row>
    <row r="38" spans="1:5" x14ac:dyDescent="0.35">
      <c r="A38" s="558">
        <v>23.6</v>
      </c>
      <c r="B38" s="559">
        <v>0.58899999999999997</v>
      </c>
      <c r="C38" s="935">
        <v>0.68200000000000005</v>
      </c>
      <c r="E38" s="939">
        <v>0.97299999999999998</v>
      </c>
    </row>
    <row r="39" spans="1:5" x14ac:dyDescent="0.35">
      <c r="A39" s="558">
        <v>23.7</v>
      </c>
      <c r="B39" s="559">
        <v>0.58899999999999997</v>
      </c>
      <c r="C39" s="935">
        <v>0.68200000000000005</v>
      </c>
      <c r="E39" s="939">
        <v>0.97299999999999998</v>
      </c>
    </row>
    <row r="40" spans="1:5" x14ac:dyDescent="0.35">
      <c r="A40" s="558">
        <v>23.8</v>
      </c>
      <c r="B40" s="559">
        <v>0.58899999999999997</v>
      </c>
      <c r="C40" s="935">
        <v>0.68200000000000005</v>
      </c>
      <c r="E40" s="939">
        <v>0.97299999999999998</v>
      </c>
    </row>
    <row r="41" spans="1:5" x14ac:dyDescent="0.35">
      <c r="A41" s="558">
        <v>23.9</v>
      </c>
      <c r="B41" s="559">
        <v>0.58899999999999997</v>
      </c>
      <c r="C41" s="935">
        <v>0.68200000000000005</v>
      </c>
      <c r="E41" s="939">
        <v>0.97299999999999998</v>
      </c>
    </row>
    <row r="42" spans="1:5" x14ac:dyDescent="0.35">
      <c r="A42" s="558">
        <v>24</v>
      </c>
      <c r="B42" s="935">
        <v>0.56200000000000006</v>
      </c>
      <c r="C42" s="935">
        <v>0.66600000000000004</v>
      </c>
      <c r="D42" s="936"/>
      <c r="E42" s="942">
        <v>0.97899999999999998</v>
      </c>
    </row>
    <row r="43" spans="1:5" x14ac:dyDescent="0.35">
      <c r="A43" s="558">
        <v>24.1</v>
      </c>
      <c r="B43" s="559">
        <v>0.56200000000000006</v>
      </c>
      <c r="C43" s="935">
        <v>0.66600000000000004</v>
      </c>
      <c r="E43" s="560">
        <v>0.97899999999999998</v>
      </c>
    </row>
    <row r="44" spans="1:5" x14ac:dyDescent="0.35">
      <c r="A44" s="558">
        <v>24.2</v>
      </c>
      <c r="B44" s="559">
        <v>0.56200000000000006</v>
      </c>
      <c r="C44" s="935">
        <v>0.66600000000000004</v>
      </c>
      <c r="E44" s="560">
        <v>0.97899999999999998</v>
      </c>
    </row>
    <row r="45" spans="1:5" x14ac:dyDescent="0.35">
      <c r="A45" s="558">
        <v>24.3</v>
      </c>
      <c r="B45" s="559">
        <v>0.56200000000000006</v>
      </c>
      <c r="C45" s="935">
        <v>0.66600000000000004</v>
      </c>
      <c r="E45" s="560">
        <v>0.97899999999999998</v>
      </c>
    </row>
    <row r="46" spans="1:5" x14ac:dyDescent="0.35">
      <c r="A46" s="558">
        <v>24.4</v>
      </c>
      <c r="B46" s="559">
        <v>0.56200000000000006</v>
      </c>
      <c r="C46" s="935">
        <v>0.66600000000000004</v>
      </c>
      <c r="E46" s="560">
        <v>0.97899999999999998</v>
      </c>
    </row>
    <row r="47" spans="1:5" x14ac:dyDescent="0.35">
      <c r="A47" s="558">
        <v>24.5</v>
      </c>
      <c r="B47" s="559">
        <v>0.56200000000000006</v>
      </c>
      <c r="C47" s="935">
        <v>0.66600000000000004</v>
      </c>
      <c r="E47" s="560">
        <v>0.97899999999999998</v>
      </c>
    </row>
    <row r="48" spans="1:5" x14ac:dyDescent="0.35">
      <c r="A48" s="558">
        <v>24.6</v>
      </c>
      <c r="B48" s="559">
        <v>0.56200000000000006</v>
      </c>
      <c r="C48" s="935">
        <v>0.66600000000000004</v>
      </c>
      <c r="E48" s="560">
        <v>0.97899999999999998</v>
      </c>
    </row>
    <row r="49" spans="1:5" x14ac:dyDescent="0.35">
      <c r="A49" s="558">
        <v>24.7</v>
      </c>
      <c r="B49" s="559">
        <v>0.56200000000000006</v>
      </c>
      <c r="C49" s="935">
        <v>0.66600000000000004</v>
      </c>
      <c r="E49" s="560">
        <v>0.97899999999999998</v>
      </c>
    </row>
    <row r="50" spans="1:5" x14ac:dyDescent="0.35">
      <c r="A50" s="558">
        <v>24.8</v>
      </c>
      <c r="B50" s="559">
        <v>0.56200000000000006</v>
      </c>
      <c r="C50" s="935">
        <v>0.66600000000000004</v>
      </c>
      <c r="E50" s="560">
        <v>0.97899999999999998</v>
      </c>
    </row>
    <row r="51" spans="1:5" x14ac:dyDescent="0.35">
      <c r="A51" s="558">
        <v>24.9</v>
      </c>
      <c r="B51" s="559">
        <v>0.56200000000000006</v>
      </c>
      <c r="C51" s="935">
        <v>0.66600000000000004</v>
      </c>
      <c r="E51" s="560">
        <v>0.97899999999999998</v>
      </c>
    </row>
    <row r="52" spans="1:5" x14ac:dyDescent="0.35">
      <c r="A52" s="558">
        <v>25</v>
      </c>
      <c r="B52" s="935">
        <v>0.53800000000000003</v>
      </c>
      <c r="C52" s="935">
        <v>0.64100000000000001</v>
      </c>
      <c r="D52" s="936"/>
      <c r="E52" s="942">
        <v>0.96499999999999997</v>
      </c>
    </row>
    <row r="53" spans="1:5" x14ac:dyDescent="0.35">
      <c r="A53" s="558">
        <v>25.1</v>
      </c>
      <c r="B53" s="559">
        <v>0.53800000000000003</v>
      </c>
      <c r="C53" s="935">
        <v>0.64100000000000001</v>
      </c>
      <c r="E53" s="560">
        <v>0.96499999999999997</v>
      </c>
    </row>
    <row r="54" spans="1:5" x14ac:dyDescent="0.35">
      <c r="A54" s="558">
        <v>25.2</v>
      </c>
      <c r="B54" s="559">
        <v>0.53800000000000003</v>
      </c>
      <c r="C54" s="935">
        <v>0.64100000000000001</v>
      </c>
      <c r="E54" s="560">
        <v>0.96499999999999997</v>
      </c>
    </row>
    <row r="55" spans="1:5" x14ac:dyDescent="0.35">
      <c r="A55" s="558">
        <v>25.3</v>
      </c>
      <c r="B55" s="559">
        <v>0.53800000000000003</v>
      </c>
      <c r="C55" s="935">
        <v>0.64100000000000001</v>
      </c>
      <c r="E55" s="560">
        <v>0.96499999999999997</v>
      </c>
    </row>
    <row r="56" spans="1:5" x14ac:dyDescent="0.35">
      <c r="A56" s="558">
        <v>25.4</v>
      </c>
      <c r="B56" s="559">
        <v>0.53800000000000003</v>
      </c>
      <c r="C56" s="935">
        <v>0.64100000000000001</v>
      </c>
      <c r="E56" s="560">
        <v>0.96499999999999997</v>
      </c>
    </row>
    <row r="57" spans="1:5" x14ac:dyDescent="0.35">
      <c r="A57" s="558">
        <v>25.5</v>
      </c>
      <c r="B57" s="559">
        <v>0.53800000000000003</v>
      </c>
      <c r="C57" s="935">
        <v>0.64100000000000001</v>
      </c>
      <c r="E57" s="560">
        <v>0.96499999999999997</v>
      </c>
    </row>
    <row r="58" spans="1:5" x14ac:dyDescent="0.35">
      <c r="A58" s="558">
        <v>25.6</v>
      </c>
      <c r="B58" s="559">
        <v>0.53800000000000003</v>
      </c>
      <c r="C58" s="935">
        <v>0.64100000000000001</v>
      </c>
      <c r="E58" s="560">
        <v>0.96499999999999997</v>
      </c>
    </row>
    <row r="59" spans="1:5" x14ac:dyDescent="0.35">
      <c r="A59" s="558">
        <v>25.7</v>
      </c>
      <c r="B59" s="559">
        <v>0.53800000000000003</v>
      </c>
      <c r="C59" s="935">
        <v>0.64100000000000001</v>
      </c>
      <c r="E59" s="560">
        <v>0.96499999999999997</v>
      </c>
    </row>
    <row r="60" spans="1:5" x14ac:dyDescent="0.35">
      <c r="A60" s="558">
        <v>25.8</v>
      </c>
      <c r="B60" s="559">
        <v>0.53800000000000003</v>
      </c>
      <c r="C60" s="935">
        <v>0.64100000000000001</v>
      </c>
      <c r="E60" s="560">
        <v>0.96499999999999997</v>
      </c>
    </row>
    <row r="61" spans="1:5" x14ac:dyDescent="0.35">
      <c r="A61" s="558">
        <v>25.9</v>
      </c>
      <c r="B61" s="559">
        <v>0.53800000000000003</v>
      </c>
      <c r="C61" s="935">
        <v>0.64100000000000001</v>
      </c>
      <c r="E61" s="560">
        <v>0.96499999999999997</v>
      </c>
    </row>
    <row r="62" spans="1:5" x14ac:dyDescent="0.35">
      <c r="A62" s="558">
        <v>26</v>
      </c>
      <c r="B62" s="935">
        <v>0.51800000000000002</v>
      </c>
      <c r="C62" s="935">
        <v>0.63300000000000001</v>
      </c>
      <c r="D62" s="936"/>
      <c r="E62" s="942">
        <v>0.96299999999999997</v>
      </c>
    </row>
    <row r="63" spans="1:5" x14ac:dyDescent="0.35">
      <c r="A63" s="558">
        <v>26.1</v>
      </c>
      <c r="B63" s="559">
        <v>0.51800000000000002</v>
      </c>
      <c r="C63" s="935">
        <v>0.63300000000000001</v>
      </c>
      <c r="E63" s="560">
        <v>0.96299999999999997</v>
      </c>
    </row>
    <row r="64" spans="1:5" x14ac:dyDescent="0.35">
      <c r="A64" s="558">
        <v>26.2</v>
      </c>
      <c r="B64" s="559">
        <v>0.51800000000000002</v>
      </c>
      <c r="C64" s="935">
        <v>0.63300000000000001</v>
      </c>
      <c r="E64" s="560">
        <v>0.96299999999999997</v>
      </c>
    </row>
    <row r="65" spans="1:5" x14ac:dyDescent="0.35">
      <c r="A65" s="558">
        <v>26.3</v>
      </c>
      <c r="B65" s="559">
        <v>0.51800000000000002</v>
      </c>
      <c r="C65" s="935">
        <v>0.63300000000000001</v>
      </c>
      <c r="E65" s="560">
        <v>0.96299999999999997</v>
      </c>
    </row>
    <row r="66" spans="1:5" x14ac:dyDescent="0.35">
      <c r="A66" s="558">
        <v>26.4</v>
      </c>
      <c r="B66" s="559">
        <v>0.51800000000000002</v>
      </c>
      <c r="C66" s="935">
        <v>0.63300000000000001</v>
      </c>
      <c r="E66" s="560">
        <v>0.96299999999999997</v>
      </c>
    </row>
    <row r="67" spans="1:5" x14ac:dyDescent="0.35">
      <c r="A67" s="558">
        <v>26.5</v>
      </c>
      <c r="B67" s="559">
        <v>0.51800000000000002</v>
      </c>
      <c r="C67" s="935">
        <v>0.63300000000000001</v>
      </c>
      <c r="E67" s="560">
        <v>0.96299999999999997</v>
      </c>
    </row>
    <row r="68" spans="1:5" x14ac:dyDescent="0.35">
      <c r="A68" s="558">
        <v>26.6</v>
      </c>
      <c r="B68" s="559">
        <v>0.51800000000000002</v>
      </c>
      <c r="C68" s="935">
        <v>0.63300000000000001</v>
      </c>
      <c r="E68" s="560">
        <v>0.96299999999999997</v>
      </c>
    </row>
    <row r="69" spans="1:5" x14ac:dyDescent="0.35">
      <c r="A69" s="558">
        <v>26.7</v>
      </c>
      <c r="B69" s="559">
        <v>0.51800000000000002</v>
      </c>
      <c r="C69" s="935">
        <v>0.63300000000000001</v>
      </c>
      <c r="E69" s="560">
        <v>0.96299999999999997</v>
      </c>
    </row>
    <row r="70" spans="1:5" x14ac:dyDescent="0.35">
      <c r="A70" s="558">
        <v>26.8</v>
      </c>
      <c r="B70" s="559">
        <v>0.51800000000000002</v>
      </c>
      <c r="C70" s="935">
        <v>0.63300000000000001</v>
      </c>
      <c r="E70" s="560">
        <v>0.96299999999999997</v>
      </c>
    </row>
    <row r="71" spans="1:5" x14ac:dyDescent="0.35">
      <c r="A71" s="558">
        <v>26.9</v>
      </c>
      <c r="B71" s="559">
        <v>0.51800000000000002</v>
      </c>
      <c r="C71" s="935">
        <v>0.63300000000000001</v>
      </c>
      <c r="E71" s="560">
        <v>0.96299999999999997</v>
      </c>
    </row>
    <row r="72" spans="1:5" x14ac:dyDescent="0.35">
      <c r="A72" s="558">
        <v>27</v>
      </c>
      <c r="B72" s="935">
        <v>0.501</v>
      </c>
      <c r="C72" s="935">
        <v>0.61799999999999999</v>
      </c>
      <c r="D72" s="936"/>
      <c r="E72" s="942">
        <v>0.96399999999999997</v>
      </c>
    </row>
    <row r="73" spans="1:5" x14ac:dyDescent="0.35">
      <c r="A73" s="558">
        <v>27.1</v>
      </c>
      <c r="B73" s="559">
        <v>0.501</v>
      </c>
      <c r="C73" s="935">
        <v>0.61799999999999999</v>
      </c>
      <c r="E73" s="560">
        <v>0.96399999999999997</v>
      </c>
    </row>
    <row r="74" spans="1:5" x14ac:dyDescent="0.35">
      <c r="A74" s="558">
        <v>27.2</v>
      </c>
      <c r="B74" s="559">
        <v>0.501</v>
      </c>
      <c r="C74" s="935">
        <v>0.61799999999999999</v>
      </c>
      <c r="E74" s="560">
        <v>0.96399999999999997</v>
      </c>
    </row>
    <row r="75" spans="1:5" x14ac:dyDescent="0.35">
      <c r="A75" s="558">
        <v>27.3</v>
      </c>
      <c r="B75" s="559">
        <v>0.501</v>
      </c>
      <c r="C75" s="935">
        <v>0.61799999999999999</v>
      </c>
      <c r="E75" s="560">
        <v>0.96399999999999997</v>
      </c>
    </row>
    <row r="76" spans="1:5" x14ac:dyDescent="0.35">
      <c r="A76" s="558">
        <v>27.4</v>
      </c>
      <c r="B76" s="559">
        <v>0.501</v>
      </c>
      <c r="C76" s="935">
        <v>0.61799999999999999</v>
      </c>
      <c r="E76" s="560">
        <v>0.96399999999999997</v>
      </c>
    </row>
    <row r="77" spans="1:5" x14ac:dyDescent="0.35">
      <c r="A77" s="558">
        <v>27.5</v>
      </c>
      <c r="B77" s="559">
        <v>0.501</v>
      </c>
      <c r="C77" s="935">
        <v>0.61799999999999999</v>
      </c>
      <c r="E77" s="560">
        <v>0.96399999999999997</v>
      </c>
    </row>
    <row r="78" spans="1:5" x14ac:dyDescent="0.35">
      <c r="A78" s="558">
        <v>27.6</v>
      </c>
      <c r="B78" s="559">
        <v>0.501</v>
      </c>
      <c r="C78" s="935">
        <v>0.61799999999999999</v>
      </c>
      <c r="E78" s="560">
        <v>0.96399999999999997</v>
      </c>
    </row>
    <row r="79" spans="1:5" x14ac:dyDescent="0.35">
      <c r="A79" s="558">
        <v>27.7</v>
      </c>
      <c r="B79" s="559">
        <v>0.501</v>
      </c>
      <c r="C79" s="935">
        <v>0.61799999999999999</v>
      </c>
      <c r="E79" s="560">
        <v>0.96399999999999997</v>
      </c>
    </row>
    <row r="80" spans="1:5" x14ac:dyDescent="0.35">
      <c r="A80" s="558">
        <v>27.8</v>
      </c>
      <c r="B80" s="559">
        <v>0.501</v>
      </c>
      <c r="C80" s="935">
        <v>0.61799999999999999</v>
      </c>
      <c r="E80" s="560">
        <v>0.96399999999999997</v>
      </c>
    </row>
    <row r="81" spans="1:5" x14ac:dyDescent="0.35">
      <c r="A81" s="558">
        <v>27.9</v>
      </c>
      <c r="B81" s="559">
        <v>0.501</v>
      </c>
      <c r="C81" s="935">
        <v>0.61799999999999999</v>
      </c>
      <c r="E81" s="560">
        <v>0.96399999999999997</v>
      </c>
    </row>
    <row r="82" spans="1:5" x14ac:dyDescent="0.35">
      <c r="A82" s="558">
        <v>28</v>
      </c>
      <c r="B82" s="935">
        <v>0.48599999999999999</v>
      </c>
      <c r="C82" s="935">
        <v>0.60899999999999999</v>
      </c>
      <c r="D82" s="936"/>
      <c r="E82" s="942">
        <v>0.96099999999999997</v>
      </c>
    </row>
    <row r="83" spans="1:5" x14ac:dyDescent="0.35">
      <c r="A83" s="558">
        <v>28.1</v>
      </c>
      <c r="B83" s="559">
        <v>0.48599999999999999</v>
      </c>
      <c r="C83" s="935">
        <v>0.60899999999999999</v>
      </c>
      <c r="E83" s="560">
        <v>0.96099999999999997</v>
      </c>
    </row>
    <row r="84" spans="1:5" x14ac:dyDescent="0.35">
      <c r="A84" s="558">
        <v>28.2</v>
      </c>
      <c r="B84" s="559">
        <v>0.48599999999999999</v>
      </c>
      <c r="C84" s="935">
        <v>0.60899999999999999</v>
      </c>
      <c r="E84" s="560">
        <v>0.96099999999999997</v>
      </c>
    </row>
    <row r="85" spans="1:5" x14ac:dyDescent="0.35">
      <c r="A85" s="558">
        <v>28.3</v>
      </c>
      <c r="B85" s="559">
        <v>0.48599999999999999</v>
      </c>
      <c r="C85" s="935">
        <v>0.60899999999999999</v>
      </c>
      <c r="E85" s="560">
        <v>0.96099999999999997</v>
      </c>
    </row>
    <row r="86" spans="1:5" x14ac:dyDescent="0.35">
      <c r="A86" s="558">
        <v>28.4</v>
      </c>
      <c r="B86" s="559">
        <v>0.48599999999999999</v>
      </c>
      <c r="C86" s="935">
        <v>0.60899999999999999</v>
      </c>
      <c r="E86" s="560">
        <v>0.96099999999999997</v>
      </c>
    </row>
    <row r="87" spans="1:5" x14ac:dyDescent="0.35">
      <c r="A87" s="558">
        <v>28.5</v>
      </c>
      <c r="B87" s="559">
        <v>0.48599999999999999</v>
      </c>
      <c r="C87" s="935">
        <v>0.60899999999999999</v>
      </c>
      <c r="E87" s="560">
        <v>0.96099999999999997</v>
      </c>
    </row>
    <row r="88" spans="1:5" x14ac:dyDescent="0.35">
      <c r="A88" s="558">
        <v>28.6</v>
      </c>
      <c r="B88" s="559">
        <v>0.48599999999999999</v>
      </c>
      <c r="C88" s="935">
        <v>0.60899999999999999</v>
      </c>
      <c r="E88" s="560">
        <v>0.96099999999999997</v>
      </c>
    </row>
    <row r="89" spans="1:5" x14ac:dyDescent="0.35">
      <c r="A89" s="558">
        <v>28.7</v>
      </c>
      <c r="B89" s="559">
        <v>0.48599999999999999</v>
      </c>
      <c r="C89" s="935">
        <v>0.60899999999999999</v>
      </c>
      <c r="E89" s="560">
        <v>0.96099999999999997</v>
      </c>
    </row>
    <row r="90" spans="1:5" x14ac:dyDescent="0.35">
      <c r="A90" s="558">
        <v>28.8</v>
      </c>
      <c r="B90" s="559">
        <v>0.48599999999999999</v>
      </c>
      <c r="C90" s="935">
        <v>0.60899999999999999</v>
      </c>
      <c r="E90" s="560">
        <v>0.96099999999999997</v>
      </c>
    </row>
    <row r="91" spans="1:5" x14ac:dyDescent="0.35">
      <c r="A91" s="558">
        <v>28.9</v>
      </c>
      <c r="B91" s="559">
        <v>0.48599999999999999</v>
      </c>
      <c r="C91" s="935">
        <v>0.60899999999999999</v>
      </c>
      <c r="E91" s="560">
        <v>0.96099999999999997</v>
      </c>
    </row>
    <row r="92" spans="1:5" x14ac:dyDescent="0.35">
      <c r="A92" s="558">
        <v>29</v>
      </c>
      <c r="B92" s="935">
        <v>0.47099999999999997</v>
      </c>
      <c r="C92" s="935">
        <v>0.58799999999999997</v>
      </c>
      <c r="D92" s="936"/>
      <c r="E92" s="942">
        <v>0.95399999999999996</v>
      </c>
    </row>
    <row r="93" spans="1:5" x14ac:dyDescent="0.35">
      <c r="A93" s="558">
        <v>29.1</v>
      </c>
      <c r="B93" s="559">
        <v>0.47099999999999997</v>
      </c>
      <c r="C93" s="935">
        <v>0.58799999999999997</v>
      </c>
      <c r="E93" s="560">
        <v>0.95399999999999996</v>
      </c>
    </row>
    <row r="94" spans="1:5" x14ac:dyDescent="0.35">
      <c r="A94" s="558">
        <v>29.2</v>
      </c>
      <c r="B94" s="559">
        <v>0.47099999999999997</v>
      </c>
      <c r="C94" s="935">
        <v>0.58799999999999997</v>
      </c>
      <c r="E94" s="560">
        <v>0.95399999999999996</v>
      </c>
    </row>
    <row r="95" spans="1:5" x14ac:dyDescent="0.35">
      <c r="A95" s="558">
        <v>29.3</v>
      </c>
      <c r="B95" s="559">
        <v>0.47099999999999997</v>
      </c>
      <c r="C95" s="935">
        <v>0.58799999999999997</v>
      </c>
      <c r="E95" s="560">
        <v>0.95399999999999996</v>
      </c>
    </row>
    <row r="96" spans="1:5" x14ac:dyDescent="0.35">
      <c r="A96" s="558">
        <v>29.4</v>
      </c>
      <c r="B96" s="559">
        <v>0.47099999999999997</v>
      </c>
      <c r="C96" s="935">
        <v>0.58799999999999997</v>
      </c>
      <c r="E96" s="560">
        <v>0.95399999999999996</v>
      </c>
    </row>
    <row r="97" spans="1:5" x14ac:dyDescent="0.35">
      <c r="A97" s="558">
        <v>29.5</v>
      </c>
      <c r="B97" s="559">
        <v>0.47099999999999997</v>
      </c>
      <c r="C97" s="935">
        <v>0.58799999999999997</v>
      </c>
      <c r="E97" s="560">
        <v>0.95399999999999996</v>
      </c>
    </row>
    <row r="98" spans="1:5" x14ac:dyDescent="0.35">
      <c r="A98" s="558">
        <v>29.6</v>
      </c>
      <c r="B98" s="559">
        <v>0.47099999999999997</v>
      </c>
      <c r="C98" s="935">
        <v>0.58799999999999997</v>
      </c>
      <c r="E98" s="560">
        <v>0.95399999999999996</v>
      </c>
    </row>
    <row r="99" spans="1:5" x14ac:dyDescent="0.35">
      <c r="A99" s="558">
        <v>29.7</v>
      </c>
      <c r="B99" s="559">
        <v>0.47099999999999997</v>
      </c>
      <c r="C99" s="935">
        <v>0.58799999999999997</v>
      </c>
      <c r="E99" s="560">
        <v>0.95399999999999996</v>
      </c>
    </row>
    <row r="100" spans="1:5" x14ac:dyDescent="0.35">
      <c r="A100" s="558">
        <v>29.8</v>
      </c>
      <c r="B100" s="559">
        <v>0.47099999999999997</v>
      </c>
      <c r="C100" s="935">
        <v>0.58799999999999997</v>
      </c>
      <c r="E100" s="560">
        <v>0.95399999999999996</v>
      </c>
    </row>
    <row r="101" spans="1:5" x14ac:dyDescent="0.35">
      <c r="A101" s="558">
        <v>29.9</v>
      </c>
      <c r="B101" s="559">
        <v>0.47099999999999997</v>
      </c>
      <c r="C101" s="935">
        <v>0.58799999999999997</v>
      </c>
      <c r="E101" s="560">
        <v>0.95399999999999996</v>
      </c>
    </row>
    <row r="102" spans="1:5" x14ac:dyDescent="0.35">
      <c r="A102" s="558">
        <v>30</v>
      </c>
      <c r="B102" s="935">
        <v>0.45500000000000002</v>
      </c>
      <c r="C102" s="935">
        <v>0.57899999999999996</v>
      </c>
      <c r="D102" s="936"/>
      <c r="E102" s="942">
        <v>0.95299999999999996</v>
      </c>
    </row>
    <row r="103" spans="1:5" x14ac:dyDescent="0.35">
      <c r="A103" s="558">
        <v>30.1</v>
      </c>
      <c r="B103" s="559">
        <v>0.45500000000000002</v>
      </c>
      <c r="C103" s="935">
        <v>0.57899999999999996</v>
      </c>
      <c r="E103" s="560">
        <v>0.95299999999999996</v>
      </c>
    </row>
    <row r="104" spans="1:5" x14ac:dyDescent="0.35">
      <c r="A104" s="558">
        <v>30.2</v>
      </c>
      <c r="B104" s="559">
        <v>0.45500000000000002</v>
      </c>
      <c r="C104" s="935">
        <v>0.57899999999999996</v>
      </c>
      <c r="E104" s="560">
        <v>0.95299999999999996</v>
      </c>
    </row>
    <row r="105" spans="1:5" x14ac:dyDescent="0.35">
      <c r="A105" s="558">
        <v>30.3</v>
      </c>
      <c r="B105" s="559">
        <v>0.45500000000000002</v>
      </c>
      <c r="C105" s="935">
        <v>0.57899999999999996</v>
      </c>
      <c r="E105" s="560">
        <v>0.95299999999999996</v>
      </c>
    </row>
    <row r="106" spans="1:5" x14ac:dyDescent="0.35">
      <c r="A106" s="558">
        <v>30.4</v>
      </c>
      <c r="B106" s="559">
        <v>0.45500000000000002</v>
      </c>
      <c r="C106" s="935">
        <v>0.57899999999999996</v>
      </c>
      <c r="E106" s="560">
        <v>0.95299999999999996</v>
      </c>
    </row>
    <row r="107" spans="1:5" x14ac:dyDescent="0.35">
      <c r="A107" s="558">
        <v>30.5</v>
      </c>
      <c r="B107" s="559">
        <v>0.45500000000000002</v>
      </c>
      <c r="C107" s="935">
        <v>0.57899999999999996</v>
      </c>
      <c r="E107" s="560">
        <v>0.95299999999999996</v>
      </c>
    </row>
    <row r="108" spans="1:5" x14ac:dyDescent="0.35">
      <c r="A108" s="558">
        <v>30.6</v>
      </c>
      <c r="B108" s="559">
        <v>0.45500000000000002</v>
      </c>
      <c r="C108" s="935">
        <v>0.57899999999999996</v>
      </c>
      <c r="E108" s="560">
        <v>0.95299999999999996</v>
      </c>
    </row>
    <row r="109" spans="1:5" x14ac:dyDescent="0.35">
      <c r="A109" s="558">
        <v>30.7</v>
      </c>
      <c r="B109" s="559">
        <v>0.45500000000000002</v>
      </c>
      <c r="C109" s="935">
        <v>0.57899999999999996</v>
      </c>
      <c r="E109" s="560">
        <v>0.95299999999999996</v>
      </c>
    </row>
    <row r="110" spans="1:5" x14ac:dyDescent="0.35">
      <c r="A110" s="558">
        <v>30.8</v>
      </c>
      <c r="B110" s="559">
        <v>0.45500000000000002</v>
      </c>
      <c r="C110" s="935">
        <v>0.57899999999999996</v>
      </c>
      <c r="E110" s="560">
        <v>0.95299999999999996</v>
      </c>
    </row>
    <row r="111" spans="1:5" x14ac:dyDescent="0.35">
      <c r="A111" s="558">
        <v>30.9</v>
      </c>
      <c r="B111" s="559">
        <v>0.45500000000000002</v>
      </c>
      <c r="C111" s="935">
        <v>0.57899999999999996</v>
      </c>
      <c r="E111" s="560">
        <v>0.95299999999999996</v>
      </c>
    </row>
    <row r="112" spans="1:5" x14ac:dyDescent="0.35">
      <c r="A112" s="558">
        <v>31</v>
      </c>
      <c r="B112" s="935">
        <v>0.435</v>
      </c>
      <c r="C112" s="935">
        <v>0.55700000000000005</v>
      </c>
      <c r="D112" s="936"/>
      <c r="E112" s="942">
        <v>0.94499999999999995</v>
      </c>
    </row>
    <row r="113" spans="1:5" x14ac:dyDescent="0.35">
      <c r="A113" s="558">
        <v>31.1</v>
      </c>
      <c r="B113" s="559">
        <v>0.435</v>
      </c>
      <c r="C113" s="935">
        <v>0.55700000000000005</v>
      </c>
      <c r="E113" s="560">
        <v>0.94499999999999995</v>
      </c>
    </row>
    <row r="114" spans="1:5" x14ac:dyDescent="0.35">
      <c r="A114" s="558">
        <v>31.2</v>
      </c>
      <c r="B114" s="559">
        <v>0.435</v>
      </c>
      <c r="C114" s="935">
        <v>0.55700000000000005</v>
      </c>
      <c r="E114" s="560">
        <v>0.94499999999999995</v>
      </c>
    </row>
    <row r="115" spans="1:5" x14ac:dyDescent="0.35">
      <c r="A115" s="558">
        <v>31.3</v>
      </c>
      <c r="B115" s="559">
        <v>0.435</v>
      </c>
      <c r="C115" s="935">
        <v>0.55700000000000005</v>
      </c>
      <c r="E115" s="560">
        <v>0.94499999999999995</v>
      </c>
    </row>
    <row r="116" spans="1:5" x14ac:dyDescent="0.35">
      <c r="A116" s="558">
        <v>31.4</v>
      </c>
      <c r="B116" s="559">
        <v>0.435</v>
      </c>
      <c r="C116" s="935">
        <v>0.55700000000000005</v>
      </c>
      <c r="E116" s="560">
        <v>0.94499999999999995</v>
      </c>
    </row>
    <row r="117" spans="1:5" x14ac:dyDescent="0.35">
      <c r="A117" s="558">
        <v>31.5</v>
      </c>
      <c r="B117" s="559">
        <v>0.435</v>
      </c>
      <c r="C117" s="935">
        <v>0.55700000000000005</v>
      </c>
      <c r="E117" s="560">
        <v>0.94499999999999995</v>
      </c>
    </row>
    <row r="118" spans="1:5" x14ac:dyDescent="0.35">
      <c r="A118" s="558">
        <v>31.6</v>
      </c>
      <c r="B118" s="559">
        <v>0.435</v>
      </c>
      <c r="C118" s="935">
        <v>0.55700000000000005</v>
      </c>
      <c r="E118" s="560">
        <v>0.94499999999999995</v>
      </c>
    </row>
    <row r="119" spans="1:5" x14ac:dyDescent="0.35">
      <c r="A119" s="558">
        <v>31.7</v>
      </c>
      <c r="B119" s="559">
        <v>0.435</v>
      </c>
      <c r="C119" s="935">
        <v>0.55700000000000005</v>
      </c>
      <c r="E119" s="560">
        <v>0.94499999999999995</v>
      </c>
    </row>
    <row r="120" spans="1:5" x14ac:dyDescent="0.35">
      <c r="A120" s="558">
        <v>31.8</v>
      </c>
      <c r="B120" s="559">
        <v>0.435</v>
      </c>
      <c r="C120" s="935">
        <v>0.55700000000000005</v>
      </c>
      <c r="E120" s="560">
        <v>0.94499999999999995</v>
      </c>
    </row>
    <row r="121" spans="1:5" x14ac:dyDescent="0.35">
      <c r="A121" s="558">
        <v>31.9</v>
      </c>
      <c r="B121" s="559">
        <v>0.435</v>
      </c>
      <c r="C121" s="935">
        <v>0.55700000000000005</v>
      </c>
      <c r="E121" s="560">
        <v>0.94499999999999995</v>
      </c>
    </row>
    <row r="122" spans="1:5" x14ac:dyDescent="0.35">
      <c r="A122" s="558">
        <v>32</v>
      </c>
      <c r="B122" s="935">
        <v>0.41199999999999998</v>
      </c>
      <c r="C122" s="935">
        <v>0.54600000000000004</v>
      </c>
      <c r="D122" s="936"/>
      <c r="E122" s="942">
        <v>0.94199999999999995</v>
      </c>
    </row>
    <row r="123" spans="1:5" x14ac:dyDescent="0.35">
      <c r="A123" s="558">
        <v>32.1</v>
      </c>
      <c r="B123" s="559">
        <v>0.41199999999999998</v>
      </c>
      <c r="C123" s="935">
        <v>0.54600000000000004</v>
      </c>
      <c r="E123" s="560">
        <v>0.94199999999999995</v>
      </c>
    </row>
    <row r="124" spans="1:5" x14ac:dyDescent="0.35">
      <c r="A124" s="558">
        <v>32.200000000000003</v>
      </c>
      <c r="B124" s="559">
        <v>0.41199999999999998</v>
      </c>
      <c r="C124" s="935">
        <v>0.54600000000000004</v>
      </c>
      <c r="E124" s="560">
        <v>0.94199999999999995</v>
      </c>
    </row>
    <row r="125" spans="1:5" x14ac:dyDescent="0.35">
      <c r="A125" s="558">
        <v>32.299999999999997</v>
      </c>
      <c r="B125" s="559">
        <v>0.41199999999999998</v>
      </c>
      <c r="C125" s="935">
        <v>0.54600000000000004</v>
      </c>
      <c r="E125" s="560">
        <v>0.94199999999999995</v>
      </c>
    </row>
    <row r="126" spans="1:5" x14ac:dyDescent="0.35">
      <c r="A126" s="558">
        <v>32.4</v>
      </c>
      <c r="B126" s="559">
        <v>0.41199999999999998</v>
      </c>
      <c r="C126" s="935">
        <v>0.54600000000000004</v>
      </c>
      <c r="E126" s="560">
        <v>0.94199999999999995</v>
      </c>
    </row>
    <row r="127" spans="1:5" x14ac:dyDescent="0.35">
      <c r="A127" s="558">
        <v>32.5</v>
      </c>
      <c r="B127" s="559">
        <v>0.41199999999999998</v>
      </c>
      <c r="C127" s="935">
        <v>0.54600000000000004</v>
      </c>
      <c r="E127" s="560">
        <v>0.94199999999999995</v>
      </c>
    </row>
    <row r="128" spans="1:5" x14ac:dyDescent="0.35">
      <c r="A128" s="558">
        <v>32.6</v>
      </c>
      <c r="B128" s="559">
        <v>0.41199999999999998</v>
      </c>
      <c r="C128" s="935">
        <v>0.54600000000000004</v>
      </c>
      <c r="E128" s="560">
        <v>0.94199999999999995</v>
      </c>
    </row>
    <row r="129" spans="1:5" x14ac:dyDescent="0.35">
      <c r="A129" s="558">
        <v>32.700000000000003</v>
      </c>
      <c r="B129" s="559">
        <v>0.41199999999999998</v>
      </c>
      <c r="C129" s="935">
        <v>0.54600000000000004</v>
      </c>
      <c r="E129" s="560">
        <v>0.94199999999999995</v>
      </c>
    </row>
    <row r="130" spans="1:5" x14ac:dyDescent="0.35">
      <c r="A130" s="558">
        <v>32.799999999999997</v>
      </c>
      <c r="B130" s="559">
        <v>0.41199999999999998</v>
      </c>
      <c r="C130" s="935">
        <v>0.54600000000000004</v>
      </c>
      <c r="E130" s="560">
        <v>0.94199999999999995</v>
      </c>
    </row>
    <row r="131" spans="1:5" x14ac:dyDescent="0.35">
      <c r="A131" s="558">
        <v>32.9</v>
      </c>
      <c r="B131" s="559">
        <v>0.41199999999999998</v>
      </c>
      <c r="C131" s="935">
        <v>0.54600000000000004</v>
      </c>
      <c r="E131" s="560">
        <v>0.94199999999999995</v>
      </c>
    </row>
    <row r="132" spans="1:5" x14ac:dyDescent="0.35">
      <c r="A132" s="558">
        <v>33</v>
      </c>
      <c r="B132" s="935">
        <v>0.38700000000000001</v>
      </c>
      <c r="C132" s="935">
        <v>0.51500000000000001</v>
      </c>
      <c r="D132" s="936"/>
      <c r="E132" s="942">
        <v>0.94199999999999995</v>
      </c>
    </row>
    <row r="133" spans="1:5" x14ac:dyDescent="0.35">
      <c r="A133" s="558">
        <v>33.1</v>
      </c>
      <c r="B133" s="559">
        <v>0.38700000000000001</v>
      </c>
      <c r="C133" s="935">
        <v>0.51500000000000001</v>
      </c>
      <c r="E133" s="560">
        <v>0.94199999999999995</v>
      </c>
    </row>
    <row r="134" spans="1:5" x14ac:dyDescent="0.35">
      <c r="A134" s="558">
        <v>33.200000000000003</v>
      </c>
      <c r="B134" s="559">
        <v>0.38700000000000001</v>
      </c>
      <c r="C134" s="935">
        <v>0.51500000000000001</v>
      </c>
      <c r="E134" s="560">
        <v>0.94199999999999995</v>
      </c>
    </row>
    <row r="135" spans="1:5" x14ac:dyDescent="0.35">
      <c r="A135" s="558">
        <v>33.299999999999997</v>
      </c>
      <c r="B135" s="559">
        <v>0.38700000000000001</v>
      </c>
      <c r="C135" s="935">
        <v>0.51500000000000001</v>
      </c>
      <c r="E135" s="560">
        <v>0.94199999999999995</v>
      </c>
    </row>
    <row r="136" spans="1:5" x14ac:dyDescent="0.35">
      <c r="A136" s="558">
        <v>33.4</v>
      </c>
      <c r="B136" s="559">
        <v>0.38700000000000001</v>
      </c>
      <c r="C136" s="935">
        <v>0.51500000000000001</v>
      </c>
      <c r="E136" s="560">
        <v>0.94199999999999995</v>
      </c>
    </row>
    <row r="137" spans="1:5" x14ac:dyDescent="0.35">
      <c r="A137" s="558">
        <v>33.5</v>
      </c>
      <c r="B137" s="559">
        <v>0.38700000000000001</v>
      </c>
      <c r="C137" s="935">
        <v>0.51500000000000001</v>
      </c>
      <c r="E137" s="560">
        <v>0.94199999999999995</v>
      </c>
    </row>
    <row r="138" spans="1:5" x14ac:dyDescent="0.35">
      <c r="A138" s="558">
        <v>33.6</v>
      </c>
      <c r="B138" s="559">
        <v>0.38700000000000001</v>
      </c>
      <c r="C138" s="935">
        <v>0.51500000000000001</v>
      </c>
      <c r="E138" s="560">
        <v>0.94199999999999995</v>
      </c>
    </row>
    <row r="139" spans="1:5" x14ac:dyDescent="0.35">
      <c r="A139" s="558">
        <v>33.700000000000003</v>
      </c>
      <c r="B139" s="559">
        <v>0.38700000000000001</v>
      </c>
      <c r="C139" s="935">
        <v>0.51500000000000001</v>
      </c>
      <c r="E139" s="560">
        <v>0.94199999999999995</v>
      </c>
    </row>
    <row r="140" spans="1:5" x14ac:dyDescent="0.35">
      <c r="A140" s="558">
        <v>33.799999999999997</v>
      </c>
      <c r="B140" s="559">
        <v>0.38700000000000001</v>
      </c>
      <c r="C140" s="935">
        <v>0.51500000000000001</v>
      </c>
      <c r="E140" s="560">
        <v>0.94199999999999995</v>
      </c>
    </row>
    <row r="141" spans="1:5" x14ac:dyDescent="0.35">
      <c r="A141" s="558">
        <v>33.9</v>
      </c>
      <c r="B141" s="559">
        <v>0.38700000000000001</v>
      </c>
      <c r="C141" s="935">
        <v>0.51500000000000001</v>
      </c>
      <c r="E141" s="560">
        <v>0.94199999999999995</v>
      </c>
    </row>
    <row r="142" spans="1:5" x14ac:dyDescent="0.35">
      <c r="A142" s="558">
        <v>34</v>
      </c>
      <c r="B142" s="935">
        <v>0.36299999999999999</v>
      </c>
      <c r="C142" s="935">
        <v>0.505</v>
      </c>
      <c r="D142" s="936"/>
      <c r="E142" s="942">
        <v>0.92900000000000005</v>
      </c>
    </row>
    <row r="143" spans="1:5" x14ac:dyDescent="0.35">
      <c r="A143" s="558">
        <v>34.1</v>
      </c>
      <c r="B143" s="559">
        <v>0.36299999999999999</v>
      </c>
      <c r="C143" s="935">
        <v>0.505</v>
      </c>
      <c r="E143" s="560">
        <v>0.92900000000000005</v>
      </c>
    </row>
    <row r="144" spans="1:5" x14ac:dyDescent="0.35">
      <c r="A144" s="558">
        <v>34.200000000000003</v>
      </c>
      <c r="B144" s="559">
        <v>0.36299999999999999</v>
      </c>
      <c r="C144" s="935">
        <v>0.505</v>
      </c>
      <c r="E144" s="560">
        <v>0.92900000000000005</v>
      </c>
    </row>
    <row r="145" spans="1:5" x14ac:dyDescent="0.35">
      <c r="A145" s="558">
        <v>34.299999999999997</v>
      </c>
      <c r="B145" s="559">
        <v>0.36299999999999999</v>
      </c>
      <c r="C145" s="935">
        <v>0.505</v>
      </c>
      <c r="E145" s="560">
        <v>0.92900000000000005</v>
      </c>
    </row>
    <row r="146" spans="1:5" x14ac:dyDescent="0.35">
      <c r="A146" s="558">
        <v>34.4</v>
      </c>
      <c r="B146" s="559">
        <v>0.36299999999999999</v>
      </c>
      <c r="C146" s="935">
        <v>0.505</v>
      </c>
      <c r="E146" s="560">
        <v>0.92900000000000005</v>
      </c>
    </row>
    <row r="147" spans="1:5" x14ac:dyDescent="0.35">
      <c r="A147" s="558">
        <v>34.5</v>
      </c>
      <c r="B147" s="559">
        <v>0.36299999999999999</v>
      </c>
      <c r="C147" s="935">
        <v>0.505</v>
      </c>
      <c r="E147" s="560">
        <v>0.92900000000000005</v>
      </c>
    </row>
    <row r="148" spans="1:5" x14ac:dyDescent="0.35">
      <c r="A148" s="558">
        <v>34.6</v>
      </c>
      <c r="B148" s="559">
        <v>0.36299999999999999</v>
      </c>
      <c r="C148" s="935">
        <v>0.505</v>
      </c>
      <c r="E148" s="560">
        <v>0.92900000000000005</v>
      </c>
    </row>
    <row r="149" spans="1:5" x14ac:dyDescent="0.35">
      <c r="A149" s="558">
        <v>34.700000000000003</v>
      </c>
      <c r="B149" s="559">
        <v>0.36299999999999999</v>
      </c>
      <c r="C149" s="935">
        <v>0.505</v>
      </c>
      <c r="E149" s="560">
        <v>0.92900000000000005</v>
      </c>
    </row>
    <row r="150" spans="1:5" x14ac:dyDescent="0.35">
      <c r="A150" s="558">
        <v>34.799999999999997</v>
      </c>
      <c r="B150" s="559">
        <v>0.36299999999999999</v>
      </c>
      <c r="C150" s="935">
        <v>0.505</v>
      </c>
      <c r="E150" s="560">
        <v>0.92900000000000005</v>
      </c>
    </row>
    <row r="151" spans="1:5" x14ac:dyDescent="0.35">
      <c r="A151" s="558">
        <v>34.9</v>
      </c>
      <c r="B151" s="559">
        <v>0.36299999999999999</v>
      </c>
      <c r="C151" s="935">
        <v>0.505</v>
      </c>
      <c r="E151" s="560">
        <v>0.92900000000000005</v>
      </c>
    </row>
    <row r="152" spans="1:5" x14ac:dyDescent="0.35">
      <c r="A152" s="558">
        <v>35</v>
      </c>
      <c r="B152" s="935">
        <v>0.34300000000000003</v>
      </c>
      <c r="C152" s="935">
        <v>0.49</v>
      </c>
      <c r="D152" s="936"/>
      <c r="E152" s="942">
        <v>0.92400000000000004</v>
      </c>
    </row>
    <row r="153" spans="1:5" x14ac:dyDescent="0.35">
      <c r="A153" s="558">
        <v>35.1</v>
      </c>
      <c r="B153" s="559">
        <v>0.34300000000000003</v>
      </c>
      <c r="C153" s="935">
        <v>0.49</v>
      </c>
      <c r="E153" s="560">
        <v>0.92400000000000004</v>
      </c>
    </row>
    <row r="154" spans="1:5" x14ac:dyDescent="0.35">
      <c r="A154" s="558">
        <v>35.200000000000003</v>
      </c>
      <c r="B154" s="559">
        <v>0.34300000000000003</v>
      </c>
      <c r="C154" s="935">
        <v>0.49</v>
      </c>
      <c r="E154" s="560">
        <v>0.92400000000000004</v>
      </c>
    </row>
    <row r="155" spans="1:5" x14ac:dyDescent="0.35">
      <c r="A155" s="558">
        <v>35.299999999999997</v>
      </c>
      <c r="B155" s="559">
        <v>0.34300000000000003</v>
      </c>
      <c r="C155" s="935">
        <v>0.49</v>
      </c>
      <c r="E155" s="560">
        <v>0.92400000000000004</v>
      </c>
    </row>
    <row r="156" spans="1:5" x14ac:dyDescent="0.35">
      <c r="A156" s="558">
        <v>35.4</v>
      </c>
      <c r="B156" s="559">
        <v>0.34300000000000003</v>
      </c>
      <c r="C156" s="935">
        <v>0.49</v>
      </c>
      <c r="E156" s="560">
        <v>0.92400000000000004</v>
      </c>
    </row>
    <row r="157" spans="1:5" x14ac:dyDescent="0.35">
      <c r="A157" s="558">
        <v>35.5</v>
      </c>
      <c r="B157" s="559">
        <v>0.34300000000000003</v>
      </c>
      <c r="C157" s="935">
        <v>0.49</v>
      </c>
      <c r="E157" s="560">
        <v>0.92400000000000004</v>
      </c>
    </row>
    <row r="158" spans="1:5" x14ac:dyDescent="0.35">
      <c r="A158" s="558">
        <v>35.6</v>
      </c>
      <c r="B158" s="559">
        <v>0.34300000000000003</v>
      </c>
      <c r="C158" s="935">
        <v>0.49</v>
      </c>
      <c r="E158" s="560">
        <v>0.92400000000000004</v>
      </c>
    </row>
    <row r="159" spans="1:5" x14ac:dyDescent="0.35">
      <c r="A159" s="558">
        <v>35.700000000000003</v>
      </c>
      <c r="B159" s="559">
        <v>0.34300000000000003</v>
      </c>
      <c r="C159" s="935">
        <v>0.49</v>
      </c>
      <c r="E159" s="560">
        <v>0.92400000000000004</v>
      </c>
    </row>
    <row r="160" spans="1:5" x14ac:dyDescent="0.35">
      <c r="A160" s="558">
        <v>35.799999999999997</v>
      </c>
      <c r="B160" s="559">
        <v>0.34300000000000003</v>
      </c>
      <c r="C160" s="935">
        <v>0.49</v>
      </c>
      <c r="E160" s="560">
        <v>0.92400000000000004</v>
      </c>
    </row>
    <row r="161" spans="1:5" x14ac:dyDescent="0.35">
      <c r="A161" s="558">
        <v>35.9</v>
      </c>
      <c r="B161" s="559">
        <v>0.34300000000000003</v>
      </c>
      <c r="C161" s="935">
        <v>0.49</v>
      </c>
      <c r="E161" s="560">
        <v>0.92400000000000004</v>
      </c>
    </row>
    <row r="162" spans="1:5" x14ac:dyDescent="0.35">
      <c r="A162" s="558">
        <v>36</v>
      </c>
      <c r="B162" s="935">
        <v>0.32800000000000001</v>
      </c>
      <c r="C162" s="935">
        <v>0.47799999999999998</v>
      </c>
      <c r="D162" s="936"/>
      <c r="E162" s="942">
        <v>0.91900000000000004</v>
      </c>
    </row>
    <row r="163" spans="1:5" x14ac:dyDescent="0.35">
      <c r="A163" s="558">
        <v>36.1</v>
      </c>
      <c r="B163" s="559">
        <v>0.32800000000000001</v>
      </c>
      <c r="C163" s="935">
        <v>0.47799999999999998</v>
      </c>
      <c r="E163" s="560">
        <v>0.91900000000000004</v>
      </c>
    </row>
    <row r="164" spans="1:5" x14ac:dyDescent="0.35">
      <c r="A164" s="558">
        <v>36.200000000000003</v>
      </c>
      <c r="B164" s="559">
        <v>0.32800000000000001</v>
      </c>
      <c r="C164" s="935">
        <v>0.47799999999999998</v>
      </c>
      <c r="E164" s="560">
        <v>0.91900000000000004</v>
      </c>
    </row>
    <row r="165" spans="1:5" x14ac:dyDescent="0.35">
      <c r="A165" s="558">
        <v>36.299999999999997</v>
      </c>
      <c r="B165" s="559">
        <v>0.32800000000000001</v>
      </c>
      <c r="C165" s="935">
        <v>0.47799999999999998</v>
      </c>
      <c r="E165" s="560">
        <v>0.91900000000000004</v>
      </c>
    </row>
    <row r="166" spans="1:5" x14ac:dyDescent="0.35">
      <c r="A166" s="558">
        <v>36.4</v>
      </c>
      <c r="B166" s="559">
        <v>0.32800000000000001</v>
      </c>
      <c r="C166" s="935">
        <v>0.47799999999999998</v>
      </c>
      <c r="E166" s="560">
        <v>0.91900000000000004</v>
      </c>
    </row>
    <row r="167" spans="1:5" x14ac:dyDescent="0.35">
      <c r="A167" s="558">
        <v>36.5</v>
      </c>
      <c r="B167" s="559">
        <v>0.32800000000000001</v>
      </c>
      <c r="C167" s="935">
        <v>0.47799999999999998</v>
      </c>
      <c r="E167" s="560">
        <v>0.91900000000000004</v>
      </c>
    </row>
    <row r="168" spans="1:5" x14ac:dyDescent="0.35">
      <c r="A168" s="558">
        <v>36.6</v>
      </c>
      <c r="B168" s="559">
        <v>0.32800000000000001</v>
      </c>
      <c r="C168" s="935">
        <v>0.47799999999999998</v>
      </c>
      <c r="E168" s="560">
        <v>0.91900000000000004</v>
      </c>
    </row>
    <row r="169" spans="1:5" x14ac:dyDescent="0.35">
      <c r="A169" s="558">
        <v>36.700000000000003</v>
      </c>
      <c r="B169" s="559">
        <v>0.32800000000000001</v>
      </c>
      <c r="C169" s="935">
        <v>0.47799999999999998</v>
      </c>
      <c r="E169" s="560">
        <v>0.91900000000000004</v>
      </c>
    </row>
    <row r="170" spans="1:5" x14ac:dyDescent="0.35">
      <c r="A170" s="558">
        <v>36.799999999999997</v>
      </c>
      <c r="B170" s="559">
        <v>0.32800000000000001</v>
      </c>
      <c r="C170" s="935">
        <v>0.47799999999999998</v>
      </c>
      <c r="E170" s="560">
        <v>0.91900000000000004</v>
      </c>
    </row>
    <row r="171" spans="1:5" x14ac:dyDescent="0.35">
      <c r="A171" s="558">
        <v>36.9</v>
      </c>
      <c r="B171" s="559">
        <v>0.32800000000000001</v>
      </c>
      <c r="C171" s="935">
        <v>0.47799999999999998</v>
      </c>
      <c r="E171" s="560">
        <v>0.91900000000000004</v>
      </c>
    </row>
    <row r="172" spans="1:5" x14ac:dyDescent="0.35">
      <c r="A172" s="558">
        <v>37</v>
      </c>
      <c r="B172" s="935">
        <v>0.32</v>
      </c>
      <c r="C172" s="935">
        <v>0.45600000000000002</v>
      </c>
      <c r="D172" s="936"/>
      <c r="E172" s="942">
        <v>0.90900000000000003</v>
      </c>
    </row>
    <row r="173" spans="1:5" x14ac:dyDescent="0.35">
      <c r="A173" s="558">
        <v>37.1</v>
      </c>
      <c r="B173" s="559">
        <v>0.32</v>
      </c>
      <c r="C173" s="935">
        <v>0.45600000000000002</v>
      </c>
      <c r="E173" s="560">
        <v>0.90900000000000003</v>
      </c>
    </row>
    <row r="174" spans="1:5" x14ac:dyDescent="0.35">
      <c r="A174" s="558">
        <v>37.200000000000003</v>
      </c>
      <c r="B174" s="559">
        <v>0.32</v>
      </c>
      <c r="C174" s="935">
        <v>0.45600000000000002</v>
      </c>
      <c r="E174" s="560">
        <v>0.90900000000000003</v>
      </c>
    </row>
    <row r="175" spans="1:5" x14ac:dyDescent="0.35">
      <c r="A175" s="558">
        <v>37.299999999999997</v>
      </c>
      <c r="B175" s="559">
        <v>0.32</v>
      </c>
      <c r="C175" s="935">
        <v>0.45600000000000002</v>
      </c>
      <c r="E175" s="560">
        <v>0.90900000000000003</v>
      </c>
    </row>
    <row r="176" spans="1:5" x14ac:dyDescent="0.35">
      <c r="A176" s="558">
        <v>37.4</v>
      </c>
      <c r="B176" s="559">
        <v>0.32</v>
      </c>
      <c r="C176" s="935">
        <v>0.45600000000000002</v>
      </c>
      <c r="E176" s="560">
        <v>0.90900000000000003</v>
      </c>
    </row>
    <row r="177" spans="1:5" x14ac:dyDescent="0.35">
      <c r="A177" s="558">
        <v>37.5</v>
      </c>
      <c r="B177" s="559">
        <v>0.32</v>
      </c>
      <c r="C177" s="935">
        <v>0.45600000000000002</v>
      </c>
      <c r="E177" s="560">
        <v>0.90900000000000003</v>
      </c>
    </row>
    <row r="178" spans="1:5" x14ac:dyDescent="0.35">
      <c r="A178" s="558">
        <v>37.6</v>
      </c>
      <c r="B178" s="559">
        <v>0.32</v>
      </c>
      <c r="C178" s="935">
        <v>0.45600000000000002</v>
      </c>
      <c r="E178" s="560">
        <v>0.90900000000000003</v>
      </c>
    </row>
    <row r="179" spans="1:5" x14ac:dyDescent="0.35">
      <c r="A179" s="558">
        <v>37.700000000000003</v>
      </c>
      <c r="B179" s="559">
        <v>0.32</v>
      </c>
      <c r="C179" s="935">
        <v>0.45600000000000002</v>
      </c>
      <c r="E179" s="560">
        <v>0.90900000000000003</v>
      </c>
    </row>
    <row r="180" spans="1:5" x14ac:dyDescent="0.35">
      <c r="A180" s="558">
        <v>37.799999999999997</v>
      </c>
      <c r="B180" s="559">
        <v>0.32</v>
      </c>
      <c r="C180" s="935">
        <v>0.45600000000000002</v>
      </c>
      <c r="E180" s="560">
        <v>0.90900000000000003</v>
      </c>
    </row>
    <row r="181" spans="1:5" x14ac:dyDescent="0.35">
      <c r="A181" s="558">
        <v>37.9</v>
      </c>
      <c r="B181" s="559">
        <v>0.32</v>
      </c>
      <c r="C181" s="935">
        <v>0.45600000000000002</v>
      </c>
      <c r="E181" s="560">
        <v>0.90900000000000003</v>
      </c>
    </row>
    <row r="182" spans="1:5" x14ac:dyDescent="0.35">
      <c r="A182" s="558">
        <v>38</v>
      </c>
      <c r="B182" s="935">
        <v>0.317</v>
      </c>
      <c r="C182" s="935">
        <v>0.44800000000000001</v>
      </c>
      <c r="D182" s="936"/>
      <c r="E182" s="942">
        <v>0.90900000000000003</v>
      </c>
    </row>
    <row r="183" spans="1:5" x14ac:dyDescent="0.35">
      <c r="A183" s="558">
        <v>38.1</v>
      </c>
      <c r="B183" s="559">
        <v>0.317</v>
      </c>
      <c r="C183" s="935">
        <v>0.44800000000000001</v>
      </c>
      <c r="E183" s="560">
        <v>0.90900000000000003</v>
      </c>
    </row>
    <row r="184" spans="1:5" x14ac:dyDescent="0.35">
      <c r="A184" s="558">
        <v>38.200000000000003</v>
      </c>
      <c r="B184" s="559">
        <v>0.317</v>
      </c>
      <c r="C184" s="935">
        <v>0.44800000000000001</v>
      </c>
      <c r="E184" s="560">
        <v>0.90900000000000003</v>
      </c>
    </row>
    <row r="185" spans="1:5" x14ac:dyDescent="0.35">
      <c r="A185" s="558">
        <v>38.299999999999997</v>
      </c>
      <c r="B185" s="559">
        <v>0.317</v>
      </c>
      <c r="C185" s="935">
        <v>0.44800000000000001</v>
      </c>
      <c r="E185" s="560">
        <v>0.90900000000000003</v>
      </c>
    </row>
    <row r="186" spans="1:5" x14ac:dyDescent="0.35">
      <c r="A186" s="558">
        <v>38.4</v>
      </c>
      <c r="B186" s="559">
        <v>0.317</v>
      </c>
      <c r="C186" s="935">
        <v>0.44800000000000001</v>
      </c>
      <c r="E186" s="560">
        <v>0.90900000000000003</v>
      </c>
    </row>
    <row r="187" spans="1:5" x14ac:dyDescent="0.35">
      <c r="A187" s="558">
        <v>38.5</v>
      </c>
      <c r="B187" s="559">
        <v>0.317</v>
      </c>
      <c r="C187" s="935">
        <v>0.44800000000000001</v>
      </c>
      <c r="E187" s="560">
        <v>0.90900000000000003</v>
      </c>
    </row>
    <row r="188" spans="1:5" x14ac:dyDescent="0.35">
      <c r="A188" s="558">
        <v>38.6</v>
      </c>
      <c r="B188" s="559">
        <v>0.317</v>
      </c>
      <c r="C188" s="935">
        <v>0.44800000000000001</v>
      </c>
      <c r="E188" s="560">
        <v>0.90900000000000003</v>
      </c>
    </row>
    <row r="189" spans="1:5" x14ac:dyDescent="0.35">
      <c r="A189" s="558">
        <v>38.700000000000003</v>
      </c>
      <c r="B189" s="559">
        <v>0.317</v>
      </c>
      <c r="C189" s="935">
        <v>0.44800000000000001</v>
      </c>
      <c r="E189" s="560">
        <v>0.90900000000000003</v>
      </c>
    </row>
    <row r="190" spans="1:5" x14ac:dyDescent="0.35">
      <c r="A190" s="558">
        <v>38.799999999999997</v>
      </c>
      <c r="B190" s="559">
        <v>0.317</v>
      </c>
      <c r="C190" s="935">
        <v>0.44800000000000001</v>
      </c>
      <c r="E190" s="560">
        <v>0.90900000000000003</v>
      </c>
    </row>
    <row r="191" spans="1:5" x14ac:dyDescent="0.35">
      <c r="A191" s="558">
        <v>38.9</v>
      </c>
      <c r="B191" s="559">
        <v>0.317</v>
      </c>
      <c r="C191" s="935">
        <v>0.44800000000000001</v>
      </c>
      <c r="E191" s="560">
        <v>0.90900000000000003</v>
      </c>
    </row>
    <row r="192" spans="1:5" x14ac:dyDescent="0.35">
      <c r="A192" s="558">
        <v>39</v>
      </c>
      <c r="B192" s="935">
        <v>0.30299999999999999</v>
      </c>
      <c r="C192" s="935">
        <v>0.433</v>
      </c>
      <c r="D192" s="936"/>
      <c r="E192" s="942">
        <v>0.9</v>
      </c>
    </row>
    <row r="193" spans="1:5" x14ac:dyDescent="0.35">
      <c r="A193" s="558">
        <v>39.1</v>
      </c>
      <c r="B193" s="559">
        <v>0.30299999999999999</v>
      </c>
      <c r="C193" s="935">
        <v>0.433</v>
      </c>
      <c r="E193" s="560">
        <v>0.9</v>
      </c>
    </row>
    <row r="194" spans="1:5" x14ac:dyDescent="0.35">
      <c r="A194" s="558">
        <v>39.200000000000003</v>
      </c>
      <c r="B194" s="559">
        <v>0.30299999999999999</v>
      </c>
      <c r="C194" s="935">
        <v>0.433</v>
      </c>
      <c r="E194" s="560">
        <v>0.9</v>
      </c>
    </row>
    <row r="195" spans="1:5" x14ac:dyDescent="0.35">
      <c r="A195" s="558">
        <v>39.299999999999997</v>
      </c>
      <c r="B195" s="559">
        <v>0.30299999999999999</v>
      </c>
      <c r="C195" s="935">
        <v>0.433</v>
      </c>
      <c r="E195" s="560">
        <v>0.9</v>
      </c>
    </row>
    <row r="196" spans="1:5" x14ac:dyDescent="0.35">
      <c r="A196" s="558">
        <v>39.4</v>
      </c>
      <c r="B196" s="559">
        <v>0.30299999999999999</v>
      </c>
      <c r="C196" s="935">
        <v>0.433</v>
      </c>
      <c r="E196" s="560">
        <v>0.9</v>
      </c>
    </row>
    <row r="197" spans="1:5" x14ac:dyDescent="0.35">
      <c r="A197" s="558">
        <v>39.5</v>
      </c>
      <c r="B197" s="559">
        <v>0.30299999999999999</v>
      </c>
      <c r="C197" s="935">
        <v>0.433</v>
      </c>
      <c r="E197" s="560">
        <v>0.9</v>
      </c>
    </row>
    <row r="198" spans="1:5" x14ac:dyDescent="0.35">
      <c r="A198" s="558">
        <v>39.6</v>
      </c>
      <c r="B198" s="559">
        <v>0.30299999999999999</v>
      </c>
      <c r="C198" s="935">
        <v>0.433</v>
      </c>
      <c r="E198" s="560">
        <v>0.9</v>
      </c>
    </row>
    <row r="199" spans="1:5" x14ac:dyDescent="0.35">
      <c r="A199" s="558">
        <v>39.700000000000003</v>
      </c>
      <c r="B199" s="559">
        <v>0.30299999999999999</v>
      </c>
      <c r="C199" s="935">
        <v>0.433</v>
      </c>
      <c r="E199" s="560">
        <v>0.9</v>
      </c>
    </row>
    <row r="200" spans="1:5" x14ac:dyDescent="0.35">
      <c r="A200" s="558">
        <v>39.799999999999997</v>
      </c>
      <c r="B200" s="559">
        <v>0.30299999999999999</v>
      </c>
      <c r="C200" s="935">
        <v>0.433</v>
      </c>
      <c r="E200" s="560">
        <v>0.9</v>
      </c>
    </row>
    <row r="201" spans="1:5" x14ac:dyDescent="0.35">
      <c r="A201" s="558">
        <v>39.9</v>
      </c>
      <c r="B201" s="559">
        <v>0.30299999999999999</v>
      </c>
      <c r="C201" s="935">
        <v>0.433</v>
      </c>
      <c r="E201" s="560">
        <v>0.9</v>
      </c>
    </row>
    <row r="202" spans="1:5" x14ac:dyDescent="0.35">
      <c r="A202" s="558">
        <v>40</v>
      </c>
      <c r="B202" s="935">
        <v>0.30299999999999999</v>
      </c>
      <c r="C202" s="935">
        <v>0.433</v>
      </c>
      <c r="D202" s="936"/>
      <c r="E202" s="942">
        <v>0.9</v>
      </c>
    </row>
  </sheetData>
  <sheetProtection sheet="1" objects="1" scenarios="1"/>
  <pageMargins left="0.7" right="0.7" top="0.75" bottom="0.75" header="0.51180555555555496" footer="0.51180555555555496"/>
  <pageSetup paperSize="9" firstPageNumber="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CCFF"/>
    <pageSetUpPr fitToPage="1"/>
  </sheetPr>
  <dimension ref="A1:AD75"/>
  <sheetViews>
    <sheetView showGridLines="0" showRowColHeaders="0" zoomScale="50" zoomScaleNormal="50" workbookViewId="0"/>
  </sheetViews>
  <sheetFormatPr defaultColWidth="9.1796875" defaultRowHeight="18" x14ac:dyDescent="0.5"/>
  <cols>
    <col min="1" max="1" width="6.1796875" style="35" bestFit="1" customWidth="1"/>
    <col min="2" max="2" width="30.81640625" style="36" customWidth="1"/>
    <col min="3" max="3" width="4" style="35" customWidth="1"/>
    <col min="4" max="20" width="8.81640625" style="35" customWidth="1"/>
    <col min="21" max="16384" width="9.1796875" style="35"/>
  </cols>
  <sheetData>
    <row r="1" spans="1:30" ht="18.5" thickBot="1" x14ac:dyDescent="0.55000000000000004"/>
    <row r="2" spans="1:30" s="34" customFormat="1" ht="32.5" thickBot="1" x14ac:dyDescent="0.85">
      <c r="A2" s="1010" t="s">
        <v>118</v>
      </c>
      <c r="B2" s="1011"/>
      <c r="D2" s="164"/>
      <c r="E2" s="167">
        <v>1</v>
      </c>
      <c r="F2" s="1012" t="str">
        <f>VLOOKUP($E$2,BEGINBLAD!B4:C39,2)</f>
        <v>leerling 1</v>
      </c>
      <c r="G2" s="1013"/>
      <c r="H2" s="1013"/>
      <c r="I2" s="1013"/>
      <c r="J2" s="1013"/>
      <c r="K2" s="1013"/>
      <c r="L2" s="1013"/>
      <c r="M2" s="1013"/>
      <c r="N2" s="1013"/>
      <c r="O2" s="1013"/>
      <c r="P2" s="1013"/>
      <c r="Q2" s="1013"/>
      <c r="R2" s="1013"/>
      <c r="S2" s="1013"/>
      <c r="T2" s="1013"/>
      <c r="U2" s="1013"/>
      <c r="V2" s="1013"/>
      <c r="W2" s="1013"/>
      <c r="X2" s="1013"/>
      <c r="Y2" s="1013"/>
      <c r="Z2" s="1013"/>
      <c r="AA2" s="1014"/>
      <c r="AB2" s="1015" t="s">
        <v>119</v>
      </c>
      <c r="AC2" s="1016"/>
      <c r="AD2" s="497">
        <f>VLOOKUP($E$2,BEGINBLAD!B4:D39,3)</f>
        <v>6</v>
      </c>
    </row>
    <row r="3" spans="1:30" ht="50.15" customHeight="1" x14ac:dyDescent="0.5"/>
    <row r="4" spans="1:30" ht="19.5" customHeight="1" x14ac:dyDescent="0.5">
      <c r="A4" s="125">
        <v>1</v>
      </c>
      <c r="B4" s="126" t="str">
        <f>BEGINBLAD!C4</f>
        <v>leerling 1</v>
      </c>
    </row>
    <row r="5" spans="1:30" x14ac:dyDescent="0.5">
      <c r="A5" s="125">
        <v>2</v>
      </c>
      <c r="B5" s="126" t="str">
        <f>BEGINBLAD!C5</f>
        <v>leerling 2</v>
      </c>
    </row>
    <row r="6" spans="1:30" x14ac:dyDescent="0.5">
      <c r="A6" s="125">
        <v>3</v>
      </c>
      <c r="B6" s="126" t="str">
        <f>BEGINBLAD!C6</f>
        <v>leerling 3</v>
      </c>
    </row>
    <row r="7" spans="1:30" x14ac:dyDescent="0.5">
      <c r="A7" s="125">
        <v>4</v>
      </c>
      <c r="B7" s="126" t="str">
        <f>BEGINBLAD!C7</f>
        <v>leerling 4</v>
      </c>
      <c r="E7" s="37"/>
      <c r="F7" s="37"/>
      <c r="G7" s="37"/>
      <c r="H7" s="37"/>
      <c r="I7" s="37"/>
      <c r="J7" s="37"/>
      <c r="K7" s="37"/>
      <c r="L7" s="37"/>
      <c r="M7" s="37"/>
      <c r="N7" s="37"/>
    </row>
    <row r="8" spans="1:30" x14ac:dyDescent="0.5">
      <c r="A8" s="125">
        <v>5</v>
      </c>
      <c r="B8" s="126" t="str">
        <f>BEGINBLAD!C8</f>
        <v>leerling 5</v>
      </c>
      <c r="E8" s="37"/>
      <c r="F8" s="37"/>
      <c r="G8" s="37"/>
      <c r="H8" s="37"/>
      <c r="I8" s="37"/>
      <c r="J8" s="37"/>
      <c r="K8" s="37"/>
      <c r="L8" s="37"/>
      <c r="M8" s="37"/>
      <c r="N8" s="37"/>
    </row>
    <row r="9" spans="1:30" x14ac:dyDescent="0.5">
      <c r="A9" s="125">
        <v>6</v>
      </c>
      <c r="B9" s="126" t="str">
        <f>BEGINBLAD!C9</f>
        <v>leerling 6</v>
      </c>
      <c r="E9" s="37"/>
      <c r="F9" s="37"/>
      <c r="G9" s="37"/>
      <c r="H9" s="37"/>
      <c r="I9" s="37"/>
      <c r="J9" s="37"/>
      <c r="K9" s="37"/>
      <c r="L9" s="37"/>
      <c r="M9" s="37"/>
      <c r="N9" s="37"/>
    </row>
    <row r="10" spans="1:30" x14ac:dyDescent="0.5">
      <c r="A10" s="125">
        <v>7</v>
      </c>
      <c r="B10" s="126" t="str">
        <f>BEGINBLAD!C10</f>
        <v>leerling 7</v>
      </c>
      <c r="E10" s="37"/>
      <c r="F10" s="37"/>
      <c r="G10" s="37"/>
      <c r="H10" s="37"/>
      <c r="I10" s="37"/>
      <c r="J10" s="37"/>
      <c r="K10" s="37"/>
      <c r="L10" s="37"/>
      <c r="M10" s="37"/>
      <c r="N10" s="37"/>
    </row>
    <row r="11" spans="1:30" x14ac:dyDescent="0.5">
      <c r="A11" s="125">
        <v>8</v>
      </c>
      <c r="B11" s="126" t="str">
        <f>BEGINBLAD!C11</f>
        <v>leerling 8</v>
      </c>
      <c r="E11" s="37"/>
      <c r="F11" s="37"/>
      <c r="G11" s="37"/>
      <c r="H11" s="37"/>
      <c r="I11" s="37"/>
      <c r="J11" s="37"/>
      <c r="K11" s="37"/>
      <c r="L11" s="37"/>
      <c r="M11" s="37"/>
      <c r="N11" s="37"/>
    </row>
    <row r="12" spans="1:30" x14ac:dyDescent="0.5">
      <c r="A12" s="125">
        <v>9</v>
      </c>
      <c r="B12" s="126">
        <f>BEGINBLAD!C12</f>
        <v>0</v>
      </c>
      <c r="E12" s="37"/>
      <c r="F12" s="37"/>
      <c r="G12" s="37"/>
      <c r="H12" s="154" t="s">
        <v>120</v>
      </c>
      <c r="I12" s="156" t="s">
        <v>121</v>
      </c>
      <c r="J12" s="154" t="s">
        <v>122</v>
      </c>
      <c r="K12" s="156" t="s">
        <v>121</v>
      </c>
      <c r="L12" s="154" t="s">
        <v>123</v>
      </c>
      <c r="M12" s="156" t="s">
        <v>121</v>
      </c>
      <c r="N12" s="154" t="s">
        <v>124</v>
      </c>
      <c r="O12" s="156" t="s">
        <v>121</v>
      </c>
      <c r="P12" s="154" t="s">
        <v>125</v>
      </c>
      <c r="Q12" s="156" t="s">
        <v>121</v>
      </c>
      <c r="R12" s="36" t="s">
        <v>126</v>
      </c>
      <c r="S12" s="36"/>
    </row>
    <row r="13" spans="1:30" x14ac:dyDescent="0.5">
      <c r="A13" s="125">
        <v>10</v>
      </c>
      <c r="B13" s="126">
        <f>BEGINBLAD!C13</f>
        <v>0</v>
      </c>
      <c r="E13" s="38"/>
      <c r="F13" s="38"/>
      <c r="G13" s="38"/>
      <c r="H13" s="152">
        <f>VLOOKUP($E$2,'NIVEAU WAARDE - vorig jaar'!$B$9:$H$44,3)</f>
        <v>4.2</v>
      </c>
      <c r="I13" s="152">
        <v>5</v>
      </c>
      <c r="J13" s="152">
        <f>VLOOKUP($E$2,'NIVEAU WAARDE - vorig jaar'!$B$9:$H$44,4)</f>
        <v>4.5999999999999996</v>
      </c>
      <c r="K13" s="152">
        <v>5</v>
      </c>
      <c r="L13" s="152">
        <f>VLOOKUP($E$2,'NIVEAU WAARDE - vorig jaar'!$B$9:$H$44,5)</f>
        <v>4.5999999999999996</v>
      </c>
      <c r="M13" s="152">
        <v>5</v>
      </c>
      <c r="N13" s="152">
        <f>VLOOKUP($E$2,'NIVEAU WAARDE - vorig jaar'!$B$9:$H$44,6)</f>
        <v>4.3</v>
      </c>
      <c r="O13" s="152">
        <v>5</v>
      </c>
      <c r="P13" s="152">
        <f>VLOOKUP($E$2,'NIVEAU WAARDE - vorig jaar'!$B$9:$H$44,7)</f>
        <v>4.2</v>
      </c>
      <c r="Q13" s="153">
        <v>5</v>
      </c>
      <c r="R13" s="152">
        <f>T13/S13</f>
        <v>4.38</v>
      </c>
      <c r="S13" s="152">
        <f>COUNTIF(H13:Q13,"&gt;0")-5</f>
        <v>5</v>
      </c>
      <c r="T13" s="152">
        <f>H13+J13+L13+N13+P13</f>
        <v>21.9</v>
      </c>
      <c r="U13" s="151"/>
    </row>
    <row r="14" spans="1:30" x14ac:dyDescent="0.5">
      <c r="A14" s="125">
        <v>11</v>
      </c>
      <c r="B14" s="126">
        <f>BEGINBLAD!C14</f>
        <v>0</v>
      </c>
      <c r="H14" s="36">
        <f>H13*2</f>
        <v>8.4</v>
      </c>
      <c r="I14" s="36">
        <f t="shared" ref="I14:R14" si="0">I13*2</f>
        <v>10</v>
      </c>
      <c r="J14" s="36">
        <f t="shared" si="0"/>
        <v>9.1999999999999993</v>
      </c>
      <c r="K14" s="36">
        <f t="shared" si="0"/>
        <v>10</v>
      </c>
      <c r="L14" s="36">
        <f t="shared" si="0"/>
        <v>9.1999999999999993</v>
      </c>
      <c r="M14" s="36">
        <f t="shared" si="0"/>
        <v>10</v>
      </c>
      <c r="N14" s="36">
        <f t="shared" si="0"/>
        <v>8.6</v>
      </c>
      <c r="O14" s="36">
        <f t="shared" si="0"/>
        <v>10</v>
      </c>
      <c r="P14" s="36">
        <f t="shared" si="0"/>
        <v>8.4</v>
      </c>
      <c r="Q14" s="36">
        <f t="shared" si="0"/>
        <v>10</v>
      </c>
      <c r="R14" s="152">
        <f t="shared" si="0"/>
        <v>8.76</v>
      </c>
      <c r="S14" s="36"/>
      <c r="T14" s="36"/>
    </row>
    <row r="15" spans="1:30" x14ac:dyDescent="0.5">
      <c r="A15" s="125">
        <v>12</v>
      </c>
      <c r="B15" s="126">
        <f>BEGINBLAD!C15</f>
        <v>0</v>
      </c>
    </row>
    <row r="16" spans="1:30" x14ac:dyDescent="0.5">
      <c r="A16" s="125">
        <v>13</v>
      </c>
      <c r="B16" s="126">
        <f>BEGINBLAD!C16</f>
        <v>0</v>
      </c>
      <c r="E16" s="37"/>
      <c r="F16" s="37"/>
      <c r="G16" s="37"/>
      <c r="H16" s="37"/>
      <c r="I16" s="37"/>
      <c r="J16" s="37"/>
      <c r="K16" s="37"/>
      <c r="L16" s="37"/>
      <c r="M16" s="37"/>
      <c r="N16" s="37"/>
    </row>
    <row r="17" spans="1:30" x14ac:dyDescent="0.5">
      <c r="A17" s="125">
        <v>14</v>
      </c>
      <c r="B17" s="126">
        <f>BEGINBLAD!C17</f>
        <v>0</v>
      </c>
      <c r="E17" s="37"/>
      <c r="F17" s="37"/>
      <c r="G17" s="37"/>
      <c r="H17" s="37"/>
      <c r="I17" s="37"/>
      <c r="J17" s="37"/>
      <c r="K17" s="37"/>
      <c r="L17" s="37"/>
      <c r="M17" s="37"/>
      <c r="N17" s="37"/>
    </row>
    <row r="18" spans="1:30" x14ac:dyDescent="0.5">
      <c r="A18" s="125">
        <v>15</v>
      </c>
      <c r="B18" s="126">
        <f>BEGINBLAD!C18</f>
        <v>0</v>
      </c>
      <c r="E18" s="38"/>
      <c r="F18" s="37"/>
      <c r="G18" s="37"/>
      <c r="H18" s="37"/>
      <c r="I18" s="37"/>
      <c r="J18" s="37"/>
      <c r="K18" s="37"/>
      <c r="L18" s="37"/>
      <c r="M18" s="37"/>
      <c r="N18" s="37"/>
    </row>
    <row r="19" spans="1:30" x14ac:dyDescent="0.5">
      <c r="A19" s="125">
        <v>16</v>
      </c>
      <c r="B19" s="126">
        <f>BEGINBLAD!C19</f>
        <v>0</v>
      </c>
      <c r="E19" s="38"/>
      <c r="F19" s="38"/>
      <c r="G19" s="38"/>
      <c r="H19" s="38"/>
      <c r="I19" s="38"/>
      <c r="J19" s="37"/>
      <c r="K19" s="38"/>
      <c r="L19" s="37"/>
      <c r="M19" s="37"/>
      <c r="N19" s="37"/>
    </row>
    <row r="20" spans="1:30" x14ac:dyDescent="0.5">
      <c r="A20" s="125">
        <v>17</v>
      </c>
      <c r="B20" s="126">
        <f>BEGINBLAD!C20</f>
        <v>0</v>
      </c>
      <c r="E20" s="39"/>
      <c r="F20" s="39"/>
      <c r="G20" s="40"/>
      <c r="H20" s="40"/>
      <c r="I20" s="39"/>
      <c r="J20" s="37"/>
      <c r="K20" s="40"/>
      <c r="L20" s="37"/>
      <c r="M20" s="37"/>
      <c r="N20" s="37"/>
    </row>
    <row r="21" spans="1:30" x14ac:dyDescent="0.5">
      <c r="A21" s="125">
        <v>18</v>
      </c>
      <c r="B21" s="126">
        <f>BEGINBLAD!C21</f>
        <v>0</v>
      </c>
      <c r="E21" s="37"/>
      <c r="F21" s="37"/>
      <c r="G21" s="37"/>
      <c r="H21" s="37"/>
      <c r="I21" s="37"/>
      <c r="J21" s="37"/>
      <c r="K21" s="37"/>
      <c r="L21" s="37"/>
      <c r="M21" s="37"/>
      <c r="N21" s="37"/>
    </row>
    <row r="22" spans="1:30" x14ac:dyDescent="0.5">
      <c r="A22" s="125">
        <v>19</v>
      </c>
      <c r="B22" s="126">
        <f>BEGINBLAD!C22</f>
        <v>0</v>
      </c>
      <c r="E22" s="37"/>
      <c r="F22" s="37"/>
      <c r="G22" s="37"/>
      <c r="H22" s="37"/>
      <c r="I22" s="37"/>
      <c r="J22" s="37"/>
      <c r="K22" s="37"/>
      <c r="L22" s="37"/>
      <c r="M22" s="37"/>
      <c r="N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94" t="s">
        <v>127</v>
      </c>
      <c r="F31" s="995"/>
      <c r="G31" s="1009" t="s">
        <v>128</v>
      </c>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2"/>
    </row>
    <row r="32" spans="1:30" x14ac:dyDescent="0.5">
      <c r="A32" s="125">
        <v>29</v>
      </c>
      <c r="B32" s="126">
        <f>BEGINBLAD!C32</f>
        <v>0</v>
      </c>
      <c r="E32" s="996"/>
      <c r="F32" s="997"/>
      <c r="G32" s="1003"/>
      <c r="H32" s="1004"/>
      <c r="I32" s="1004"/>
      <c r="J32" s="1004"/>
      <c r="K32" s="1004"/>
      <c r="L32" s="1004"/>
      <c r="M32" s="1004"/>
      <c r="N32" s="1004"/>
      <c r="O32" s="1004"/>
      <c r="P32" s="1004"/>
      <c r="Q32" s="1004"/>
      <c r="R32" s="1004"/>
      <c r="S32" s="1004"/>
      <c r="T32" s="1004"/>
      <c r="U32" s="1004"/>
      <c r="V32" s="1004"/>
      <c r="W32" s="1004"/>
      <c r="X32" s="1004"/>
      <c r="Y32" s="1004"/>
      <c r="Z32" s="1004"/>
      <c r="AA32" s="1004"/>
      <c r="AB32" s="1004"/>
      <c r="AC32" s="1004"/>
      <c r="AD32" s="1005"/>
    </row>
    <row r="33" spans="1:30" x14ac:dyDescent="0.5">
      <c r="A33" s="125">
        <v>30</v>
      </c>
      <c r="B33" s="126">
        <f>BEGINBLAD!C33</f>
        <v>0</v>
      </c>
      <c r="E33" s="996"/>
      <c r="F33" s="997"/>
      <c r="G33" s="1003"/>
      <c r="H33" s="1004"/>
      <c r="I33" s="1004"/>
      <c r="J33" s="1004"/>
      <c r="K33" s="1004"/>
      <c r="L33" s="1004"/>
      <c r="M33" s="1004"/>
      <c r="N33" s="1004"/>
      <c r="O33" s="1004"/>
      <c r="P33" s="1004"/>
      <c r="Q33" s="1004"/>
      <c r="R33" s="1004"/>
      <c r="S33" s="1004"/>
      <c r="T33" s="1004"/>
      <c r="U33" s="1004"/>
      <c r="V33" s="1004"/>
      <c r="W33" s="1004"/>
      <c r="X33" s="1004"/>
      <c r="Y33" s="1004"/>
      <c r="Z33" s="1004"/>
      <c r="AA33" s="1004"/>
      <c r="AB33" s="1004"/>
      <c r="AC33" s="1004"/>
      <c r="AD33" s="1005"/>
    </row>
    <row r="34" spans="1:30" x14ac:dyDescent="0.5">
      <c r="A34" s="125">
        <v>31</v>
      </c>
      <c r="B34" s="126">
        <f>BEGINBLAD!C34</f>
        <v>0</v>
      </c>
      <c r="E34" s="996"/>
      <c r="F34" s="997"/>
      <c r="G34" s="1003"/>
      <c r="H34" s="1004"/>
      <c r="I34" s="1004"/>
      <c r="J34" s="1004"/>
      <c r="K34" s="1004"/>
      <c r="L34" s="1004"/>
      <c r="M34" s="1004"/>
      <c r="N34" s="1004"/>
      <c r="O34" s="1004"/>
      <c r="P34" s="1004"/>
      <c r="Q34" s="1004"/>
      <c r="R34" s="1004"/>
      <c r="S34" s="1004"/>
      <c r="T34" s="1004"/>
      <c r="U34" s="1004"/>
      <c r="V34" s="1004"/>
      <c r="W34" s="1004"/>
      <c r="X34" s="1004"/>
      <c r="Y34" s="1004"/>
      <c r="Z34" s="1004"/>
      <c r="AA34" s="1004"/>
      <c r="AB34" s="1004"/>
      <c r="AC34" s="1004"/>
      <c r="AD34" s="1005"/>
    </row>
    <row r="35" spans="1:30" ht="19.5" customHeight="1" x14ac:dyDescent="0.5">
      <c r="A35" s="125">
        <v>32</v>
      </c>
      <c r="B35" s="126">
        <f>BEGINBLAD!C35</f>
        <v>0</v>
      </c>
      <c r="E35" s="996"/>
      <c r="F35" s="997"/>
      <c r="G35" s="1003"/>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5"/>
    </row>
    <row r="36" spans="1:30" ht="19.5" customHeight="1" thickBot="1" x14ac:dyDescent="0.55000000000000004">
      <c r="A36" s="125">
        <v>33</v>
      </c>
      <c r="B36" s="126">
        <f>BEGINBLAD!C36</f>
        <v>0</v>
      </c>
      <c r="E36" s="998"/>
      <c r="F36" s="999"/>
      <c r="G36" s="1006"/>
      <c r="H36" s="1007"/>
      <c r="I36" s="1007"/>
      <c r="J36" s="1007"/>
      <c r="K36" s="1007"/>
      <c r="L36" s="1007"/>
      <c r="M36" s="1007"/>
      <c r="N36" s="1007"/>
      <c r="O36" s="1007"/>
      <c r="P36" s="1007"/>
      <c r="Q36" s="1007"/>
      <c r="R36" s="1007"/>
      <c r="S36" s="1007"/>
      <c r="T36" s="1007"/>
      <c r="U36" s="1007"/>
      <c r="V36" s="1007"/>
      <c r="W36" s="1007"/>
      <c r="X36" s="1007"/>
      <c r="Y36" s="1007"/>
      <c r="Z36" s="1007"/>
      <c r="AA36" s="1007"/>
      <c r="AB36" s="1007"/>
      <c r="AC36" s="1007"/>
      <c r="AD36" s="1008"/>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94" t="s">
        <v>129</v>
      </c>
      <c r="F38" s="995"/>
      <c r="G38" s="1009" t="s">
        <v>130</v>
      </c>
      <c r="H38" s="1001"/>
      <c r="I38" s="1001"/>
      <c r="J38" s="1001"/>
      <c r="K38" s="1001"/>
      <c r="L38" s="1001"/>
      <c r="M38" s="1001"/>
      <c r="N38" s="1001"/>
      <c r="O38" s="1001"/>
      <c r="P38" s="1001"/>
      <c r="Q38" s="1001"/>
      <c r="R38" s="1001"/>
      <c r="S38" s="1001"/>
      <c r="T38" s="1001"/>
      <c r="U38" s="1001"/>
      <c r="V38" s="1001"/>
      <c r="W38" s="1001"/>
      <c r="X38" s="1001"/>
      <c r="Y38" s="1001"/>
      <c r="Z38" s="1001"/>
      <c r="AA38" s="1001"/>
      <c r="AB38" s="1001"/>
      <c r="AC38" s="1001"/>
      <c r="AD38" s="1002"/>
    </row>
    <row r="39" spans="1:30" ht="19.5" customHeight="1" x14ac:dyDescent="0.5">
      <c r="A39" s="125">
        <v>36</v>
      </c>
      <c r="B39" s="126">
        <f>BEGINBLAD!C39</f>
        <v>0</v>
      </c>
      <c r="E39" s="996"/>
      <c r="F39" s="997"/>
      <c r="G39" s="1003"/>
      <c r="H39" s="1004"/>
      <c r="I39" s="1004"/>
      <c r="J39" s="1004"/>
      <c r="K39" s="1004"/>
      <c r="L39" s="1004"/>
      <c r="M39" s="1004"/>
      <c r="N39" s="1004"/>
      <c r="O39" s="1004"/>
      <c r="P39" s="1004"/>
      <c r="Q39" s="1004"/>
      <c r="R39" s="1004"/>
      <c r="S39" s="1004"/>
      <c r="T39" s="1004"/>
      <c r="U39" s="1004"/>
      <c r="V39" s="1004"/>
      <c r="W39" s="1004"/>
      <c r="X39" s="1004"/>
      <c r="Y39" s="1004"/>
      <c r="Z39" s="1004"/>
      <c r="AA39" s="1004"/>
      <c r="AB39" s="1004"/>
      <c r="AC39" s="1004"/>
      <c r="AD39" s="1005"/>
    </row>
    <row r="40" spans="1:30" ht="19.5" customHeight="1" x14ac:dyDescent="0.5">
      <c r="E40" s="996"/>
      <c r="F40" s="997"/>
      <c r="G40" s="1003"/>
      <c r="H40" s="1004"/>
      <c r="I40" s="1004"/>
      <c r="J40" s="1004"/>
      <c r="K40" s="1004"/>
      <c r="L40" s="1004"/>
      <c r="M40" s="1004"/>
      <c r="N40" s="1004"/>
      <c r="O40" s="1004"/>
      <c r="P40" s="1004"/>
      <c r="Q40" s="1004"/>
      <c r="R40" s="1004"/>
      <c r="S40" s="1004"/>
      <c r="T40" s="1004"/>
      <c r="U40" s="1004"/>
      <c r="V40" s="1004"/>
      <c r="W40" s="1004"/>
      <c r="X40" s="1004"/>
      <c r="Y40" s="1004"/>
      <c r="Z40" s="1004"/>
      <c r="AA40" s="1004"/>
      <c r="AB40" s="1004"/>
      <c r="AC40" s="1004"/>
      <c r="AD40" s="1005"/>
    </row>
    <row r="41" spans="1:30" ht="19.5" customHeight="1" x14ac:dyDescent="0.5">
      <c r="E41" s="996"/>
      <c r="F41" s="997"/>
      <c r="G41" s="1003"/>
      <c r="H41" s="1004"/>
      <c r="I41" s="1004"/>
      <c r="J41" s="1004"/>
      <c r="K41" s="1004"/>
      <c r="L41" s="1004"/>
      <c r="M41" s="1004"/>
      <c r="N41" s="1004"/>
      <c r="O41" s="1004"/>
      <c r="P41" s="1004"/>
      <c r="Q41" s="1004"/>
      <c r="R41" s="1004"/>
      <c r="S41" s="1004"/>
      <c r="T41" s="1004"/>
      <c r="U41" s="1004"/>
      <c r="V41" s="1004"/>
      <c r="W41" s="1004"/>
      <c r="X41" s="1004"/>
      <c r="Y41" s="1004"/>
      <c r="Z41" s="1004"/>
      <c r="AA41" s="1004"/>
      <c r="AB41" s="1004"/>
      <c r="AC41" s="1004"/>
      <c r="AD41" s="1005"/>
    </row>
    <row r="42" spans="1:30" ht="19.5" customHeight="1" x14ac:dyDescent="0.5">
      <c r="E42" s="996"/>
      <c r="F42" s="997"/>
      <c r="G42" s="1003"/>
      <c r="H42" s="1004"/>
      <c r="I42" s="1004"/>
      <c r="J42" s="1004"/>
      <c r="K42" s="1004"/>
      <c r="L42" s="1004"/>
      <c r="M42" s="1004"/>
      <c r="N42" s="1004"/>
      <c r="O42" s="1004"/>
      <c r="P42" s="1004"/>
      <c r="Q42" s="1004"/>
      <c r="R42" s="1004"/>
      <c r="S42" s="1004"/>
      <c r="T42" s="1004"/>
      <c r="U42" s="1004"/>
      <c r="V42" s="1004"/>
      <c r="W42" s="1004"/>
      <c r="X42" s="1004"/>
      <c r="Y42" s="1004"/>
      <c r="Z42" s="1004"/>
      <c r="AA42" s="1004"/>
      <c r="AB42" s="1004"/>
      <c r="AC42" s="1004"/>
      <c r="AD42" s="1005"/>
    </row>
    <row r="43" spans="1:30" ht="19.5" customHeight="1" thickBot="1" x14ac:dyDescent="0.55000000000000004">
      <c r="E43" s="998"/>
      <c r="F43" s="999"/>
      <c r="G43" s="1006"/>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D43" s="1008"/>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94" t="s">
        <v>131</v>
      </c>
      <c r="F45" s="995"/>
      <c r="G45" s="1009" t="s">
        <v>132</v>
      </c>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2"/>
    </row>
    <row r="46" spans="1:30" ht="19.5" customHeight="1" x14ac:dyDescent="0.5">
      <c r="E46" s="996"/>
      <c r="F46" s="997"/>
      <c r="G46" s="1003"/>
      <c r="H46" s="1004"/>
      <c r="I46" s="1004"/>
      <c r="J46" s="1004"/>
      <c r="K46" s="1004"/>
      <c r="L46" s="1004"/>
      <c r="M46" s="1004"/>
      <c r="N46" s="1004"/>
      <c r="O46" s="1004"/>
      <c r="P46" s="1004"/>
      <c r="Q46" s="1004"/>
      <c r="R46" s="1004"/>
      <c r="S46" s="1004"/>
      <c r="T46" s="1004"/>
      <c r="U46" s="1004"/>
      <c r="V46" s="1004"/>
      <c r="W46" s="1004"/>
      <c r="X46" s="1004"/>
      <c r="Y46" s="1004"/>
      <c r="Z46" s="1004"/>
      <c r="AA46" s="1004"/>
      <c r="AB46" s="1004"/>
      <c r="AC46" s="1004"/>
      <c r="AD46" s="1005"/>
    </row>
    <row r="47" spans="1:30" ht="19.5" customHeight="1" x14ac:dyDescent="0.5">
      <c r="E47" s="996"/>
      <c r="F47" s="997"/>
      <c r="G47" s="1003"/>
      <c r="H47" s="1004"/>
      <c r="I47" s="1004"/>
      <c r="J47" s="1004"/>
      <c r="K47" s="1004"/>
      <c r="L47" s="1004"/>
      <c r="M47" s="1004"/>
      <c r="N47" s="1004"/>
      <c r="O47" s="1004"/>
      <c r="P47" s="1004"/>
      <c r="Q47" s="1004"/>
      <c r="R47" s="1004"/>
      <c r="S47" s="1004"/>
      <c r="T47" s="1004"/>
      <c r="U47" s="1004"/>
      <c r="V47" s="1004"/>
      <c r="W47" s="1004"/>
      <c r="X47" s="1004"/>
      <c r="Y47" s="1004"/>
      <c r="Z47" s="1004"/>
      <c r="AA47" s="1004"/>
      <c r="AB47" s="1004"/>
      <c r="AC47" s="1004"/>
      <c r="AD47" s="1005"/>
    </row>
    <row r="48" spans="1:30" ht="19.5" customHeight="1" x14ac:dyDescent="0.5">
      <c r="E48" s="996"/>
      <c r="F48" s="997"/>
      <c r="G48" s="1003"/>
      <c r="H48" s="1004"/>
      <c r="I48" s="1004"/>
      <c r="J48" s="1004"/>
      <c r="K48" s="1004"/>
      <c r="L48" s="1004"/>
      <c r="M48" s="1004"/>
      <c r="N48" s="1004"/>
      <c r="O48" s="1004"/>
      <c r="P48" s="1004"/>
      <c r="Q48" s="1004"/>
      <c r="R48" s="1004"/>
      <c r="S48" s="1004"/>
      <c r="T48" s="1004"/>
      <c r="U48" s="1004"/>
      <c r="V48" s="1004"/>
      <c r="W48" s="1004"/>
      <c r="X48" s="1004"/>
      <c r="Y48" s="1004"/>
      <c r="Z48" s="1004"/>
      <c r="AA48" s="1004"/>
      <c r="AB48" s="1004"/>
      <c r="AC48" s="1004"/>
      <c r="AD48" s="1005"/>
    </row>
    <row r="49" spans="5:30" ht="19.5" customHeight="1" x14ac:dyDescent="0.5">
      <c r="E49" s="996"/>
      <c r="F49" s="997"/>
      <c r="G49" s="1003"/>
      <c r="H49" s="1004"/>
      <c r="I49" s="1004"/>
      <c r="J49" s="1004"/>
      <c r="K49" s="1004"/>
      <c r="L49" s="1004"/>
      <c r="M49" s="1004"/>
      <c r="N49" s="1004"/>
      <c r="O49" s="1004"/>
      <c r="P49" s="1004"/>
      <c r="Q49" s="1004"/>
      <c r="R49" s="1004"/>
      <c r="S49" s="1004"/>
      <c r="T49" s="1004"/>
      <c r="U49" s="1004"/>
      <c r="V49" s="1004"/>
      <c r="W49" s="1004"/>
      <c r="X49" s="1004"/>
      <c r="Y49" s="1004"/>
      <c r="Z49" s="1004"/>
      <c r="AA49" s="1004"/>
      <c r="AB49" s="1004"/>
      <c r="AC49" s="1004"/>
      <c r="AD49" s="1005"/>
    </row>
    <row r="50" spans="5:30" ht="19.5" customHeight="1" thickBot="1" x14ac:dyDescent="0.55000000000000004">
      <c r="E50" s="998"/>
      <c r="F50" s="999"/>
      <c r="G50" s="1006"/>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8"/>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94" t="s">
        <v>133</v>
      </c>
      <c r="F52" s="995"/>
      <c r="G52" s="1009" t="s">
        <v>134</v>
      </c>
      <c r="H52" s="1001"/>
      <c r="I52" s="1001"/>
      <c r="J52" s="1001"/>
      <c r="K52" s="1001"/>
      <c r="L52" s="1001"/>
      <c r="M52" s="1001"/>
      <c r="N52" s="1001"/>
      <c r="O52" s="1001"/>
      <c r="P52" s="1001"/>
      <c r="Q52" s="1001"/>
      <c r="R52" s="1001"/>
      <c r="S52" s="1001"/>
      <c r="T52" s="1001"/>
      <c r="U52" s="1001"/>
      <c r="V52" s="1001"/>
      <c r="W52" s="1001"/>
      <c r="X52" s="1001"/>
      <c r="Y52" s="1001"/>
      <c r="Z52" s="1001"/>
      <c r="AA52" s="1001"/>
      <c r="AB52" s="1001"/>
      <c r="AC52" s="1001"/>
      <c r="AD52" s="1002"/>
    </row>
    <row r="53" spans="5:30" ht="19.5" customHeight="1" x14ac:dyDescent="0.5">
      <c r="E53" s="996"/>
      <c r="F53" s="997"/>
      <c r="G53" s="1003"/>
      <c r="H53" s="1004"/>
      <c r="I53" s="1004"/>
      <c r="J53" s="1004"/>
      <c r="K53" s="1004"/>
      <c r="L53" s="1004"/>
      <c r="M53" s="1004"/>
      <c r="N53" s="1004"/>
      <c r="O53" s="1004"/>
      <c r="P53" s="1004"/>
      <c r="Q53" s="1004"/>
      <c r="R53" s="1004"/>
      <c r="S53" s="1004"/>
      <c r="T53" s="1004"/>
      <c r="U53" s="1004"/>
      <c r="V53" s="1004"/>
      <c r="W53" s="1004"/>
      <c r="X53" s="1004"/>
      <c r="Y53" s="1004"/>
      <c r="Z53" s="1004"/>
      <c r="AA53" s="1004"/>
      <c r="AB53" s="1004"/>
      <c r="AC53" s="1004"/>
      <c r="AD53" s="1005"/>
    </row>
    <row r="54" spans="5:30" ht="19.5" customHeight="1" x14ac:dyDescent="0.5">
      <c r="E54" s="996"/>
      <c r="F54" s="997"/>
      <c r="G54" s="1003"/>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5"/>
    </row>
    <row r="55" spans="5:30" ht="19.5" customHeight="1" x14ac:dyDescent="0.5">
      <c r="E55" s="996"/>
      <c r="F55" s="997"/>
      <c r="G55" s="1003"/>
      <c r="H55" s="1004"/>
      <c r="I55" s="1004"/>
      <c r="J55" s="1004"/>
      <c r="K55" s="1004"/>
      <c r="L55" s="1004"/>
      <c r="M55" s="1004"/>
      <c r="N55" s="1004"/>
      <c r="O55" s="1004"/>
      <c r="P55" s="1004"/>
      <c r="Q55" s="1004"/>
      <c r="R55" s="1004"/>
      <c r="S55" s="1004"/>
      <c r="T55" s="1004"/>
      <c r="U55" s="1004"/>
      <c r="V55" s="1004"/>
      <c r="W55" s="1004"/>
      <c r="X55" s="1004"/>
      <c r="Y55" s="1004"/>
      <c r="Z55" s="1004"/>
      <c r="AA55" s="1004"/>
      <c r="AB55" s="1004"/>
      <c r="AC55" s="1004"/>
      <c r="AD55" s="1005"/>
    </row>
    <row r="56" spans="5:30" ht="19.5" customHeight="1" x14ac:dyDescent="0.5">
      <c r="E56" s="996"/>
      <c r="F56" s="997"/>
      <c r="G56" s="1003"/>
      <c r="H56" s="1004"/>
      <c r="I56" s="1004"/>
      <c r="J56" s="1004"/>
      <c r="K56" s="1004"/>
      <c r="L56" s="1004"/>
      <c r="M56" s="1004"/>
      <c r="N56" s="1004"/>
      <c r="O56" s="1004"/>
      <c r="P56" s="1004"/>
      <c r="Q56" s="1004"/>
      <c r="R56" s="1004"/>
      <c r="S56" s="1004"/>
      <c r="T56" s="1004"/>
      <c r="U56" s="1004"/>
      <c r="V56" s="1004"/>
      <c r="W56" s="1004"/>
      <c r="X56" s="1004"/>
      <c r="Y56" s="1004"/>
      <c r="Z56" s="1004"/>
      <c r="AA56" s="1004"/>
      <c r="AB56" s="1004"/>
      <c r="AC56" s="1004"/>
      <c r="AD56" s="1005"/>
    </row>
    <row r="57" spans="5:30" ht="19.5" customHeight="1" thickBot="1" x14ac:dyDescent="0.55000000000000004">
      <c r="E57" s="998"/>
      <c r="F57" s="999"/>
      <c r="G57" s="1006"/>
      <c r="H57" s="1007"/>
      <c r="I57" s="1007"/>
      <c r="J57" s="1007"/>
      <c r="K57" s="1007"/>
      <c r="L57" s="1007"/>
      <c r="M57" s="1007"/>
      <c r="N57" s="1007"/>
      <c r="O57" s="1007"/>
      <c r="P57" s="1007"/>
      <c r="Q57" s="1007"/>
      <c r="R57" s="1007"/>
      <c r="S57" s="1007"/>
      <c r="T57" s="1007"/>
      <c r="U57" s="1007"/>
      <c r="V57" s="1007"/>
      <c r="W57" s="1007"/>
      <c r="X57" s="1007"/>
      <c r="Y57" s="1007"/>
      <c r="Z57" s="1007"/>
      <c r="AA57" s="1007"/>
      <c r="AB57" s="1007"/>
      <c r="AC57" s="1007"/>
      <c r="AD57" s="1008"/>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94" t="s">
        <v>135</v>
      </c>
      <c r="F59" s="995"/>
      <c r="G59" s="1000" t="s">
        <v>136</v>
      </c>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2"/>
    </row>
    <row r="60" spans="5:30" ht="19.5" customHeight="1" x14ac:dyDescent="0.5">
      <c r="E60" s="996"/>
      <c r="F60" s="997"/>
      <c r="G60" s="1003"/>
      <c r="H60" s="1004"/>
      <c r="I60" s="1004"/>
      <c r="J60" s="1004"/>
      <c r="K60" s="1004"/>
      <c r="L60" s="1004"/>
      <c r="M60" s="1004"/>
      <c r="N60" s="1004"/>
      <c r="O60" s="1004"/>
      <c r="P60" s="1004"/>
      <c r="Q60" s="1004"/>
      <c r="R60" s="1004"/>
      <c r="S60" s="1004"/>
      <c r="T60" s="1004"/>
      <c r="U60" s="1004"/>
      <c r="V60" s="1004"/>
      <c r="W60" s="1004"/>
      <c r="X60" s="1004"/>
      <c r="Y60" s="1004"/>
      <c r="Z60" s="1004"/>
      <c r="AA60" s="1004"/>
      <c r="AB60" s="1004"/>
      <c r="AC60" s="1004"/>
      <c r="AD60" s="1005"/>
    </row>
    <row r="61" spans="5:30" ht="19.5" customHeight="1" x14ac:dyDescent="0.5">
      <c r="E61" s="996"/>
      <c r="F61" s="997"/>
      <c r="G61" s="1003"/>
      <c r="H61" s="1004"/>
      <c r="I61" s="1004"/>
      <c r="J61" s="1004"/>
      <c r="K61" s="1004"/>
      <c r="L61" s="1004"/>
      <c r="M61" s="1004"/>
      <c r="N61" s="1004"/>
      <c r="O61" s="1004"/>
      <c r="P61" s="1004"/>
      <c r="Q61" s="1004"/>
      <c r="R61" s="1004"/>
      <c r="S61" s="1004"/>
      <c r="T61" s="1004"/>
      <c r="U61" s="1004"/>
      <c r="V61" s="1004"/>
      <c r="W61" s="1004"/>
      <c r="X61" s="1004"/>
      <c r="Y61" s="1004"/>
      <c r="Z61" s="1004"/>
      <c r="AA61" s="1004"/>
      <c r="AB61" s="1004"/>
      <c r="AC61" s="1004"/>
      <c r="AD61" s="1005"/>
    </row>
    <row r="62" spans="5:30" ht="19.5" customHeight="1" x14ac:dyDescent="0.5">
      <c r="E62" s="996"/>
      <c r="F62" s="997"/>
      <c r="G62" s="1003"/>
      <c r="H62" s="1004"/>
      <c r="I62" s="1004"/>
      <c r="J62" s="1004"/>
      <c r="K62" s="1004"/>
      <c r="L62" s="1004"/>
      <c r="M62" s="1004"/>
      <c r="N62" s="1004"/>
      <c r="O62" s="1004"/>
      <c r="P62" s="1004"/>
      <c r="Q62" s="1004"/>
      <c r="R62" s="1004"/>
      <c r="S62" s="1004"/>
      <c r="T62" s="1004"/>
      <c r="U62" s="1004"/>
      <c r="V62" s="1004"/>
      <c r="W62" s="1004"/>
      <c r="X62" s="1004"/>
      <c r="Y62" s="1004"/>
      <c r="Z62" s="1004"/>
      <c r="AA62" s="1004"/>
      <c r="AB62" s="1004"/>
      <c r="AC62" s="1004"/>
      <c r="AD62" s="1005"/>
    </row>
    <row r="63" spans="5:30" ht="19.5" customHeight="1" x14ac:dyDescent="0.5">
      <c r="E63" s="996"/>
      <c r="F63" s="997"/>
      <c r="G63" s="1003"/>
      <c r="H63" s="1004"/>
      <c r="I63" s="1004"/>
      <c r="J63" s="1004"/>
      <c r="K63" s="1004"/>
      <c r="L63" s="1004"/>
      <c r="M63" s="1004"/>
      <c r="N63" s="1004"/>
      <c r="O63" s="1004"/>
      <c r="P63" s="1004"/>
      <c r="Q63" s="1004"/>
      <c r="R63" s="1004"/>
      <c r="S63" s="1004"/>
      <c r="T63" s="1004"/>
      <c r="U63" s="1004"/>
      <c r="V63" s="1004"/>
      <c r="W63" s="1004"/>
      <c r="X63" s="1004"/>
      <c r="Y63" s="1004"/>
      <c r="Z63" s="1004"/>
      <c r="AA63" s="1004"/>
      <c r="AB63" s="1004"/>
      <c r="AC63" s="1004"/>
      <c r="AD63" s="1005"/>
    </row>
    <row r="64" spans="5:30" ht="19.5" customHeight="1" x14ac:dyDescent="0.5">
      <c r="E64" s="996"/>
      <c r="F64" s="997"/>
      <c r="G64" s="1003"/>
      <c r="H64" s="1004"/>
      <c r="I64" s="1004"/>
      <c r="J64" s="1004"/>
      <c r="K64" s="1004"/>
      <c r="L64" s="1004"/>
      <c r="M64" s="1004"/>
      <c r="N64" s="1004"/>
      <c r="O64" s="1004"/>
      <c r="P64" s="1004"/>
      <c r="Q64" s="1004"/>
      <c r="R64" s="1004"/>
      <c r="S64" s="1004"/>
      <c r="T64" s="1004"/>
      <c r="U64" s="1004"/>
      <c r="V64" s="1004"/>
      <c r="W64" s="1004"/>
      <c r="X64" s="1004"/>
      <c r="Y64" s="1004"/>
      <c r="Z64" s="1004"/>
      <c r="AA64" s="1004"/>
      <c r="AB64" s="1004"/>
      <c r="AC64" s="1004"/>
      <c r="AD64" s="1005"/>
    </row>
    <row r="65" spans="5:30" ht="19.5" customHeight="1" thickBot="1" x14ac:dyDescent="0.55000000000000004">
      <c r="E65" s="998"/>
      <c r="F65" s="999"/>
      <c r="G65" s="1006"/>
      <c r="H65" s="1007"/>
      <c r="I65" s="1007"/>
      <c r="J65" s="1007"/>
      <c r="K65" s="1007"/>
      <c r="L65" s="1007"/>
      <c r="M65" s="1007"/>
      <c r="N65" s="1007"/>
      <c r="O65" s="1007"/>
      <c r="P65" s="1007"/>
      <c r="Q65" s="1007"/>
      <c r="R65" s="1007"/>
      <c r="S65" s="1007"/>
      <c r="T65" s="1007"/>
      <c r="U65" s="1007"/>
      <c r="V65" s="1007"/>
      <c r="W65" s="1007"/>
      <c r="X65" s="1007"/>
      <c r="Y65" s="1007"/>
      <c r="Z65" s="1007"/>
      <c r="AA65" s="1007"/>
      <c r="AB65" s="1007"/>
      <c r="AC65" s="1007"/>
      <c r="AD65" s="1008"/>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992" t="s">
        <v>137</v>
      </c>
      <c r="S74" s="992"/>
      <c r="T74" s="992"/>
      <c r="U74" s="993" t="s">
        <v>138</v>
      </c>
      <c r="V74" s="993"/>
      <c r="W74" s="993"/>
      <c r="X74" s="992" t="s">
        <v>139</v>
      </c>
      <c r="Y74" s="992"/>
      <c r="Z74" s="992"/>
      <c r="AA74" s="993" t="s">
        <v>140</v>
      </c>
      <c r="AB74" s="993"/>
      <c r="AC74" s="993"/>
    </row>
    <row r="75" spans="5:30" x14ac:dyDescent="0.5">
      <c r="R75" s="158">
        <f>VLOOKUP($E$2,LIJV!B11:G46,3)</f>
        <v>4</v>
      </c>
      <c r="S75" s="158">
        <f>VLOOKUP($E$2,LIJV!N11:S46,3)</f>
        <v>4</v>
      </c>
      <c r="T75" s="158">
        <f>VLOOKUP($E$2,LIJV!Z11:AE46,3)</f>
        <v>0</v>
      </c>
      <c r="U75" s="158">
        <f>VLOOKUP($E$2,LIJV!B11:G46,5)</f>
        <v>4</v>
      </c>
      <c r="V75" s="158">
        <f>VLOOKUP($E$2,LIJV!N11:S46,5)</f>
        <v>3</v>
      </c>
      <c r="W75" s="158">
        <f>VLOOKUP($E$2,LIJV!Z11:AE46,5)</f>
        <v>0</v>
      </c>
      <c r="X75" s="158">
        <f>VLOOKUP($E$2,LIJV!B11:G46,4)</f>
        <v>3</v>
      </c>
      <c r="Y75" s="158">
        <f>VLOOKUP($E$2,LIJV!N11:S46,4)</f>
        <v>3</v>
      </c>
      <c r="Z75" s="158">
        <f>VLOOKUP($E$2,LIJV!Z11:AE46,4)</f>
        <v>0</v>
      </c>
      <c r="AA75" s="158">
        <f>VLOOKUP($E$2,LIJV!B11:G46,6)</f>
        <v>3</v>
      </c>
      <c r="AB75" s="158">
        <f>VLOOKUP($E$2,LIJV!N11:S46,6)</f>
        <v>3</v>
      </c>
      <c r="AC75" s="158">
        <f>VLOOKUP($E$2,LIJV!Z11:AE46,6)</f>
        <v>0</v>
      </c>
    </row>
  </sheetData>
  <sheetProtection sheet="1" objects="1" scenarios="1"/>
  <mergeCells count="17">
    <mergeCell ref="A2:B2"/>
    <mergeCell ref="E31:F36"/>
    <mergeCell ref="F2:AA2"/>
    <mergeCell ref="G31:AD36"/>
    <mergeCell ref="AB2:AC2"/>
    <mergeCell ref="G38:AD43"/>
    <mergeCell ref="G45:AD50"/>
    <mergeCell ref="G52:AD57"/>
    <mergeCell ref="E38:F43"/>
    <mergeCell ref="E45:F50"/>
    <mergeCell ref="E52:F57"/>
    <mergeCell ref="R74:T74"/>
    <mergeCell ref="U74:W74"/>
    <mergeCell ref="X74:Z74"/>
    <mergeCell ref="AA74:AC74"/>
    <mergeCell ref="E59:F65"/>
    <mergeCell ref="G59:AD65"/>
  </mergeCells>
  <pageMargins left="0.78740157480314965" right="0.59055118110236227" top="0.59055118110236227" bottom="0" header="0.31496062992125984" footer="0.31496062992125984"/>
  <pageSetup paperSize="9" scale="37" orientation="portrait" horizontalDpi="4294967293" r:id="rId1"/>
  <headerFooter alignWithMargins="0">
    <oddFooter>&amp;R© www.meesterharrie.nl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CCCFF"/>
    <pageSetUpPr fitToPage="1"/>
  </sheetPr>
  <dimension ref="A1:AD75"/>
  <sheetViews>
    <sheetView showGridLines="0" showRowColHeaders="0" zoomScale="50" zoomScaleNormal="50" workbookViewId="0">
      <selection activeCell="E3" sqref="E3"/>
    </sheetView>
  </sheetViews>
  <sheetFormatPr defaultColWidth="9.1796875" defaultRowHeight="18" x14ac:dyDescent="0.5"/>
  <cols>
    <col min="1" max="1" width="6.1796875" style="35" bestFit="1" customWidth="1"/>
    <col min="2" max="2" width="30.81640625" style="36" customWidth="1"/>
    <col min="3" max="3" width="4" style="35" customWidth="1"/>
    <col min="4" max="25" width="8.81640625" style="35" customWidth="1"/>
    <col min="26" max="16384" width="9.1796875" style="35"/>
  </cols>
  <sheetData>
    <row r="1" spans="1:30" ht="18.5" thickBot="1" x14ac:dyDescent="0.55000000000000004"/>
    <row r="2" spans="1:30" s="34" customFormat="1" ht="32.5" thickBot="1" x14ac:dyDescent="0.85">
      <c r="A2" s="1010" t="s">
        <v>118</v>
      </c>
      <c r="B2" s="1011"/>
      <c r="D2" s="164"/>
      <c r="E2" s="167">
        <v>1</v>
      </c>
      <c r="F2" s="1012" t="str">
        <f>VLOOKUP($E$2,BEGINBLAD!B4:C39,2)</f>
        <v>leerling 1</v>
      </c>
      <c r="G2" s="1013"/>
      <c r="H2" s="1013"/>
      <c r="I2" s="1013"/>
      <c r="J2" s="1013"/>
      <c r="K2" s="1013"/>
      <c r="L2" s="1013"/>
      <c r="M2" s="1013"/>
      <c r="N2" s="1013"/>
      <c r="O2" s="1013"/>
      <c r="P2" s="1013"/>
      <c r="Q2" s="1013"/>
      <c r="R2" s="1013"/>
      <c r="S2" s="1013"/>
      <c r="T2" s="1013"/>
      <c r="U2" s="1013"/>
      <c r="V2" s="1013"/>
      <c r="W2" s="1013"/>
      <c r="X2" s="1013"/>
      <c r="Y2" s="1013"/>
      <c r="Z2" s="1013"/>
      <c r="AA2" s="1014"/>
      <c r="AB2" s="1015" t="s">
        <v>119</v>
      </c>
      <c r="AC2" s="1016"/>
      <c r="AD2" s="497">
        <f>VLOOKUP($E$2,BEGINBLAD!B4:D39,3)</f>
        <v>6</v>
      </c>
    </row>
    <row r="3" spans="1:30" ht="50.15" customHeight="1" x14ac:dyDescent="0.5"/>
    <row r="4" spans="1:30" ht="19.5" customHeight="1" x14ac:dyDescent="0.5">
      <c r="A4" s="125">
        <v>1</v>
      </c>
      <c r="B4" s="126" t="str">
        <f>BEGINBLAD!C4</f>
        <v>leerling 1</v>
      </c>
    </row>
    <row r="5" spans="1:30" x14ac:dyDescent="0.5">
      <c r="A5" s="125">
        <v>2</v>
      </c>
      <c r="B5" s="126" t="str">
        <f>BEGINBLAD!C5</f>
        <v>leerling 2</v>
      </c>
    </row>
    <row r="6" spans="1:30" x14ac:dyDescent="0.5">
      <c r="A6" s="125">
        <v>3</v>
      </c>
      <c r="B6" s="126" t="str">
        <f>BEGINBLAD!C6</f>
        <v>leerling 3</v>
      </c>
    </row>
    <row r="7" spans="1:30" x14ac:dyDescent="0.5">
      <c r="A7" s="125">
        <v>4</v>
      </c>
      <c r="B7" s="126" t="str">
        <f>BEGINBLAD!C7</f>
        <v>leerling 4</v>
      </c>
      <c r="E7" s="37"/>
      <c r="F7" s="37"/>
      <c r="G7" s="37"/>
      <c r="H7" s="37"/>
      <c r="I7" s="37"/>
      <c r="J7" s="37"/>
      <c r="K7" s="37"/>
      <c r="L7" s="37"/>
      <c r="M7" s="37"/>
      <c r="N7" s="37"/>
      <c r="O7" s="37"/>
      <c r="P7" s="37"/>
      <c r="Q7" s="37"/>
      <c r="R7" s="37"/>
    </row>
    <row r="8" spans="1:30" x14ac:dyDescent="0.5">
      <c r="A8" s="125">
        <v>5</v>
      </c>
      <c r="B8" s="126" t="str">
        <f>BEGINBLAD!C8</f>
        <v>leerling 5</v>
      </c>
      <c r="E8" s="37"/>
      <c r="F8" s="37"/>
      <c r="G8" s="37"/>
      <c r="H8" s="37"/>
      <c r="I8" s="37"/>
      <c r="J8" s="37"/>
      <c r="K8" s="37"/>
      <c r="L8" s="37"/>
      <c r="M8" s="37"/>
      <c r="N8" s="37"/>
      <c r="O8" s="37"/>
      <c r="P8" s="37"/>
      <c r="Q8" s="37"/>
      <c r="R8" s="37"/>
    </row>
    <row r="9" spans="1:30" x14ac:dyDescent="0.5">
      <c r="A9" s="125">
        <v>6</v>
      </c>
      <c r="B9" s="126" t="str">
        <f>BEGINBLAD!C9</f>
        <v>leerling 6</v>
      </c>
      <c r="E9" s="37"/>
      <c r="F9" s="37"/>
      <c r="G9" s="37"/>
      <c r="H9" s="37"/>
      <c r="I9" s="37"/>
      <c r="J9" s="37"/>
      <c r="K9" s="37"/>
      <c r="L9" s="37"/>
      <c r="M9" s="37"/>
      <c r="N9" s="37"/>
      <c r="O9" s="37"/>
      <c r="P9" s="37"/>
      <c r="Q9" s="37"/>
      <c r="R9" s="37"/>
    </row>
    <row r="10" spans="1:30" x14ac:dyDescent="0.5">
      <c r="A10" s="125">
        <v>7</v>
      </c>
      <c r="B10" s="126" t="str">
        <f>BEGINBLAD!C10</f>
        <v>leerling 7</v>
      </c>
      <c r="E10" s="37"/>
      <c r="F10" s="37"/>
      <c r="G10" s="37"/>
      <c r="H10" s="37"/>
      <c r="I10" s="37"/>
      <c r="J10" s="37"/>
      <c r="K10" s="37"/>
      <c r="L10" s="37"/>
      <c r="M10" s="37"/>
      <c r="N10" s="37"/>
      <c r="O10" s="37"/>
      <c r="P10" s="37"/>
      <c r="Q10" s="37"/>
      <c r="R10" s="37"/>
    </row>
    <row r="11" spans="1:30" x14ac:dyDescent="0.5">
      <c r="A11" s="125">
        <v>8</v>
      </c>
      <c r="B11" s="126" t="str">
        <f>BEGINBLAD!C11</f>
        <v>leerling 8</v>
      </c>
      <c r="E11" s="37"/>
      <c r="F11" s="37"/>
      <c r="G11" s="37"/>
      <c r="H11" s="37"/>
      <c r="I11" s="37"/>
      <c r="J11" s="37"/>
      <c r="K11" s="37"/>
      <c r="L11" s="37"/>
      <c r="M11" s="37"/>
      <c r="N11" s="37"/>
      <c r="O11" s="37"/>
      <c r="P11" s="37"/>
      <c r="Q11" s="37"/>
      <c r="R11" s="37"/>
    </row>
    <row r="12" spans="1:30" x14ac:dyDescent="0.5">
      <c r="A12" s="125">
        <v>9</v>
      </c>
      <c r="B12" s="126">
        <f>BEGINBLAD!C12</f>
        <v>0</v>
      </c>
      <c r="E12" s="37"/>
      <c r="F12" s="37"/>
      <c r="G12" s="37"/>
      <c r="H12" s="154" t="s">
        <v>120</v>
      </c>
      <c r="I12" s="155" t="s">
        <v>141</v>
      </c>
      <c r="J12" s="156" t="s">
        <v>121</v>
      </c>
      <c r="K12" s="154" t="s">
        <v>122</v>
      </c>
      <c r="L12" s="155" t="s">
        <v>142</v>
      </c>
      <c r="M12" s="156" t="s">
        <v>121</v>
      </c>
      <c r="N12" s="154" t="s">
        <v>123</v>
      </c>
      <c r="O12" s="155" t="s">
        <v>143</v>
      </c>
      <c r="P12" s="156" t="s">
        <v>121</v>
      </c>
      <c r="Q12" s="154" t="s">
        <v>124</v>
      </c>
      <c r="R12" s="155" t="s">
        <v>144</v>
      </c>
      <c r="S12" s="156" t="s">
        <v>121</v>
      </c>
      <c r="T12" s="154" t="s">
        <v>125</v>
      </c>
      <c r="U12" s="155" t="s">
        <v>145</v>
      </c>
      <c r="V12" s="156" t="s">
        <v>121</v>
      </c>
      <c r="W12" s="36" t="s">
        <v>126</v>
      </c>
      <c r="X12" s="36"/>
    </row>
    <row r="13" spans="1:30" x14ac:dyDescent="0.5">
      <c r="A13" s="125">
        <v>10</v>
      </c>
      <c r="B13" s="126">
        <f>BEGINBLAD!C13</f>
        <v>0</v>
      </c>
      <c r="E13" s="38"/>
      <c r="F13" s="38"/>
      <c r="G13" s="38"/>
      <c r="H13" s="152">
        <f>VLOOKUP($E$2,'NIVEAU WAARDE - vorig jaar'!$B$9:$H$44,3)</f>
        <v>4.2</v>
      </c>
      <c r="I13" s="152">
        <f>VLOOKUP($E$2,'NIVEAU WAARDE - 1e toetsperiode'!$B$9:$H$44,3)</f>
        <v>3.8</v>
      </c>
      <c r="J13" s="152">
        <v>5</v>
      </c>
      <c r="K13" s="152">
        <f>VLOOKUP($E$2,'NIVEAU WAARDE - vorig jaar'!$B$9:$H$44,4)</f>
        <v>4.5999999999999996</v>
      </c>
      <c r="L13" s="152">
        <f>VLOOKUP($E$2,'NIVEAU WAARDE - 1e toetsperiode'!$B$9:$H$44,4)</f>
        <v>3.9</v>
      </c>
      <c r="M13" s="152">
        <v>5</v>
      </c>
      <c r="N13" s="152">
        <f>VLOOKUP($E$2,'NIVEAU WAARDE - vorig jaar'!$B$9:$H$44,5)</f>
        <v>4.5999999999999996</v>
      </c>
      <c r="O13" s="152">
        <f>VLOOKUP($E$2,'NIVEAU WAARDE - 1e toetsperiode'!$B$9:$H$44,5)</f>
        <v>4.3</v>
      </c>
      <c r="P13" s="152">
        <v>5</v>
      </c>
      <c r="Q13" s="152">
        <f>VLOOKUP($E$2,'NIVEAU WAARDE - vorig jaar'!$B$9:$H$44,6)</f>
        <v>4.3</v>
      </c>
      <c r="R13" s="152">
        <f>VLOOKUP($E$2,'NIVEAU WAARDE - 1e toetsperiode'!$B$9:$H$44,6)</f>
        <v>4.5999999999999996</v>
      </c>
      <c r="S13" s="152">
        <v>5</v>
      </c>
      <c r="T13" s="152">
        <f>VLOOKUP($E$2,'NIVEAU WAARDE - vorig jaar'!$B$9:$H$44,7)</f>
        <v>4.2</v>
      </c>
      <c r="U13" s="152">
        <f>VLOOKUP($E$2,'NIVEAU WAARDE - 1e toetsperiode'!$B$9:$H$44,7)</f>
        <v>4.4000000000000004</v>
      </c>
      <c r="V13" s="153">
        <v>5</v>
      </c>
      <c r="W13" s="152">
        <f>Y13/X13</f>
        <v>4.2900000000000009</v>
      </c>
      <c r="X13" s="152">
        <f>COUNTIF(H13:V13,"&gt;0")-5</f>
        <v>10</v>
      </c>
      <c r="Y13" s="152">
        <f>H13+I13+K13+L13+N13+O13+Q13+R13+T13+U13</f>
        <v>42.900000000000006</v>
      </c>
      <c r="Z13" s="151"/>
    </row>
    <row r="14" spans="1:30" x14ac:dyDescent="0.5">
      <c r="A14" s="125">
        <v>11</v>
      </c>
      <c r="B14" s="126">
        <f>BEGINBLAD!C14</f>
        <v>0</v>
      </c>
      <c r="H14" s="36">
        <f>H13*2</f>
        <v>8.4</v>
      </c>
      <c r="I14" s="36">
        <f t="shared" ref="I14:W14" si="0">I13*2</f>
        <v>7.6</v>
      </c>
      <c r="J14" s="36">
        <f t="shared" si="0"/>
        <v>10</v>
      </c>
      <c r="K14" s="36">
        <f t="shared" si="0"/>
        <v>9.1999999999999993</v>
      </c>
      <c r="L14" s="36">
        <f t="shared" si="0"/>
        <v>7.8</v>
      </c>
      <c r="M14" s="36">
        <f t="shared" si="0"/>
        <v>10</v>
      </c>
      <c r="N14" s="36">
        <f t="shared" si="0"/>
        <v>9.1999999999999993</v>
      </c>
      <c r="O14" s="36">
        <f t="shared" si="0"/>
        <v>8.6</v>
      </c>
      <c r="P14" s="36">
        <f t="shared" si="0"/>
        <v>10</v>
      </c>
      <c r="Q14" s="36">
        <f t="shared" si="0"/>
        <v>8.6</v>
      </c>
      <c r="R14" s="36">
        <f t="shared" si="0"/>
        <v>9.1999999999999993</v>
      </c>
      <c r="S14" s="36">
        <f t="shared" si="0"/>
        <v>10</v>
      </c>
      <c r="T14" s="36">
        <f t="shared" si="0"/>
        <v>8.4</v>
      </c>
      <c r="U14" s="36">
        <f t="shared" si="0"/>
        <v>8.8000000000000007</v>
      </c>
      <c r="V14" s="36">
        <f t="shared" si="0"/>
        <v>10</v>
      </c>
      <c r="W14" s="152">
        <f t="shared" si="0"/>
        <v>8.5800000000000018</v>
      </c>
      <c r="X14" s="36"/>
      <c r="Y14" s="36"/>
    </row>
    <row r="15" spans="1:30" x14ac:dyDescent="0.5">
      <c r="A15" s="125">
        <v>12</v>
      </c>
      <c r="B15" s="126">
        <f>BEGINBLAD!C15</f>
        <v>0</v>
      </c>
    </row>
    <row r="16" spans="1:30" x14ac:dyDescent="0.5">
      <c r="A16" s="125">
        <v>13</v>
      </c>
      <c r="B16" s="126">
        <f>BEGINBLAD!C16</f>
        <v>0</v>
      </c>
      <c r="E16" s="37"/>
      <c r="F16" s="37"/>
      <c r="G16" s="37"/>
      <c r="H16" s="37"/>
      <c r="I16" s="37"/>
      <c r="J16" s="37"/>
      <c r="K16" s="37"/>
      <c r="L16" s="37"/>
      <c r="M16" s="37"/>
      <c r="N16" s="37"/>
      <c r="O16" s="37"/>
      <c r="P16" s="37"/>
      <c r="Q16" s="37"/>
      <c r="R16" s="37"/>
    </row>
    <row r="17" spans="1:30" x14ac:dyDescent="0.5">
      <c r="A17" s="125">
        <v>14</v>
      </c>
      <c r="B17" s="126">
        <f>BEGINBLAD!C17</f>
        <v>0</v>
      </c>
      <c r="E17" s="37"/>
      <c r="F17" s="37"/>
      <c r="G17" s="37"/>
      <c r="H17" s="37"/>
      <c r="I17" s="37"/>
      <c r="J17" s="37"/>
      <c r="K17" s="37"/>
      <c r="L17" s="37"/>
      <c r="M17" s="37"/>
      <c r="N17" s="37"/>
      <c r="O17" s="37"/>
      <c r="P17" s="37"/>
      <c r="Q17" s="37"/>
      <c r="R17" s="37"/>
    </row>
    <row r="18" spans="1:30" x14ac:dyDescent="0.5">
      <c r="A18" s="125">
        <v>15</v>
      </c>
      <c r="B18" s="126">
        <f>BEGINBLAD!C18</f>
        <v>0</v>
      </c>
      <c r="E18" s="38"/>
      <c r="F18" s="37"/>
      <c r="G18" s="37"/>
      <c r="H18" s="37"/>
      <c r="I18" s="37"/>
      <c r="J18" s="37"/>
      <c r="K18" s="37"/>
      <c r="L18" s="37"/>
      <c r="M18" s="37"/>
      <c r="N18" s="37"/>
      <c r="O18" s="37"/>
      <c r="P18" s="37"/>
      <c r="Q18" s="37"/>
      <c r="R18" s="37"/>
    </row>
    <row r="19" spans="1:30" x14ac:dyDescent="0.5">
      <c r="A19" s="125">
        <v>16</v>
      </c>
      <c r="B19" s="126">
        <f>BEGINBLAD!C19</f>
        <v>0</v>
      </c>
      <c r="E19" s="38"/>
      <c r="F19" s="38"/>
      <c r="G19" s="38"/>
      <c r="H19" s="38"/>
      <c r="I19" s="37"/>
      <c r="J19" s="38"/>
      <c r="K19" s="37"/>
      <c r="L19" s="37"/>
      <c r="M19" s="38"/>
      <c r="N19" s="37"/>
      <c r="O19" s="37"/>
      <c r="P19" s="37"/>
      <c r="Q19" s="37"/>
      <c r="R19" s="37"/>
    </row>
    <row r="20" spans="1:30" x14ac:dyDescent="0.5">
      <c r="A20" s="125">
        <v>17</v>
      </c>
      <c r="B20" s="126">
        <f>BEGINBLAD!C20</f>
        <v>0</v>
      </c>
      <c r="E20" s="39"/>
      <c r="F20" s="39"/>
      <c r="G20" s="40"/>
      <c r="H20" s="40"/>
      <c r="I20" s="37"/>
      <c r="J20" s="39"/>
      <c r="K20" s="37"/>
      <c r="L20" s="37"/>
      <c r="M20" s="40"/>
      <c r="N20" s="37"/>
      <c r="O20" s="37"/>
      <c r="P20" s="37"/>
      <c r="Q20" s="37"/>
      <c r="R20" s="37"/>
    </row>
    <row r="21" spans="1:30" x14ac:dyDescent="0.5">
      <c r="A21" s="125">
        <v>18</v>
      </c>
      <c r="B21" s="126">
        <f>BEGINBLAD!C21</f>
        <v>0</v>
      </c>
      <c r="E21" s="37"/>
      <c r="F21" s="37"/>
      <c r="G21" s="37"/>
      <c r="H21" s="37"/>
      <c r="I21" s="37"/>
      <c r="J21" s="37"/>
      <c r="K21" s="37"/>
      <c r="L21" s="37"/>
      <c r="M21" s="37"/>
      <c r="N21" s="37"/>
      <c r="O21" s="37"/>
      <c r="P21" s="37"/>
      <c r="Q21" s="37"/>
      <c r="R21" s="37"/>
    </row>
    <row r="22" spans="1:30" x14ac:dyDescent="0.5">
      <c r="A22" s="125">
        <v>19</v>
      </c>
      <c r="B22" s="126">
        <f>BEGINBLAD!C22</f>
        <v>0</v>
      </c>
      <c r="E22" s="37"/>
      <c r="F22" s="37"/>
      <c r="G22" s="37"/>
      <c r="H22" s="37"/>
      <c r="I22" s="37"/>
      <c r="J22" s="37"/>
      <c r="K22" s="37"/>
      <c r="L22" s="37"/>
      <c r="M22" s="37"/>
      <c r="N22" s="37"/>
      <c r="O22" s="37"/>
      <c r="P22" s="37"/>
      <c r="Q22" s="37"/>
      <c r="R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94" t="s">
        <v>127</v>
      </c>
      <c r="F31" s="995"/>
      <c r="G31" s="1017" t="s">
        <v>128</v>
      </c>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9"/>
    </row>
    <row r="32" spans="1:30" x14ac:dyDescent="0.5">
      <c r="A32" s="125">
        <v>29</v>
      </c>
      <c r="B32" s="126">
        <f>BEGINBLAD!C32</f>
        <v>0</v>
      </c>
      <c r="E32" s="996"/>
      <c r="F32" s="997"/>
      <c r="G32" s="1020"/>
      <c r="H32" s="1021"/>
      <c r="I32" s="1021"/>
      <c r="J32" s="1021"/>
      <c r="K32" s="1021"/>
      <c r="L32" s="1021"/>
      <c r="M32" s="1021"/>
      <c r="N32" s="1021"/>
      <c r="O32" s="1021"/>
      <c r="P32" s="1021"/>
      <c r="Q32" s="1021"/>
      <c r="R32" s="1021"/>
      <c r="S32" s="1021"/>
      <c r="T32" s="1021"/>
      <c r="U32" s="1021"/>
      <c r="V32" s="1021"/>
      <c r="W32" s="1021"/>
      <c r="X32" s="1021"/>
      <c r="Y32" s="1021"/>
      <c r="Z32" s="1021"/>
      <c r="AA32" s="1021"/>
      <c r="AB32" s="1021"/>
      <c r="AC32" s="1021"/>
      <c r="AD32" s="1022"/>
    </row>
    <row r="33" spans="1:30" x14ac:dyDescent="0.5">
      <c r="A33" s="125">
        <v>30</v>
      </c>
      <c r="B33" s="126">
        <f>BEGINBLAD!C33</f>
        <v>0</v>
      </c>
      <c r="E33" s="996"/>
      <c r="F33" s="997"/>
      <c r="G33" s="1020"/>
      <c r="H33" s="1021"/>
      <c r="I33" s="1021"/>
      <c r="J33" s="1021"/>
      <c r="K33" s="1021"/>
      <c r="L33" s="1021"/>
      <c r="M33" s="1021"/>
      <c r="N33" s="1021"/>
      <c r="O33" s="1021"/>
      <c r="P33" s="1021"/>
      <c r="Q33" s="1021"/>
      <c r="R33" s="1021"/>
      <c r="S33" s="1021"/>
      <c r="T33" s="1021"/>
      <c r="U33" s="1021"/>
      <c r="V33" s="1021"/>
      <c r="W33" s="1021"/>
      <c r="X33" s="1021"/>
      <c r="Y33" s="1021"/>
      <c r="Z33" s="1021"/>
      <c r="AA33" s="1021"/>
      <c r="AB33" s="1021"/>
      <c r="AC33" s="1021"/>
      <c r="AD33" s="1022"/>
    </row>
    <row r="34" spans="1:30" x14ac:dyDescent="0.5">
      <c r="A34" s="125">
        <v>31</v>
      </c>
      <c r="B34" s="126">
        <f>BEGINBLAD!C34</f>
        <v>0</v>
      </c>
      <c r="E34" s="996"/>
      <c r="F34" s="997"/>
      <c r="G34" s="1020"/>
      <c r="H34" s="1021"/>
      <c r="I34" s="1021"/>
      <c r="J34" s="1021"/>
      <c r="K34" s="1021"/>
      <c r="L34" s="1021"/>
      <c r="M34" s="1021"/>
      <c r="N34" s="1021"/>
      <c r="O34" s="1021"/>
      <c r="P34" s="1021"/>
      <c r="Q34" s="1021"/>
      <c r="R34" s="1021"/>
      <c r="S34" s="1021"/>
      <c r="T34" s="1021"/>
      <c r="U34" s="1021"/>
      <c r="V34" s="1021"/>
      <c r="W34" s="1021"/>
      <c r="X34" s="1021"/>
      <c r="Y34" s="1021"/>
      <c r="Z34" s="1021"/>
      <c r="AA34" s="1021"/>
      <c r="AB34" s="1021"/>
      <c r="AC34" s="1021"/>
      <c r="AD34" s="1022"/>
    </row>
    <row r="35" spans="1:30" x14ac:dyDescent="0.5">
      <c r="A35" s="125">
        <v>32</v>
      </c>
      <c r="B35" s="126">
        <f>BEGINBLAD!C35</f>
        <v>0</v>
      </c>
      <c r="E35" s="996"/>
      <c r="F35" s="997"/>
      <c r="G35" s="1020"/>
      <c r="H35" s="1021"/>
      <c r="I35" s="1021"/>
      <c r="J35" s="1021"/>
      <c r="K35" s="1021"/>
      <c r="L35" s="1021"/>
      <c r="M35" s="1021"/>
      <c r="N35" s="1021"/>
      <c r="O35" s="1021"/>
      <c r="P35" s="1021"/>
      <c r="Q35" s="1021"/>
      <c r="R35" s="1021"/>
      <c r="S35" s="1021"/>
      <c r="T35" s="1021"/>
      <c r="U35" s="1021"/>
      <c r="V35" s="1021"/>
      <c r="W35" s="1021"/>
      <c r="X35" s="1021"/>
      <c r="Y35" s="1021"/>
      <c r="Z35" s="1021"/>
      <c r="AA35" s="1021"/>
      <c r="AB35" s="1021"/>
      <c r="AC35" s="1021"/>
      <c r="AD35" s="1022"/>
    </row>
    <row r="36" spans="1:30" ht="18.5" thickBot="1" x14ac:dyDescent="0.55000000000000004">
      <c r="A36" s="125">
        <v>33</v>
      </c>
      <c r="B36" s="126">
        <f>BEGINBLAD!C36</f>
        <v>0</v>
      </c>
      <c r="E36" s="998"/>
      <c r="F36" s="999"/>
      <c r="G36" s="1023"/>
      <c r="H36" s="1024"/>
      <c r="I36" s="1024"/>
      <c r="J36" s="1024"/>
      <c r="K36" s="1024"/>
      <c r="L36" s="1024"/>
      <c r="M36" s="1024"/>
      <c r="N36" s="1024"/>
      <c r="O36" s="1024"/>
      <c r="P36" s="1024"/>
      <c r="Q36" s="1024"/>
      <c r="R36" s="1024"/>
      <c r="S36" s="1024"/>
      <c r="T36" s="1024"/>
      <c r="U36" s="1024"/>
      <c r="V36" s="1024"/>
      <c r="W36" s="1024"/>
      <c r="X36" s="1024"/>
      <c r="Y36" s="1024"/>
      <c r="Z36" s="1024"/>
      <c r="AA36" s="1024"/>
      <c r="AB36" s="1024"/>
      <c r="AC36" s="1024"/>
      <c r="AD36" s="1025"/>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94" t="s">
        <v>129</v>
      </c>
      <c r="F38" s="995"/>
      <c r="G38" s="1009" t="s">
        <v>130</v>
      </c>
      <c r="H38" s="1001"/>
      <c r="I38" s="1001"/>
      <c r="J38" s="1001"/>
      <c r="K38" s="1001"/>
      <c r="L38" s="1001"/>
      <c r="M38" s="1001"/>
      <c r="N38" s="1001"/>
      <c r="O38" s="1001"/>
      <c r="P38" s="1001"/>
      <c r="Q38" s="1001"/>
      <c r="R38" s="1001"/>
      <c r="S38" s="1001"/>
      <c r="T38" s="1001"/>
      <c r="U38" s="1001"/>
      <c r="V38" s="1001"/>
      <c r="W38" s="1001"/>
      <c r="X38" s="1001"/>
      <c r="Y38" s="1001"/>
      <c r="Z38" s="1001"/>
      <c r="AA38" s="1001"/>
      <c r="AB38" s="1001"/>
      <c r="AC38" s="1001"/>
      <c r="AD38" s="1002"/>
    </row>
    <row r="39" spans="1:30" ht="19.5" customHeight="1" x14ac:dyDescent="0.5">
      <c r="A39" s="125">
        <v>36</v>
      </c>
      <c r="B39" s="126">
        <f>BEGINBLAD!C39</f>
        <v>0</v>
      </c>
      <c r="E39" s="996"/>
      <c r="F39" s="997"/>
      <c r="G39" s="1003"/>
      <c r="H39" s="1004"/>
      <c r="I39" s="1004"/>
      <c r="J39" s="1004"/>
      <c r="K39" s="1004"/>
      <c r="L39" s="1004"/>
      <c r="M39" s="1004"/>
      <c r="N39" s="1004"/>
      <c r="O39" s="1004"/>
      <c r="P39" s="1004"/>
      <c r="Q39" s="1004"/>
      <c r="R39" s="1004"/>
      <c r="S39" s="1004"/>
      <c r="T39" s="1004"/>
      <c r="U39" s="1004"/>
      <c r="V39" s="1004"/>
      <c r="W39" s="1004"/>
      <c r="X39" s="1004"/>
      <c r="Y39" s="1004"/>
      <c r="Z39" s="1004"/>
      <c r="AA39" s="1004"/>
      <c r="AB39" s="1004"/>
      <c r="AC39" s="1004"/>
      <c r="AD39" s="1005"/>
    </row>
    <row r="40" spans="1:30" ht="19.5" customHeight="1" x14ac:dyDescent="0.5">
      <c r="E40" s="996"/>
      <c r="F40" s="997"/>
      <c r="G40" s="1003"/>
      <c r="H40" s="1004"/>
      <c r="I40" s="1004"/>
      <c r="J40" s="1004"/>
      <c r="K40" s="1004"/>
      <c r="L40" s="1004"/>
      <c r="M40" s="1004"/>
      <c r="N40" s="1004"/>
      <c r="O40" s="1004"/>
      <c r="P40" s="1004"/>
      <c r="Q40" s="1004"/>
      <c r="R40" s="1004"/>
      <c r="S40" s="1004"/>
      <c r="T40" s="1004"/>
      <c r="U40" s="1004"/>
      <c r="V40" s="1004"/>
      <c r="W40" s="1004"/>
      <c r="X40" s="1004"/>
      <c r="Y40" s="1004"/>
      <c r="Z40" s="1004"/>
      <c r="AA40" s="1004"/>
      <c r="AB40" s="1004"/>
      <c r="AC40" s="1004"/>
      <c r="AD40" s="1005"/>
    </row>
    <row r="41" spans="1:30" ht="19.5" customHeight="1" x14ac:dyDescent="0.5">
      <c r="E41" s="996"/>
      <c r="F41" s="997"/>
      <c r="G41" s="1003"/>
      <c r="H41" s="1004"/>
      <c r="I41" s="1004"/>
      <c r="J41" s="1004"/>
      <c r="K41" s="1004"/>
      <c r="L41" s="1004"/>
      <c r="M41" s="1004"/>
      <c r="N41" s="1004"/>
      <c r="O41" s="1004"/>
      <c r="P41" s="1004"/>
      <c r="Q41" s="1004"/>
      <c r="R41" s="1004"/>
      <c r="S41" s="1004"/>
      <c r="T41" s="1004"/>
      <c r="U41" s="1004"/>
      <c r="V41" s="1004"/>
      <c r="W41" s="1004"/>
      <c r="X41" s="1004"/>
      <c r="Y41" s="1004"/>
      <c r="Z41" s="1004"/>
      <c r="AA41" s="1004"/>
      <c r="AB41" s="1004"/>
      <c r="AC41" s="1004"/>
      <c r="AD41" s="1005"/>
    </row>
    <row r="42" spans="1:30" ht="19.5" customHeight="1" x14ac:dyDescent="0.5">
      <c r="E42" s="996"/>
      <c r="F42" s="997"/>
      <c r="G42" s="1003"/>
      <c r="H42" s="1004"/>
      <c r="I42" s="1004"/>
      <c r="J42" s="1004"/>
      <c r="K42" s="1004"/>
      <c r="L42" s="1004"/>
      <c r="M42" s="1004"/>
      <c r="N42" s="1004"/>
      <c r="O42" s="1004"/>
      <c r="P42" s="1004"/>
      <c r="Q42" s="1004"/>
      <c r="R42" s="1004"/>
      <c r="S42" s="1004"/>
      <c r="T42" s="1004"/>
      <c r="U42" s="1004"/>
      <c r="V42" s="1004"/>
      <c r="W42" s="1004"/>
      <c r="X42" s="1004"/>
      <c r="Y42" s="1004"/>
      <c r="Z42" s="1004"/>
      <c r="AA42" s="1004"/>
      <c r="AB42" s="1004"/>
      <c r="AC42" s="1004"/>
      <c r="AD42" s="1005"/>
    </row>
    <row r="43" spans="1:30" ht="19.5" customHeight="1" thickBot="1" x14ac:dyDescent="0.55000000000000004">
      <c r="E43" s="998"/>
      <c r="F43" s="999"/>
      <c r="G43" s="1006"/>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D43" s="1008"/>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94" t="s">
        <v>131</v>
      </c>
      <c r="F45" s="995"/>
      <c r="G45" s="1009" t="s">
        <v>132</v>
      </c>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2"/>
    </row>
    <row r="46" spans="1:30" ht="19.5" customHeight="1" x14ac:dyDescent="0.5">
      <c r="E46" s="996"/>
      <c r="F46" s="997"/>
      <c r="G46" s="1003"/>
      <c r="H46" s="1004"/>
      <c r="I46" s="1004"/>
      <c r="J46" s="1004"/>
      <c r="K46" s="1004"/>
      <c r="L46" s="1004"/>
      <c r="M46" s="1004"/>
      <c r="N46" s="1004"/>
      <c r="O46" s="1004"/>
      <c r="P46" s="1004"/>
      <c r="Q46" s="1004"/>
      <c r="R46" s="1004"/>
      <c r="S46" s="1004"/>
      <c r="T46" s="1004"/>
      <c r="U46" s="1004"/>
      <c r="V46" s="1004"/>
      <c r="W46" s="1004"/>
      <c r="X46" s="1004"/>
      <c r="Y46" s="1004"/>
      <c r="Z46" s="1004"/>
      <c r="AA46" s="1004"/>
      <c r="AB46" s="1004"/>
      <c r="AC46" s="1004"/>
      <c r="AD46" s="1005"/>
    </row>
    <row r="47" spans="1:30" ht="19.5" customHeight="1" x14ac:dyDescent="0.5">
      <c r="E47" s="996"/>
      <c r="F47" s="997"/>
      <c r="G47" s="1003"/>
      <c r="H47" s="1004"/>
      <c r="I47" s="1004"/>
      <c r="J47" s="1004"/>
      <c r="K47" s="1004"/>
      <c r="L47" s="1004"/>
      <c r="M47" s="1004"/>
      <c r="N47" s="1004"/>
      <c r="O47" s="1004"/>
      <c r="P47" s="1004"/>
      <c r="Q47" s="1004"/>
      <c r="R47" s="1004"/>
      <c r="S47" s="1004"/>
      <c r="T47" s="1004"/>
      <c r="U47" s="1004"/>
      <c r="V47" s="1004"/>
      <c r="W47" s="1004"/>
      <c r="X47" s="1004"/>
      <c r="Y47" s="1004"/>
      <c r="Z47" s="1004"/>
      <c r="AA47" s="1004"/>
      <c r="AB47" s="1004"/>
      <c r="AC47" s="1004"/>
      <c r="AD47" s="1005"/>
    </row>
    <row r="48" spans="1:30" ht="19.5" customHeight="1" x14ac:dyDescent="0.5">
      <c r="E48" s="996"/>
      <c r="F48" s="997"/>
      <c r="G48" s="1003"/>
      <c r="H48" s="1004"/>
      <c r="I48" s="1004"/>
      <c r="J48" s="1004"/>
      <c r="K48" s="1004"/>
      <c r="L48" s="1004"/>
      <c r="M48" s="1004"/>
      <c r="N48" s="1004"/>
      <c r="O48" s="1004"/>
      <c r="P48" s="1004"/>
      <c r="Q48" s="1004"/>
      <c r="R48" s="1004"/>
      <c r="S48" s="1004"/>
      <c r="T48" s="1004"/>
      <c r="U48" s="1004"/>
      <c r="V48" s="1004"/>
      <c r="W48" s="1004"/>
      <c r="X48" s="1004"/>
      <c r="Y48" s="1004"/>
      <c r="Z48" s="1004"/>
      <c r="AA48" s="1004"/>
      <c r="AB48" s="1004"/>
      <c r="AC48" s="1004"/>
      <c r="AD48" s="1005"/>
    </row>
    <row r="49" spans="5:30" ht="19.5" customHeight="1" x14ac:dyDescent="0.5">
      <c r="E49" s="996"/>
      <c r="F49" s="997"/>
      <c r="G49" s="1003"/>
      <c r="H49" s="1004"/>
      <c r="I49" s="1004"/>
      <c r="J49" s="1004"/>
      <c r="K49" s="1004"/>
      <c r="L49" s="1004"/>
      <c r="M49" s="1004"/>
      <c r="N49" s="1004"/>
      <c r="O49" s="1004"/>
      <c r="P49" s="1004"/>
      <c r="Q49" s="1004"/>
      <c r="R49" s="1004"/>
      <c r="S49" s="1004"/>
      <c r="T49" s="1004"/>
      <c r="U49" s="1004"/>
      <c r="V49" s="1004"/>
      <c r="W49" s="1004"/>
      <c r="X49" s="1004"/>
      <c r="Y49" s="1004"/>
      <c r="Z49" s="1004"/>
      <c r="AA49" s="1004"/>
      <c r="AB49" s="1004"/>
      <c r="AC49" s="1004"/>
      <c r="AD49" s="1005"/>
    </row>
    <row r="50" spans="5:30" ht="19.5" customHeight="1" thickBot="1" x14ac:dyDescent="0.55000000000000004">
      <c r="E50" s="998"/>
      <c r="F50" s="999"/>
      <c r="G50" s="1006"/>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8"/>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94" t="s">
        <v>133</v>
      </c>
      <c r="F52" s="995"/>
      <c r="G52" s="1009" t="s">
        <v>134</v>
      </c>
      <c r="H52" s="1001"/>
      <c r="I52" s="1001"/>
      <c r="J52" s="1001"/>
      <c r="K52" s="1001"/>
      <c r="L52" s="1001"/>
      <c r="M52" s="1001"/>
      <c r="N52" s="1001"/>
      <c r="O52" s="1001"/>
      <c r="P52" s="1001"/>
      <c r="Q52" s="1001"/>
      <c r="R52" s="1001"/>
      <c r="S52" s="1001"/>
      <c r="T52" s="1001"/>
      <c r="U52" s="1001"/>
      <c r="V52" s="1001"/>
      <c r="W52" s="1001"/>
      <c r="X52" s="1001"/>
      <c r="Y52" s="1001"/>
      <c r="Z52" s="1001"/>
      <c r="AA52" s="1001"/>
      <c r="AB52" s="1001"/>
      <c r="AC52" s="1001"/>
      <c r="AD52" s="1002"/>
    </row>
    <row r="53" spans="5:30" ht="19.5" customHeight="1" x14ac:dyDescent="0.5">
      <c r="E53" s="996"/>
      <c r="F53" s="997"/>
      <c r="G53" s="1003"/>
      <c r="H53" s="1004"/>
      <c r="I53" s="1004"/>
      <c r="J53" s="1004"/>
      <c r="K53" s="1004"/>
      <c r="L53" s="1004"/>
      <c r="M53" s="1004"/>
      <c r="N53" s="1004"/>
      <c r="O53" s="1004"/>
      <c r="P53" s="1004"/>
      <c r="Q53" s="1004"/>
      <c r="R53" s="1004"/>
      <c r="S53" s="1004"/>
      <c r="T53" s="1004"/>
      <c r="U53" s="1004"/>
      <c r="V53" s="1004"/>
      <c r="W53" s="1004"/>
      <c r="X53" s="1004"/>
      <c r="Y53" s="1004"/>
      <c r="Z53" s="1004"/>
      <c r="AA53" s="1004"/>
      <c r="AB53" s="1004"/>
      <c r="AC53" s="1004"/>
      <c r="AD53" s="1005"/>
    </row>
    <row r="54" spans="5:30" ht="19.5" customHeight="1" x14ac:dyDescent="0.5">
      <c r="E54" s="996"/>
      <c r="F54" s="997"/>
      <c r="G54" s="1003"/>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5"/>
    </row>
    <row r="55" spans="5:30" ht="19.5" customHeight="1" x14ac:dyDescent="0.5">
      <c r="E55" s="996"/>
      <c r="F55" s="997"/>
      <c r="G55" s="1003"/>
      <c r="H55" s="1004"/>
      <c r="I55" s="1004"/>
      <c r="J55" s="1004"/>
      <c r="K55" s="1004"/>
      <c r="L55" s="1004"/>
      <c r="M55" s="1004"/>
      <c r="N55" s="1004"/>
      <c r="O55" s="1004"/>
      <c r="P55" s="1004"/>
      <c r="Q55" s="1004"/>
      <c r="R55" s="1004"/>
      <c r="S55" s="1004"/>
      <c r="T55" s="1004"/>
      <c r="U55" s="1004"/>
      <c r="V55" s="1004"/>
      <c r="W55" s="1004"/>
      <c r="X55" s="1004"/>
      <c r="Y55" s="1004"/>
      <c r="Z55" s="1004"/>
      <c r="AA55" s="1004"/>
      <c r="AB55" s="1004"/>
      <c r="AC55" s="1004"/>
      <c r="AD55" s="1005"/>
    </row>
    <row r="56" spans="5:30" ht="19.5" customHeight="1" x14ac:dyDescent="0.5">
      <c r="E56" s="996"/>
      <c r="F56" s="997"/>
      <c r="G56" s="1003"/>
      <c r="H56" s="1004"/>
      <c r="I56" s="1004"/>
      <c r="J56" s="1004"/>
      <c r="K56" s="1004"/>
      <c r="L56" s="1004"/>
      <c r="M56" s="1004"/>
      <c r="N56" s="1004"/>
      <c r="O56" s="1004"/>
      <c r="P56" s="1004"/>
      <c r="Q56" s="1004"/>
      <c r="R56" s="1004"/>
      <c r="S56" s="1004"/>
      <c r="T56" s="1004"/>
      <c r="U56" s="1004"/>
      <c r="V56" s="1004"/>
      <c r="W56" s="1004"/>
      <c r="X56" s="1004"/>
      <c r="Y56" s="1004"/>
      <c r="Z56" s="1004"/>
      <c r="AA56" s="1004"/>
      <c r="AB56" s="1004"/>
      <c r="AC56" s="1004"/>
      <c r="AD56" s="1005"/>
    </row>
    <row r="57" spans="5:30" ht="19.5" customHeight="1" thickBot="1" x14ac:dyDescent="0.55000000000000004">
      <c r="E57" s="998"/>
      <c r="F57" s="999"/>
      <c r="G57" s="1006"/>
      <c r="H57" s="1007"/>
      <c r="I57" s="1007"/>
      <c r="J57" s="1007"/>
      <c r="K57" s="1007"/>
      <c r="L57" s="1007"/>
      <c r="M57" s="1007"/>
      <c r="N57" s="1007"/>
      <c r="O57" s="1007"/>
      <c r="P57" s="1007"/>
      <c r="Q57" s="1007"/>
      <c r="R57" s="1007"/>
      <c r="S57" s="1007"/>
      <c r="T57" s="1007"/>
      <c r="U57" s="1007"/>
      <c r="V57" s="1007"/>
      <c r="W57" s="1007"/>
      <c r="X57" s="1007"/>
      <c r="Y57" s="1007"/>
      <c r="Z57" s="1007"/>
      <c r="AA57" s="1007"/>
      <c r="AB57" s="1007"/>
      <c r="AC57" s="1007"/>
      <c r="AD57" s="1008"/>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94" t="s">
        <v>135</v>
      </c>
      <c r="F59" s="995"/>
      <c r="G59" s="1000" t="s">
        <v>136</v>
      </c>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2"/>
    </row>
    <row r="60" spans="5:30" ht="19.5" customHeight="1" x14ac:dyDescent="0.5">
      <c r="E60" s="996"/>
      <c r="F60" s="997"/>
      <c r="G60" s="1003"/>
      <c r="H60" s="1004"/>
      <c r="I60" s="1004"/>
      <c r="J60" s="1004"/>
      <c r="K60" s="1004"/>
      <c r="L60" s="1004"/>
      <c r="M60" s="1004"/>
      <c r="N60" s="1004"/>
      <c r="O60" s="1004"/>
      <c r="P60" s="1004"/>
      <c r="Q60" s="1004"/>
      <c r="R60" s="1004"/>
      <c r="S60" s="1004"/>
      <c r="T60" s="1004"/>
      <c r="U60" s="1004"/>
      <c r="V60" s="1004"/>
      <c r="W60" s="1004"/>
      <c r="X60" s="1004"/>
      <c r="Y60" s="1004"/>
      <c r="Z60" s="1004"/>
      <c r="AA60" s="1004"/>
      <c r="AB60" s="1004"/>
      <c r="AC60" s="1004"/>
      <c r="AD60" s="1005"/>
    </row>
    <row r="61" spans="5:30" ht="19.5" customHeight="1" x14ac:dyDescent="0.5">
      <c r="E61" s="996"/>
      <c r="F61" s="997"/>
      <c r="G61" s="1003"/>
      <c r="H61" s="1004"/>
      <c r="I61" s="1004"/>
      <c r="J61" s="1004"/>
      <c r="K61" s="1004"/>
      <c r="L61" s="1004"/>
      <c r="M61" s="1004"/>
      <c r="N61" s="1004"/>
      <c r="O61" s="1004"/>
      <c r="P61" s="1004"/>
      <c r="Q61" s="1004"/>
      <c r="R61" s="1004"/>
      <c r="S61" s="1004"/>
      <c r="T61" s="1004"/>
      <c r="U61" s="1004"/>
      <c r="V61" s="1004"/>
      <c r="W61" s="1004"/>
      <c r="X61" s="1004"/>
      <c r="Y61" s="1004"/>
      <c r="Z61" s="1004"/>
      <c r="AA61" s="1004"/>
      <c r="AB61" s="1004"/>
      <c r="AC61" s="1004"/>
      <c r="AD61" s="1005"/>
    </row>
    <row r="62" spans="5:30" ht="19.5" customHeight="1" x14ac:dyDescent="0.5">
      <c r="E62" s="996"/>
      <c r="F62" s="997"/>
      <c r="G62" s="1003"/>
      <c r="H62" s="1004"/>
      <c r="I62" s="1004"/>
      <c r="J62" s="1004"/>
      <c r="K62" s="1004"/>
      <c r="L62" s="1004"/>
      <c r="M62" s="1004"/>
      <c r="N62" s="1004"/>
      <c r="O62" s="1004"/>
      <c r="P62" s="1004"/>
      <c r="Q62" s="1004"/>
      <c r="R62" s="1004"/>
      <c r="S62" s="1004"/>
      <c r="T62" s="1004"/>
      <c r="U62" s="1004"/>
      <c r="V62" s="1004"/>
      <c r="W62" s="1004"/>
      <c r="X62" s="1004"/>
      <c r="Y62" s="1004"/>
      <c r="Z62" s="1004"/>
      <c r="AA62" s="1004"/>
      <c r="AB62" s="1004"/>
      <c r="AC62" s="1004"/>
      <c r="AD62" s="1005"/>
    </row>
    <row r="63" spans="5:30" ht="19.5" customHeight="1" x14ac:dyDescent="0.5">
      <c r="E63" s="996"/>
      <c r="F63" s="997"/>
      <c r="G63" s="1003"/>
      <c r="H63" s="1004"/>
      <c r="I63" s="1004"/>
      <c r="J63" s="1004"/>
      <c r="K63" s="1004"/>
      <c r="L63" s="1004"/>
      <c r="M63" s="1004"/>
      <c r="N63" s="1004"/>
      <c r="O63" s="1004"/>
      <c r="P63" s="1004"/>
      <c r="Q63" s="1004"/>
      <c r="R63" s="1004"/>
      <c r="S63" s="1004"/>
      <c r="T63" s="1004"/>
      <c r="U63" s="1004"/>
      <c r="V63" s="1004"/>
      <c r="W63" s="1004"/>
      <c r="X63" s="1004"/>
      <c r="Y63" s="1004"/>
      <c r="Z63" s="1004"/>
      <c r="AA63" s="1004"/>
      <c r="AB63" s="1004"/>
      <c r="AC63" s="1004"/>
      <c r="AD63" s="1005"/>
    </row>
    <row r="64" spans="5:30" ht="19.5" customHeight="1" x14ac:dyDescent="0.5">
      <c r="E64" s="996"/>
      <c r="F64" s="997"/>
      <c r="G64" s="1003"/>
      <c r="H64" s="1004"/>
      <c r="I64" s="1004"/>
      <c r="J64" s="1004"/>
      <c r="K64" s="1004"/>
      <c r="L64" s="1004"/>
      <c r="M64" s="1004"/>
      <c r="N64" s="1004"/>
      <c r="O64" s="1004"/>
      <c r="P64" s="1004"/>
      <c r="Q64" s="1004"/>
      <c r="R64" s="1004"/>
      <c r="S64" s="1004"/>
      <c r="T64" s="1004"/>
      <c r="U64" s="1004"/>
      <c r="V64" s="1004"/>
      <c r="W64" s="1004"/>
      <c r="X64" s="1004"/>
      <c r="Y64" s="1004"/>
      <c r="Z64" s="1004"/>
      <c r="AA64" s="1004"/>
      <c r="AB64" s="1004"/>
      <c r="AC64" s="1004"/>
      <c r="AD64" s="1005"/>
    </row>
    <row r="65" spans="5:30" ht="19.5" customHeight="1" thickBot="1" x14ac:dyDescent="0.55000000000000004">
      <c r="E65" s="998"/>
      <c r="F65" s="999"/>
      <c r="G65" s="1006"/>
      <c r="H65" s="1007"/>
      <c r="I65" s="1007"/>
      <c r="J65" s="1007"/>
      <c r="K65" s="1007"/>
      <c r="L65" s="1007"/>
      <c r="M65" s="1007"/>
      <c r="N65" s="1007"/>
      <c r="O65" s="1007"/>
      <c r="P65" s="1007"/>
      <c r="Q65" s="1007"/>
      <c r="R65" s="1007"/>
      <c r="S65" s="1007"/>
      <c r="T65" s="1007"/>
      <c r="U65" s="1007"/>
      <c r="V65" s="1007"/>
      <c r="W65" s="1007"/>
      <c r="X65" s="1007"/>
      <c r="Y65" s="1007"/>
      <c r="Z65" s="1007"/>
      <c r="AA65" s="1007"/>
      <c r="AB65" s="1007"/>
      <c r="AC65" s="1007"/>
      <c r="AD65" s="1008"/>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992" t="s">
        <v>137</v>
      </c>
      <c r="S74" s="992"/>
      <c r="T74" s="992"/>
      <c r="U74" s="993" t="s">
        <v>138</v>
      </c>
      <c r="V74" s="993"/>
      <c r="W74" s="993"/>
      <c r="X74" s="992" t="s">
        <v>139</v>
      </c>
      <c r="Y74" s="992"/>
      <c r="Z74" s="992"/>
      <c r="AA74" s="993" t="s">
        <v>140</v>
      </c>
      <c r="AB74" s="993"/>
      <c r="AC74" s="993"/>
    </row>
    <row r="75" spans="5:30" x14ac:dyDescent="0.5">
      <c r="R75" s="158">
        <f>VLOOKUP($E$2,LIJV!B11:G46,3)</f>
        <v>4</v>
      </c>
      <c r="S75" s="158">
        <f>VLOOKUP($E$2,LIJV!N11:S46,3)</f>
        <v>4</v>
      </c>
      <c r="T75" s="158">
        <f>VLOOKUP($E$2,LIJV!Z11:AE46,3)</f>
        <v>0</v>
      </c>
      <c r="U75" s="158">
        <f>VLOOKUP($E$2,LIJV!B11:G46,5)</f>
        <v>4</v>
      </c>
      <c r="V75" s="158">
        <f>VLOOKUP($E$2,LIJV!N11:S46,5)</f>
        <v>3</v>
      </c>
      <c r="W75" s="158">
        <f>VLOOKUP($E$2,LIJV!Z11:AE46,5)</f>
        <v>0</v>
      </c>
      <c r="X75" s="158">
        <f>VLOOKUP($E$2,LIJV!B11:G46,4)</f>
        <v>3</v>
      </c>
      <c r="Y75" s="158">
        <f>VLOOKUP($E$2,LIJV!N11:S46,4)</f>
        <v>3</v>
      </c>
      <c r="Z75" s="158">
        <f>VLOOKUP($E$2,LIJV!Z11:AE46,4)</f>
        <v>0</v>
      </c>
      <c r="AA75" s="158">
        <f>VLOOKUP($E$2,LIJV!B11:G46,6)</f>
        <v>3</v>
      </c>
      <c r="AB75" s="158">
        <f>VLOOKUP($E$2,LIJV!N11:S46,6)</f>
        <v>3</v>
      </c>
      <c r="AC75" s="158">
        <f>VLOOKUP($E$2,LIJV!Z11:AE46,6)</f>
        <v>0</v>
      </c>
    </row>
  </sheetData>
  <sheetProtection sheet="1" objects="1" scenarios="1"/>
  <mergeCells count="17">
    <mergeCell ref="A2:B2"/>
    <mergeCell ref="E31:F36"/>
    <mergeCell ref="F2:AA2"/>
    <mergeCell ref="G31:AD36"/>
    <mergeCell ref="AB2:AC2"/>
    <mergeCell ref="E38:F43"/>
    <mergeCell ref="E52:F57"/>
    <mergeCell ref="E59:F65"/>
    <mergeCell ref="E45:F50"/>
    <mergeCell ref="G45:AD50"/>
    <mergeCell ref="R74:T74"/>
    <mergeCell ref="U74:W74"/>
    <mergeCell ref="X74:Z74"/>
    <mergeCell ref="AA74:AC74"/>
    <mergeCell ref="G38:AD43"/>
    <mergeCell ref="G59:AD65"/>
    <mergeCell ref="G52:AD57"/>
  </mergeCells>
  <pageMargins left="0.78740157480314965" right="0.59055118110236227" top="0.59055118110236227" bottom="0" header="0.31496062992125984" footer="0.31496062992125984"/>
  <pageSetup paperSize="9" scale="37" orientation="portrait" horizontalDpi="4294967293" r:id="rId1"/>
  <headerFooter alignWithMargins="0">
    <oddFooter>&amp;R© www.meesterharrie.nl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CCCFF"/>
    <pageSetUpPr fitToPage="1"/>
  </sheetPr>
  <dimension ref="A1:AE75"/>
  <sheetViews>
    <sheetView showGridLines="0" showRowColHeaders="0" zoomScale="50" zoomScaleNormal="50" workbookViewId="0">
      <selection activeCell="AE9" sqref="AE9"/>
    </sheetView>
  </sheetViews>
  <sheetFormatPr defaultColWidth="9.1796875" defaultRowHeight="18" x14ac:dyDescent="0.5"/>
  <cols>
    <col min="1" max="1" width="6.1796875" style="35" bestFit="1" customWidth="1"/>
    <col min="2" max="2" width="30.81640625" style="36" customWidth="1"/>
    <col min="3" max="3" width="4" style="35" customWidth="1"/>
    <col min="4" max="30" width="8.81640625" style="35" customWidth="1"/>
    <col min="31" max="16384" width="9.1796875" style="35"/>
  </cols>
  <sheetData>
    <row r="1" spans="1:31" ht="18.5" thickBot="1" x14ac:dyDescent="0.55000000000000004"/>
    <row r="2" spans="1:31" s="34" customFormat="1" ht="32.5" thickBot="1" x14ac:dyDescent="0.85">
      <c r="A2" s="1010" t="s">
        <v>118</v>
      </c>
      <c r="B2" s="1011"/>
      <c r="D2" s="164"/>
      <c r="E2" s="167">
        <v>14</v>
      </c>
      <c r="F2" s="1012">
        <f>VLOOKUP($E$2,BEGINBLAD!B4:C39,2)</f>
        <v>0</v>
      </c>
      <c r="G2" s="1013"/>
      <c r="H2" s="1013"/>
      <c r="I2" s="1013"/>
      <c r="J2" s="1013"/>
      <c r="K2" s="1013"/>
      <c r="L2" s="1013"/>
      <c r="M2" s="1013"/>
      <c r="N2" s="1013"/>
      <c r="O2" s="1013"/>
      <c r="P2" s="1013"/>
      <c r="Q2" s="1013"/>
      <c r="R2" s="1013"/>
      <c r="S2" s="1013"/>
      <c r="T2" s="1013"/>
      <c r="U2" s="1013"/>
      <c r="V2" s="1013"/>
      <c r="W2" s="1013"/>
      <c r="X2" s="1013"/>
      <c r="Y2" s="1013"/>
      <c r="Z2" s="1013"/>
      <c r="AA2" s="1014"/>
      <c r="AB2" s="1015" t="s">
        <v>119</v>
      </c>
      <c r="AC2" s="1016"/>
      <c r="AD2" s="497">
        <f>VLOOKUP($E$2,BEGINBLAD!B4:D39,3)</f>
        <v>0</v>
      </c>
    </row>
    <row r="3" spans="1:31" ht="50.15" customHeight="1" x14ac:dyDescent="0.5"/>
    <row r="4" spans="1:31" ht="19.5" customHeight="1" x14ac:dyDescent="0.5">
      <c r="A4" s="125">
        <v>1</v>
      </c>
      <c r="B4" s="126" t="str">
        <f>BEGINBLAD!C4</f>
        <v>leerling 1</v>
      </c>
    </row>
    <row r="5" spans="1:31" x14ac:dyDescent="0.5">
      <c r="A5" s="125">
        <v>2</v>
      </c>
      <c r="B5" s="126" t="str">
        <f>BEGINBLAD!C5</f>
        <v>leerling 2</v>
      </c>
    </row>
    <row r="6" spans="1:31" x14ac:dyDescent="0.5">
      <c r="A6" s="125">
        <v>3</v>
      </c>
      <c r="B6" s="126" t="str">
        <f>BEGINBLAD!C6</f>
        <v>leerling 3</v>
      </c>
    </row>
    <row r="7" spans="1:31" x14ac:dyDescent="0.5">
      <c r="A7" s="125">
        <v>4</v>
      </c>
      <c r="B7" s="126" t="str">
        <f>BEGINBLAD!C7</f>
        <v>leerling 4</v>
      </c>
      <c r="E7" s="37"/>
      <c r="F7" s="37"/>
      <c r="G7" s="37"/>
      <c r="H7" s="37"/>
      <c r="I7" s="37"/>
      <c r="J7" s="37"/>
      <c r="K7" s="37"/>
      <c r="L7" s="37"/>
      <c r="M7" s="37"/>
      <c r="N7" s="37"/>
      <c r="O7" s="37"/>
      <c r="P7" s="37"/>
      <c r="Q7" s="37"/>
      <c r="R7" s="37"/>
      <c r="S7" s="37"/>
      <c r="T7" s="37"/>
      <c r="U7" s="37"/>
    </row>
    <row r="8" spans="1:31" x14ac:dyDescent="0.5">
      <c r="A8" s="125">
        <v>5</v>
      </c>
      <c r="B8" s="126" t="str">
        <f>BEGINBLAD!C8</f>
        <v>leerling 5</v>
      </c>
      <c r="E8" s="37"/>
      <c r="F8" s="37"/>
      <c r="G8" s="37"/>
      <c r="H8" s="37"/>
      <c r="I8" s="37"/>
      <c r="J8" s="37"/>
      <c r="K8" s="37"/>
      <c r="L8" s="37"/>
      <c r="M8" s="37"/>
      <c r="N8" s="37"/>
      <c r="O8" s="37"/>
      <c r="P8" s="37"/>
      <c r="Q8" s="37"/>
      <c r="R8" s="37"/>
      <c r="S8" s="37"/>
      <c r="T8" s="37"/>
      <c r="U8" s="37"/>
    </row>
    <row r="9" spans="1:31" x14ac:dyDescent="0.5">
      <c r="A9" s="125">
        <v>6</v>
      </c>
      <c r="B9" s="126" t="str">
        <f>BEGINBLAD!C9</f>
        <v>leerling 6</v>
      </c>
      <c r="E9" s="37"/>
      <c r="F9" s="37"/>
      <c r="G9" s="37"/>
      <c r="H9" s="37"/>
      <c r="I9" s="37"/>
      <c r="J9" s="37"/>
      <c r="K9" s="37"/>
      <c r="L9" s="37"/>
      <c r="M9" s="37"/>
      <c r="N9" s="37"/>
      <c r="O9" s="37"/>
      <c r="P9" s="37"/>
      <c r="Q9" s="37"/>
      <c r="R9" s="37"/>
      <c r="S9" s="37"/>
      <c r="T9" s="37"/>
      <c r="U9" s="37"/>
    </row>
    <row r="10" spans="1:31" x14ac:dyDescent="0.5">
      <c r="A10" s="125">
        <v>7</v>
      </c>
      <c r="B10" s="126" t="str">
        <f>BEGINBLAD!C10</f>
        <v>leerling 7</v>
      </c>
      <c r="E10" s="37"/>
      <c r="F10" s="37"/>
      <c r="G10" s="37"/>
      <c r="H10" s="37"/>
      <c r="I10" s="37"/>
      <c r="J10" s="37"/>
      <c r="K10" s="37"/>
      <c r="L10" s="37"/>
      <c r="M10" s="37"/>
      <c r="N10" s="37"/>
      <c r="O10" s="37"/>
      <c r="P10" s="37"/>
      <c r="Q10" s="37"/>
      <c r="R10" s="37"/>
      <c r="S10" s="37"/>
      <c r="T10" s="37"/>
      <c r="U10" s="37"/>
    </row>
    <row r="11" spans="1:31" x14ac:dyDescent="0.5">
      <c r="A11" s="125">
        <v>8</v>
      </c>
      <c r="B11" s="126" t="str">
        <f>BEGINBLAD!C11</f>
        <v>leerling 8</v>
      </c>
      <c r="E11" s="37"/>
      <c r="F11" s="37"/>
      <c r="G11" s="37"/>
      <c r="H11" s="37"/>
      <c r="I11" s="37"/>
      <c r="J11" s="37"/>
      <c r="K11" s="37"/>
      <c r="L11" s="37"/>
      <c r="M11" s="37"/>
      <c r="N11" s="37"/>
      <c r="O11" s="37"/>
      <c r="P11" s="37"/>
      <c r="Q11" s="37"/>
      <c r="R11" s="37"/>
      <c r="S11" s="37"/>
      <c r="T11" s="37"/>
      <c r="U11" s="37"/>
    </row>
    <row r="12" spans="1:31" x14ac:dyDescent="0.5">
      <c r="A12" s="125">
        <v>9</v>
      </c>
      <c r="B12" s="126">
        <f>BEGINBLAD!C12</f>
        <v>0</v>
      </c>
      <c r="E12" s="37"/>
      <c r="F12" s="37"/>
      <c r="G12" s="37"/>
      <c r="H12" s="154" t="s">
        <v>120</v>
      </c>
      <c r="I12" s="155" t="s">
        <v>141</v>
      </c>
      <c r="J12" s="156" t="s">
        <v>146</v>
      </c>
      <c r="K12" s="156" t="s">
        <v>121</v>
      </c>
      <c r="L12" s="154" t="s">
        <v>122</v>
      </c>
      <c r="M12" s="155" t="s">
        <v>142</v>
      </c>
      <c r="N12" s="156" t="s">
        <v>147</v>
      </c>
      <c r="O12" s="156" t="s">
        <v>121</v>
      </c>
      <c r="P12" s="154" t="s">
        <v>123</v>
      </c>
      <c r="Q12" s="155" t="s">
        <v>143</v>
      </c>
      <c r="R12" s="156" t="s">
        <v>148</v>
      </c>
      <c r="S12" s="156" t="s">
        <v>121</v>
      </c>
      <c r="T12" s="154" t="s">
        <v>124</v>
      </c>
      <c r="U12" s="155" t="s">
        <v>144</v>
      </c>
      <c r="V12" s="156" t="s">
        <v>149</v>
      </c>
      <c r="W12" s="156" t="s">
        <v>121</v>
      </c>
      <c r="X12" s="154" t="s">
        <v>125</v>
      </c>
      <c r="Y12" s="155" t="s">
        <v>145</v>
      </c>
      <c r="Z12" s="156" t="s">
        <v>150</v>
      </c>
      <c r="AA12" s="156" t="s">
        <v>121</v>
      </c>
      <c r="AB12" s="36" t="s">
        <v>126</v>
      </c>
      <c r="AC12" s="36"/>
    </row>
    <row r="13" spans="1:31" x14ac:dyDescent="0.5">
      <c r="A13" s="125">
        <v>10</v>
      </c>
      <c r="B13" s="126">
        <f>BEGINBLAD!C13</f>
        <v>0</v>
      </c>
      <c r="E13" s="38"/>
      <c r="F13" s="38"/>
      <c r="G13" s="38"/>
      <c r="H13" s="152">
        <f>VLOOKUP($E$2,'NIVEAU WAARDE - vorig jaar'!$B$9:$H$44,3)</f>
        <v>0</v>
      </c>
      <c r="I13" s="152">
        <f>VLOOKUP($E$2,'NIVEAU WAARDE - 1e toetsperiode'!$B$9:$H$44,3)</f>
        <v>0</v>
      </c>
      <c r="J13" s="152">
        <f>VLOOKUP($E$2,'NIVEAU WAARDE - 2e toetsperiode'!$B$9:$H$44,3)</f>
        <v>0</v>
      </c>
      <c r="K13" s="152">
        <v>5</v>
      </c>
      <c r="L13" s="152">
        <f>VLOOKUP($E$2,'NIVEAU WAARDE - vorig jaar'!$B$9:$H$44,4)</f>
        <v>0</v>
      </c>
      <c r="M13" s="152">
        <f>VLOOKUP($E$2,'NIVEAU WAARDE - 1e toetsperiode'!$B$9:$H$44,4)</f>
        <v>0</v>
      </c>
      <c r="N13" s="152">
        <f>VLOOKUP($E$2,'NIVEAU WAARDE - 2e toetsperiode'!$B$9:$H$44,4)</f>
        <v>0</v>
      </c>
      <c r="O13" s="152">
        <v>5</v>
      </c>
      <c r="P13" s="152">
        <f>VLOOKUP($E$2,'NIVEAU WAARDE - vorig jaar'!$B$9:$H$44,5)</f>
        <v>0</v>
      </c>
      <c r="Q13" s="152">
        <f>VLOOKUP($E$2,'NIVEAU WAARDE - 1e toetsperiode'!$B$9:$H$44,5)</f>
        <v>0</v>
      </c>
      <c r="R13" s="152">
        <f>VLOOKUP($E$2,'NIVEAU WAARDE - 2e toetsperiode'!$B$9:$H$44,5)</f>
        <v>0</v>
      </c>
      <c r="S13" s="152">
        <v>5</v>
      </c>
      <c r="T13" s="152">
        <f>VLOOKUP($E$2,'NIVEAU WAARDE - vorig jaar'!$B$9:$H$44,6)</f>
        <v>0</v>
      </c>
      <c r="U13" s="152">
        <f>VLOOKUP($E$2,'NIVEAU WAARDE - 1e toetsperiode'!$B$9:$H$44,6)</f>
        <v>0</v>
      </c>
      <c r="V13" s="152">
        <f>VLOOKUP($E$2,'NIVEAU WAARDE - 2e toetsperiode'!$B$9:$H$44,6)</f>
        <v>0</v>
      </c>
      <c r="W13" s="152">
        <v>5</v>
      </c>
      <c r="X13" s="152">
        <f>VLOOKUP($E$2,'NIVEAU WAARDE - vorig jaar'!$B$9:$H$44,7)</f>
        <v>0</v>
      </c>
      <c r="Y13" s="152">
        <f>VLOOKUP($E$2,'NIVEAU WAARDE - 1e toetsperiode'!$B$9:$H$44,7)</f>
        <v>0</v>
      </c>
      <c r="Z13" s="152">
        <f>VLOOKUP($E$2,'NIVEAU WAARDE - 2e toetsperiode'!$B$9:$H$44,7)</f>
        <v>0</v>
      </c>
      <c r="AA13" s="153">
        <v>5</v>
      </c>
      <c r="AB13" s="152" t="e">
        <f>AD13/AC13</f>
        <v>#DIV/0!</v>
      </c>
      <c r="AC13" s="152">
        <f>COUNTIF(H13:AA13,"&gt;0")-5</f>
        <v>0</v>
      </c>
      <c r="AD13" s="152">
        <f>H13+I13+J13+L13+M13+N13+P13+Q13+R13+T13+U13+V13+X13+Y13+Z13</f>
        <v>0</v>
      </c>
      <c r="AE13" s="151"/>
    </row>
    <row r="14" spans="1:31" x14ac:dyDescent="0.5">
      <c r="A14" s="125">
        <v>11</v>
      </c>
      <c r="B14" s="126">
        <f>BEGINBLAD!C14</f>
        <v>0</v>
      </c>
      <c r="H14" s="36">
        <f>H13*2</f>
        <v>0</v>
      </c>
      <c r="I14" s="36">
        <f t="shared" ref="I14:AB14" si="0">I13*2</f>
        <v>0</v>
      </c>
      <c r="J14" s="36">
        <f t="shared" si="0"/>
        <v>0</v>
      </c>
      <c r="K14" s="36">
        <f t="shared" si="0"/>
        <v>10</v>
      </c>
      <c r="L14" s="36">
        <f t="shared" si="0"/>
        <v>0</v>
      </c>
      <c r="M14" s="36">
        <f t="shared" si="0"/>
        <v>0</v>
      </c>
      <c r="N14" s="36">
        <f t="shared" si="0"/>
        <v>0</v>
      </c>
      <c r="O14" s="36">
        <f t="shared" si="0"/>
        <v>10</v>
      </c>
      <c r="P14" s="36">
        <f t="shared" si="0"/>
        <v>0</v>
      </c>
      <c r="Q14" s="36">
        <f t="shared" si="0"/>
        <v>0</v>
      </c>
      <c r="R14" s="36">
        <f t="shared" si="0"/>
        <v>0</v>
      </c>
      <c r="S14" s="36">
        <f t="shared" si="0"/>
        <v>10</v>
      </c>
      <c r="T14" s="36">
        <f t="shared" si="0"/>
        <v>0</v>
      </c>
      <c r="U14" s="36">
        <f t="shared" si="0"/>
        <v>0</v>
      </c>
      <c r="V14" s="36">
        <f t="shared" si="0"/>
        <v>0</v>
      </c>
      <c r="W14" s="36">
        <f t="shared" si="0"/>
        <v>10</v>
      </c>
      <c r="X14" s="36">
        <f t="shared" si="0"/>
        <v>0</v>
      </c>
      <c r="Y14" s="36">
        <f t="shared" si="0"/>
        <v>0</v>
      </c>
      <c r="Z14" s="36">
        <f t="shared" si="0"/>
        <v>0</v>
      </c>
      <c r="AA14" s="36">
        <f t="shared" si="0"/>
        <v>10</v>
      </c>
      <c r="AB14" s="152" t="e">
        <f t="shared" si="0"/>
        <v>#DIV/0!</v>
      </c>
      <c r="AC14" s="36"/>
      <c r="AD14" s="36"/>
    </row>
    <row r="15" spans="1:31" x14ac:dyDescent="0.5">
      <c r="A15" s="125">
        <v>12</v>
      </c>
      <c r="B15" s="126">
        <f>BEGINBLAD!C15</f>
        <v>0</v>
      </c>
    </row>
    <row r="16" spans="1:31" x14ac:dyDescent="0.5">
      <c r="A16" s="125">
        <v>13</v>
      </c>
      <c r="B16" s="126">
        <f>BEGINBLAD!C16</f>
        <v>0</v>
      </c>
      <c r="E16" s="37"/>
      <c r="F16" s="37"/>
      <c r="G16" s="37"/>
      <c r="H16" s="37"/>
      <c r="I16" s="37"/>
      <c r="J16" s="37"/>
      <c r="K16" s="37"/>
      <c r="L16" s="37"/>
      <c r="M16" s="37"/>
      <c r="N16" s="37"/>
      <c r="O16" s="37"/>
      <c r="P16" s="37"/>
      <c r="Q16" s="37"/>
      <c r="R16" s="37"/>
      <c r="S16" s="37"/>
      <c r="T16" s="37"/>
      <c r="U16" s="37"/>
    </row>
    <row r="17" spans="1:30" x14ac:dyDescent="0.5">
      <c r="A17" s="125">
        <v>14</v>
      </c>
      <c r="B17" s="126">
        <f>BEGINBLAD!C17</f>
        <v>0</v>
      </c>
      <c r="E17" s="37"/>
      <c r="F17" s="37"/>
      <c r="G17" s="37"/>
      <c r="H17" s="37"/>
      <c r="I17" s="37"/>
      <c r="J17" s="37"/>
      <c r="K17" s="37"/>
      <c r="L17" s="37"/>
      <c r="M17" s="37"/>
      <c r="N17" s="37"/>
      <c r="O17" s="37"/>
      <c r="P17" s="37"/>
      <c r="Q17" s="37"/>
      <c r="R17" s="37"/>
      <c r="S17" s="37"/>
      <c r="T17" s="37"/>
      <c r="U17" s="37"/>
    </row>
    <row r="18" spans="1:30" x14ac:dyDescent="0.5">
      <c r="A18" s="125">
        <v>15</v>
      </c>
      <c r="B18" s="126">
        <f>BEGINBLAD!C18</f>
        <v>0</v>
      </c>
      <c r="E18" s="38"/>
      <c r="F18" s="37"/>
      <c r="G18" s="37"/>
      <c r="H18" s="37"/>
      <c r="I18" s="37"/>
      <c r="J18" s="37"/>
      <c r="K18" s="37"/>
      <c r="L18" s="37"/>
      <c r="M18" s="37"/>
      <c r="N18" s="37"/>
      <c r="O18" s="37"/>
      <c r="P18" s="37"/>
      <c r="Q18" s="37"/>
      <c r="R18" s="37"/>
      <c r="S18" s="37"/>
      <c r="T18" s="37"/>
      <c r="U18" s="37"/>
    </row>
    <row r="19" spans="1:30" x14ac:dyDescent="0.5">
      <c r="A19" s="125">
        <v>16</v>
      </c>
      <c r="B19" s="126">
        <f>BEGINBLAD!C19</f>
        <v>0</v>
      </c>
      <c r="E19" s="38"/>
      <c r="F19" s="38"/>
      <c r="G19" s="38"/>
      <c r="H19" s="38"/>
      <c r="I19" s="37"/>
      <c r="J19" s="38"/>
      <c r="K19" s="38"/>
      <c r="L19" s="37"/>
      <c r="M19" s="37"/>
      <c r="N19" s="38"/>
      <c r="O19" s="38"/>
      <c r="P19" s="37"/>
      <c r="Q19" s="37"/>
      <c r="R19" s="37"/>
      <c r="S19" s="37"/>
      <c r="T19" s="37"/>
      <c r="U19" s="37"/>
    </row>
    <row r="20" spans="1:30" x14ac:dyDescent="0.5">
      <c r="A20" s="125">
        <v>17</v>
      </c>
      <c r="B20" s="126">
        <f>BEGINBLAD!C20</f>
        <v>0</v>
      </c>
      <c r="E20" s="39"/>
      <c r="F20" s="39"/>
      <c r="G20" s="40"/>
      <c r="H20" s="40"/>
      <c r="I20" s="37"/>
      <c r="J20" s="39"/>
      <c r="K20" s="39"/>
      <c r="L20" s="37"/>
      <c r="M20" s="37"/>
      <c r="N20" s="40"/>
      <c r="O20" s="40"/>
      <c r="P20" s="37"/>
      <c r="Q20" s="37"/>
      <c r="R20" s="37"/>
      <c r="S20" s="37"/>
      <c r="T20" s="37"/>
      <c r="U20" s="37"/>
    </row>
    <row r="21" spans="1:30" x14ac:dyDescent="0.5">
      <c r="A21" s="125">
        <v>18</v>
      </c>
      <c r="B21" s="126">
        <f>BEGINBLAD!C21</f>
        <v>0</v>
      </c>
      <c r="E21" s="37"/>
      <c r="F21" s="37"/>
      <c r="G21" s="37"/>
      <c r="H21" s="37"/>
      <c r="I21" s="37"/>
      <c r="J21" s="37"/>
      <c r="K21" s="37"/>
      <c r="L21" s="37"/>
      <c r="M21" s="37"/>
      <c r="N21" s="37"/>
      <c r="O21" s="37"/>
      <c r="P21" s="37"/>
      <c r="Q21" s="37"/>
      <c r="R21" s="37"/>
      <c r="S21" s="37"/>
      <c r="T21" s="37"/>
      <c r="U21" s="37"/>
    </row>
    <row r="22" spans="1:30" x14ac:dyDescent="0.5">
      <c r="A22" s="125">
        <v>19</v>
      </c>
      <c r="B22" s="126">
        <f>BEGINBLAD!C22</f>
        <v>0</v>
      </c>
      <c r="E22" s="37"/>
      <c r="F22" s="37"/>
      <c r="G22" s="37"/>
      <c r="H22" s="37"/>
      <c r="I22" s="37"/>
      <c r="J22" s="37"/>
      <c r="K22" s="37"/>
      <c r="L22" s="37"/>
      <c r="M22" s="37"/>
      <c r="N22" s="37"/>
      <c r="O22" s="37"/>
      <c r="P22" s="37"/>
      <c r="Q22" s="37"/>
      <c r="R22" s="37"/>
      <c r="S22" s="37"/>
      <c r="T22" s="37"/>
      <c r="U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94" t="s">
        <v>127</v>
      </c>
      <c r="F31" s="995"/>
      <c r="G31" s="1001" t="s">
        <v>128</v>
      </c>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2"/>
    </row>
    <row r="32" spans="1:30" x14ac:dyDescent="0.5">
      <c r="A32" s="125">
        <v>29</v>
      </c>
      <c r="B32" s="126">
        <f>BEGINBLAD!C32</f>
        <v>0</v>
      </c>
      <c r="E32" s="996"/>
      <c r="F32" s="997"/>
      <c r="G32" s="1004"/>
      <c r="H32" s="1004"/>
      <c r="I32" s="1004"/>
      <c r="J32" s="1004"/>
      <c r="K32" s="1004"/>
      <c r="L32" s="1004"/>
      <c r="M32" s="1004"/>
      <c r="N32" s="1004"/>
      <c r="O32" s="1004"/>
      <c r="P32" s="1004"/>
      <c r="Q32" s="1004"/>
      <c r="R32" s="1004"/>
      <c r="S32" s="1004"/>
      <c r="T32" s="1004"/>
      <c r="U32" s="1004"/>
      <c r="V32" s="1004"/>
      <c r="W32" s="1004"/>
      <c r="X32" s="1004"/>
      <c r="Y32" s="1004"/>
      <c r="Z32" s="1004"/>
      <c r="AA32" s="1004"/>
      <c r="AB32" s="1004"/>
      <c r="AC32" s="1004"/>
      <c r="AD32" s="1005"/>
    </row>
    <row r="33" spans="1:30" x14ac:dyDescent="0.5">
      <c r="A33" s="125">
        <v>30</v>
      </c>
      <c r="B33" s="126">
        <f>BEGINBLAD!C33</f>
        <v>0</v>
      </c>
      <c r="E33" s="996"/>
      <c r="F33" s="997"/>
      <c r="G33" s="1004"/>
      <c r="H33" s="1004"/>
      <c r="I33" s="1004"/>
      <c r="J33" s="1004"/>
      <c r="K33" s="1004"/>
      <c r="L33" s="1004"/>
      <c r="M33" s="1004"/>
      <c r="N33" s="1004"/>
      <c r="O33" s="1004"/>
      <c r="P33" s="1004"/>
      <c r="Q33" s="1004"/>
      <c r="R33" s="1004"/>
      <c r="S33" s="1004"/>
      <c r="T33" s="1004"/>
      <c r="U33" s="1004"/>
      <c r="V33" s="1004"/>
      <c r="W33" s="1004"/>
      <c r="X33" s="1004"/>
      <c r="Y33" s="1004"/>
      <c r="Z33" s="1004"/>
      <c r="AA33" s="1004"/>
      <c r="AB33" s="1004"/>
      <c r="AC33" s="1004"/>
      <c r="AD33" s="1005"/>
    </row>
    <row r="34" spans="1:30" x14ac:dyDescent="0.5">
      <c r="A34" s="125">
        <v>31</v>
      </c>
      <c r="B34" s="126">
        <f>BEGINBLAD!C34</f>
        <v>0</v>
      </c>
      <c r="E34" s="996"/>
      <c r="F34" s="997"/>
      <c r="G34" s="1004"/>
      <c r="H34" s="1004"/>
      <c r="I34" s="1004"/>
      <c r="J34" s="1004"/>
      <c r="K34" s="1004"/>
      <c r="L34" s="1004"/>
      <c r="M34" s="1004"/>
      <c r="N34" s="1004"/>
      <c r="O34" s="1004"/>
      <c r="P34" s="1004"/>
      <c r="Q34" s="1004"/>
      <c r="R34" s="1004"/>
      <c r="S34" s="1004"/>
      <c r="T34" s="1004"/>
      <c r="U34" s="1004"/>
      <c r="V34" s="1004"/>
      <c r="W34" s="1004"/>
      <c r="X34" s="1004"/>
      <c r="Y34" s="1004"/>
      <c r="Z34" s="1004"/>
      <c r="AA34" s="1004"/>
      <c r="AB34" s="1004"/>
      <c r="AC34" s="1004"/>
      <c r="AD34" s="1005"/>
    </row>
    <row r="35" spans="1:30" x14ac:dyDescent="0.5">
      <c r="A35" s="125">
        <v>32</v>
      </c>
      <c r="B35" s="126">
        <f>BEGINBLAD!C35</f>
        <v>0</v>
      </c>
      <c r="E35" s="996"/>
      <c r="F35" s="997"/>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5"/>
    </row>
    <row r="36" spans="1:30" ht="18.5" thickBot="1" x14ac:dyDescent="0.55000000000000004">
      <c r="A36" s="125">
        <v>33</v>
      </c>
      <c r="B36" s="126">
        <f>BEGINBLAD!C36</f>
        <v>0</v>
      </c>
      <c r="E36" s="998"/>
      <c r="F36" s="999"/>
      <c r="G36" s="1007"/>
      <c r="H36" s="1007"/>
      <c r="I36" s="1007"/>
      <c r="J36" s="1007"/>
      <c r="K36" s="1007"/>
      <c r="L36" s="1007"/>
      <c r="M36" s="1007"/>
      <c r="N36" s="1007"/>
      <c r="O36" s="1007"/>
      <c r="P36" s="1007"/>
      <c r="Q36" s="1007"/>
      <c r="R36" s="1007"/>
      <c r="S36" s="1007"/>
      <c r="T36" s="1007"/>
      <c r="U36" s="1007"/>
      <c r="V36" s="1007"/>
      <c r="W36" s="1007"/>
      <c r="X36" s="1007"/>
      <c r="Y36" s="1007"/>
      <c r="Z36" s="1007"/>
      <c r="AA36" s="1007"/>
      <c r="AB36" s="1007"/>
      <c r="AC36" s="1007"/>
      <c r="AD36" s="1008"/>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94" t="s">
        <v>129</v>
      </c>
      <c r="F38" s="995"/>
      <c r="G38" s="1001" t="s">
        <v>130</v>
      </c>
      <c r="H38" s="1001"/>
      <c r="I38" s="1001"/>
      <c r="J38" s="1001"/>
      <c r="K38" s="1001"/>
      <c r="L38" s="1001"/>
      <c r="M38" s="1001"/>
      <c r="N38" s="1001"/>
      <c r="O38" s="1001"/>
      <c r="P38" s="1001"/>
      <c r="Q38" s="1001"/>
      <c r="R38" s="1001"/>
      <c r="S38" s="1001"/>
      <c r="T38" s="1001"/>
      <c r="U38" s="1001"/>
      <c r="V38" s="1001"/>
      <c r="W38" s="1001"/>
      <c r="X38" s="1001"/>
      <c r="Y38" s="1001"/>
      <c r="Z38" s="1001"/>
      <c r="AA38" s="1001"/>
      <c r="AB38" s="1001"/>
      <c r="AC38" s="1001"/>
      <c r="AD38" s="1002"/>
    </row>
    <row r="39" spans="1:30" ht="19.5" customHeight="1" x14ac:dyDescent="0.5">
      <c r="A39" s="125">
        <v>36</v>
      </c>
      <c r="B39" s="126">
        <f>BEGINBLAD!C39</f>
        <v>0</v>
      </c>
      <c r="E39" s="996"/>
      <c r="F39" s="997"/>
      <c r="G39" s="1004"/>
      <c r="H39" s="1004"/>
      <c r="I39" s="1004"/>
      <c r="J39" s="1004"/>
      <c r="K39" s="1004"/>
      <c r="L39" s="1004"/>
      <c r="M39" s="1004"/>
      <c r="N39" s="1004"/>
      <c r="O39" s="1004"/>
      <c r="P39" s="1004"/>
      <c r="Q39" s="1004"/>
      <c r="R39" s="1004"/>
      <c r="S39" s="1004"/>
      <c r="T39" s="1004"/>
      <c r="U39" s="1004"/>
      <c r="V39" s="1004"/>
      <c r="W39" s="1004"/>
      <c r="X39" s="1004"/>
      <c r="Y39" s="1004"/>
      <c r="Z39" s="1004"/>
      <c r="AA39" s="1004"/>
      <c r="AB39" s="1004"/>
      <c r="AC39" s="1004"/>
      <c r="AD39" s="1005"/>
    </row>
    <row r="40" spans="1:30" ht="19.5" customHeight="1" x14ac:dyDescent="0.5">
      <c r="E40" s="996"/>
      <c r="F40" s="997"/>
      <c r="G40" s="1004"/>
      <c r="H40" s="1004"/>
      <c r="I40" s="1004"/>
      <c r="J40" s="1004"/>
      <c r="K40" s="1004"/>
      <c r="L40" s="1004"/>
      <c r="M40" s="1004"/>
      <c r="N40" s="1004"/>
      <c r="O40" s="1004"/>
      <c r="P40" s="1004"/>
      <c r="Q40" s="1004"/>
      <c r="R40" s="1004"/>
      <c r="S40" s="1004"/>
      <c r="T40" s="1004"/>
      <c r="U40" s="1004"/>
      <c r="V40" s="1004"/>
      <c r="W40" s="1004"/>
      <c r="X40" s="1004"/>
      <c r="Y40" s="1004"/>
      <c r="Z40" s="1004"/>
      <c r="AA40" s="1004"/>
      <c r="AB40" s="1004"/>
      <c r="AC40" s="1004"/>
      <c r="AD40" s="1005"/>
    </row>
    <row r="41" spans="1:30" ht="19.5" customHeight="1" x14ac:dyDescent="0.5">
      <c r="E41" s="996"/>
      <c r="F41" s="997"/>
      <c r="G41" s="1004"/>
      <c r="H41" s="1004"/>
      <c r="I41" s="1004"/>
      <c r="J41" s="1004"/>
      <c r="K41" s="1004"/>
      <c r="L41" s="1004"/>
      <c r="M41" s="1004"/>
      <c r="N41" s="1004"/>
      <c r="O41" s="1004"/>
      <c r="P41" s="1004"/>
      <c r="Q41" s="1004"/>
      <c r="R41" s="1004"/>
      <c r="S41" s="1004"/>
      <c r="T41" s="1004"/>
      <c r="U41" s="1004"/>
      <c r="V41" s="1004"/>
      <c r="W41" s="1004"/>
      <c r="X41" s="1004"/>
      <c r="Y41" s="1004"/>
      <c r="Z41" s="1004"/>
      <c r="AA41" s="1004"/>
      <c r="AB41" s="1004"/>
      <c r="AC41" s="1004"/>
      <c r="AD41" s="1005"/>
    </row>
    <row r="42" spans="1:30" ht="19.5" customHeight="1" x14ac:dyDescent="0.5">
      <c r="E42" s="996"/>
      <c r="F42" s="997"/>
      <c r="G42" s="1004"/>
      <c r="H42" s="1004"/>
      <c r="I42" s="1004"/>
      <c r="J42" s="1004"/>
      <c r="K42" s="1004"/>
      <c r="L42" s="1004"/>
      <c r="M42" s="1004"/>
      <c r="N42" s="1004"/>
      <c r="O42" s="1004"/>
      <c r="P42" s="1004"/>
      <c r="Q42" s="1004"/>
      <c r="R42" s="1004"/>
      <c r="S42" s="1004"/>
      <c r="T42" s="1004"/>
      <c r="U42" s="1004"/>
      <c r="V42" s="1004"/>
      <c r="W42" s="1004"/>
      <c r="X42" s="1004"/>
      <c r="Y42" s="1004"/>
      <c r="Z42" s="1004"/>
      <c r="AA42" s="1004"/>
      <c r="AB42" s="1004"/>
      <c r="AC42" s="1004"/>
      <c r="AD42" s="1005"/>
    </row>
    <row r="43" spans="1:30" ht="19.5" customHeight="1" thickBot="1" x14ac:dyDescent="0.55000000000000004">
      <c r="E43" s="998"/>
      <c r="F43" s="999"/>
      <c r="G43" s="1007"/>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D43" s="1008"/>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94" t="s">
        <v>131</v>
      </c>
      <c r="F45" s="995"/>
      <c r="G45" s="1001" t="s">
        <v>132</v>
      </c>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2"/>
    </row>
    <row r="46" spans="1:30" ht="19.5" customHeight="1" x14ac:dyDescent="0.5">
      <c r="E46" s="996"/>
      <c r="F46" s="997"/>
      <c r="G46" s="1004"/>
      <c r="H46" s="1004"/>
      <c r="I46" s="1004"/>
      <c r="J46" s="1004"/>
      <c r="K46" s="1004"/>
      <c r="L46" s="1004"/>
      <c r="M46" s="1004"/>
      <c r="N46" s="1004"/>
      <c r="O46" s="1004"/>
      <c r="P46" s="1004"/>
      <c r="Q46" s="1004"/>
      <c r="R46" s="1004"/>
      <c r="S46" s="1004"/>
      <c r="T46" s="1004"/>
      <c r="U46" s="1004"/>
      <c r="V46" s="1004"/>
      <c r="W46" s="1004"/>
      <c r="X46" s="1004"/>
      <c r="Y46" s="1004"/>
      <c r="Z46" s="1004"/>
      <c r="AA46" s="1004"/>
      <c r="AB46" s="1004"/>
      <c r="AC46" s="1004"/>
      <c r="AD46" s="1005"/>
    </row>
    <row r="47" spans="1:30" ht="19.5" customHeight="1" x14ac:dyDescent="0.5">
      <c r="E47" s="996"/>
      <c r="F47" s="997"/>
      <c r="G47" s="1004"/>
      <c r="H47" s="1004"/>
      <c r="I47" s="1004"/>
      <c r="J47" s="1004"/>
      <c r="K47" s="1004"/>
      <c r="L47" s="1004"/>
      <c r="M47" s="1004"/>
      <c r="N47" s="1004"/>
      <c r="O47" s="1004"/>
      <c r="P47" s="1004"/>
      <c r="Q47" s="1004"/>
      <c r="R47" s="1004"/>
      <c r="S47" s="1004"/>
      <c r="T47" s="1004"/>
      <c r="U47" s="1004"/>
      <c r="V47" s="1004"/>
      <c r="W47" s="1004"/>
      <c r="X47" s="1004"/>
      <c r="Y47" s="1004"/>
      <c r="Z47" s="1004"/>
      <c r="AA47" s="1004"/>
      <c r="AB47" s="1004"/>
      <c r="AC47" s="1004"/>
      <c r="AD47" s="1005"/>
    </row>
    <row r="48" spans="1:30" ht="19.5" customHeight="1" x14ac:dyDescent="0.5">
      <c r="E48" s="996"/>
      <c r="F48" s="997"/>
      <c r="G48" s="1004"/>
      <c r="H48" s="1004"/>
      <c r="I48" s="1004"/>
      <c r="J48" s="1004"/>
      <c r="K48" s="1004"/>
      <c r="L48" s="1004"/>
      <c r="M48" s="1004"/>
      <c r="N48" s="1004"/>
      <c r="O48" s="1004"/>
      <c r="P48" s="1004"/>
      <c r="Q48" s="1004"/>
      <c r="R48" s="1004"/>
      <c r="S48" s="1004"/>
      <c r="T48" s="1004"/>
      <c r="U48" s="1004"/>
      <c r="V48" s="1004"/>
      <c r="W48" s="1004"/>
      <c r="X48" s="1004"/>
      <c r="Y48" s="1004"/>
      <c r="Z48" s="1004"/>
      <c r="AA48" s="1004"/>
      <c r="AB48" s="1004"/>
      <c r="AC48" s="1004"/>
      <c r="AD48" s="1005"/>
    </row>
    <row r="49" spans="5:30" ht="19.5" customHeight="1" x14ac:dyDescent="0.5">
      <c r="E49" s="996"/>
      <c r="F49" s="997"/>
      <c r="G49" s="1004"/>
      <c r="H49" s="1004"/>
      <c r="I49" s="1004"/>
      <c r="J49" s="1004"/>
      <c r="K49" s="1004"/>
      <c r="L49" s="1004"/>
      <c r="M49" s="1004"/>
      <c r="N49" s="1004"/>
      <c r="O49" s="1004"/>
      <c r="P49" s="1004"/>
      <c r="Q49" s="1004"/>
      <c r="R49" s="1004"/>
      <c r="S49" s="1004"/>
      <c r="T49" s="1004"/>
      <c r="U49" s="1004"/>
      <c r="V49" s="1004"/>
      <c r="W49" s="1004"/>
      <c r="X49" s="1004"/>
      <c r="Y49" s="1004"/>
      <c r="Z49" s="1004"/>
      <c r="AA49" s="1004"/>
      <c r="AB49" s="1004"/>
      <c r="AC49" s="1004"/>
      <c r="AD49" s="1005"/>
    </row>
    <row r="50" spans="5:30" ht="19.5" customHeight="1" thickBot="1" x14ac:dyDescent="0.55000000000000004">
      <c r="E50" s="998"/>
      <c r="F50" s="999"/>
      <c r="G50" s="1007"/>
      <c r="H50" s="1007"/>
      <c r="I50" s="1007"/>
      <c r="J50" s="1007"/>
      <c r="K50" s="1007"/>
      <c r="L50" s="1007"/>
      <c r="M50" s="1007"/>
      <c r="N50" s="1007"/>
      <c r="O50" s="1007"/>
      <c r="P50" s="1007"/>
      <c r="Q50" s="1007"/>
      <c r="R50" s="1007"/>
      <c r="S50" s="1007"/>
      <c r="T50" s="1007"/>
      <c r="U50" s="1007"/>
      <c r="V50" s="1007"/>
      <c r="W50" s="1007"/>
      <c r="X50" s="1007"/>
      <c r="Y50" s="1007"/>
      <c r="Z50" s="1007"/>
      <c r="AA50" s="1007"/>
      <c r="AB50" s="1007"/>
      <c r="AC50" s="1007"/>
      <c r="AD50" s="1008"/>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94" t="s">
        <v>133</v>
      </c>
      <c r="F52" s="995"/>
      <c r="G52" s="1001" t="s">
        <v>134</v>
      </c>
      <c r="H52" s="1001"/>
      <c r="I52" s="1001"/>
      <c r="J52" s="1001"/>
      <c r="K52" s="1001"/>
      <c r="L52" s="1001"/>
      <c r="M52" s="1001"/>
      <c r="N52" s="1001"/>
      <c r="O52" s="1001"/>
      <c r="P52" s="1001"/>
      <c r="Q52" s="1001"/>
      <c r="R52" s="1001"/>
      <c r="S52" s="1001"/>
      <c r="T52" s="1001"/>
      <c r="U52" s="1001"/>
      <c r="V52" s="1001"/>
      <c r="W52" s="1001"/>
      <c r="X52" s="1001"/>
      <c r="Y52" s="1001"/>
      <c r="Z52" s="1001"/>
      <c r="AA52" s="1001"/>
      <c r="AB52" s="1001"/>
      <c r="AC52" s="1001"/>
      <c r="AD52" s="1002"/>
    </row>
    <row r="53" spans="5:30" ht="19.5" customHeight="1" x14ac:dyDescent="0.5">
      <c r="E53" s="996"/>
      <c r="F53" s="997"/>
      <c r="G53" s="1004"/>
      <c r="H53" s="1004"/>
      <c r="I53" s="1004"/>
      <c r="J53" s="1004"/>
      <c r="K53" s="1004"/>
      <c r="L53" s="1004"/>
      <c r="M53" s="1004"/>
      <c r="N53" s="1004"/>
      <c r="O53" s="1004"/>
      <c r="P53" s="1004"/>
      <c r="Q53" s="1004"/>
      <c r="R53" s="1004"/>
      <c r="S53" s="1004"/>
      <c r="T53" s="1004"/>
      <c r="U53" s="1004"/>
      <c r="V53" s="1004"/>
      <c r="W53" s="1004"/>
      <c r="X53" s="1004"/>
      <c r="Y53" s="1004"/>
      <c r="Z53" s="1004"/>
      <c r="AA53" s="1004"/>
      <c r="AB53" s="1004"/>
      <c r="AC53" s="1004"/>
      <c r="AD53" s="1005"/>
    </row>
    <row r="54" spans="5:30" ht="19.5" customHeight="1" x14ac:dyDescent="0.5">
      <c r="E54" s="996"/>
      <c r="F54" s="997"/>
      <c r="G54" s="1004"/>
      <c r="H54" s="1004"/>
      <c r="I54" s="1004"/>
      <c r="J54" s="1004"/>
      <c r="K54" s="1004"/>
      <c r="L54" s="1004"/>
      <c r="M54" s="1004"/>
      <c r="N54" s="1004"/>
      <c r="O54" s="1004"/>
      <c r="P54" s="1004"/>
      <c r="Q54" s="1004"/>
      <c r="R54" s="1004"/>
      <c r="S54" s="1004"/>
      <c r="T54" s="1004"/>
      <c r="U54" s="1004"/>
      <c r="V54" s="1004"/>
      <c r="W54" s="1004"/>
      <c r="X54" s="1004"/>
      <c r="Y54" s="1004"/>
      <c r="Z54" s="1004"/>
      <c r="AA54" s="1004"/>
      <c r="AB54" s="1004"/>
      <c r="AC54" s="1004"/>
      <c r="AD54" s="1005"/>
    </row>
    <row r="55" spans="5:30" ht="19.5" customHeight="1" x14ac:dyDescent="0.5">
      <c r="E55" s="996"/>
      <c r="F55" s="997"/>
      <c r="G55" s="1004"/>
      <c r="H55" s="1004"/>
      <c r="I55" s="1004"/>
      <c r="J55" s="1004"/>
      <c r="K55" s="1004"/>
      <c r="L55" s="1004"/>
      <c r="M55" s="1004"/>
      <c r="N55" s="1004"/>
      <c r="O55" s="1004"/>
      <c r="P55" s="1004"/>
      <c r="Q55" s="1004"/>
      <c r="R55" s="1004"/>
      <c r="S55" s="1004"/>
      <c r="T55" s="1004"/>
      <c r="U55" s="1004"/>
      <c r="V55" s="1004"/>
      <c r="W55" s="1004"/>
      <c r="X55" s="1004"/>
      <c r="Y55" s="1004"/>
      <c r="Z55" s="1004"/>
      <c r="AA55" s="1004"/>
      <c r="AB55" s="1004"/>
      <c r="AC55" s="1004"/>
      <c r="AD55" s="1005"/>
    </row>
    <row r="56" spans="5:30" ht="19.5" customHeight="1" x14ac:dyDescent="0.5">
      <c r="E56" s="996"/>
      <c r="F56" s="997"/>
      <c r="G56" s="1004"/>
      <c r="H56" s="1004"/>
      <c r="I56" s="1004"/>
      <c r="J56" s="1004"/>
      <c r="K56" s="1004"/>
      <c r="L56" s="1004"/>
      <c r="M56" s="1004"/>
      <c r="N56" s="1004"/>
      <c r="O56" s="1004"/>
      <c r="P56" s="1004"/>
      <c r="Q56" s="1004"/>
      <c r="R56" s="1004"/>
      <c r="S56" s="1004"/>
      <c r="T56" s="1004"/>
      <c r="U56" s="1004"/>
      <c r="V56" s="1004"/>
      <c r="W56" s="1004"/>
      <c r="X56" s="1004"/>
      <c r="Y56" s="1004"/>
      <c r="Z56" s="1004"/>
      <c r="AA56" s="1004"/>
      <c r="AB56" s="1004"/>
      <c r="AC56" s="1004"/>
      <c r="AD56" s="1005"/>
    </row>
    <row r="57" spans="5:30" ht="19.5" customHeight="1" thickBot="1" x14ac:dyDescent="0.55000000000000004">
      <c r="E57" s="998"/>
      <c r="F57" s="999"/>
      <c r="G57" s="1007"/>
      <c r="H57" s="1007"/>
      <c r="I57" s="1007"/>
      <c r="J57" s="1007"/>
      <c r="K57" s="1007"/>
      <c r="L57" s="1007"/>
      <c r="M57" s="1007"/>
      <c r="N57" s="1007"/>
      <c r="O57" s="1007"/>
      <c r="P57" s="1007"/>
      <c r="Q57" s="1007"/>
      <c r="R57" s="1007"/>
      <c r="S57" s="1007"/>
      <c r="T57" s="1007"/>
      <c r="U57" s="1007"/>
      <c r="V57" s="1007"/>
      <c r="W57" s="1007"/>
      <c r="X57" s="1007"/>
      <c r="Y57" s="1007"/>
      <c r="Z57" s="1007"/>
      <c r="AA57" s="1007"/>
      <c r="AB57" s="1007"/>
      <c r="AC57" s="1007"/>
      <c r="AD57" s="1008"/>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94" t="s">
        <v>135</v>
      </c>
      <c r="F59" s="995"/>
      <c r="G59" s="1026" t="s">
        <v>136</v>
      </c>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2"/>
    </row>
    <row r="60" spans="5:30" ht="19.5" customHeight="1" x14ac:dyDescent="0.5">
      <c r="E60" s="996"/>
      <c r="F60" s="997"/>
      <c r="G60" s="1004"/>
      <c r="H60" s="1004"/>
      <c r="I60" s="1004"/>
      <c r="J60" s="1004"/>
      <c r="K60" s="1004"/>
      <c r="L60" s="1004"/>
      <c r="M60" s="1004"/>
      <c r="N60" s="1004"/>
      <c r="O60" s="1004"/>
      <c r="P60" s="1004"/>
      <c r="Q60" s="1004"/>
      <c r="R60" s="1004"/>
      <c r="S60" s="1004"/>
      <c r="T60" s="1004"/>
      <c r="U60" s="1004"/>
      <c r="V60" s="1004"/>
      <c r="W60" s="1004"/>
      <c r="X60" s="1004"/>
      <c r="Y60" s="1004"/>
      <c r="Z60" s="1004"/>
      <c r="AA60" s="1004"/>
      <c r="AB60" s="1004"/>
      <c r="AC60" s="1004"/>
      <c r="AD60" s="1005"/>
    </row>
    <row r="61" spans="5:30" ht="19.5" customHeight="1" x14ac:dyDescent="0.5">
      <c r="E61" s="996"/>
      <c r="F61" s="997"/>
      <c r="G61" s="1004"/>
      <c r="H61" s="1004"/>
      <c r="I61" s="1004"/>
      <c r="J61" s="1004"/>
      <c r="K61" s="1004"/>
      <c r="L61" s="1004"/>
      <c r="M61" s="1004"/>
      <c r="N61" s="1004"/>
      <c r="O61" s="1004"/>
      <c r="P61" s="1004"/>
      <c r="Q61" s="1004"/>
      <c r="R61" s="1004"/>
      <c r="S61" s="1004"/>
      <c r="T61" s="1004"/>
      <c r="U61" s="1004"/>
      <c r="V61" s="1004"/>
      <c r="W61" s="1004"/>
      <c r="X61" s="1004"/>
      <c r="Y61" s="1004"/>
      <c r="Z61" s="1004"/>
      <c r="AA61" s="1004"/>
      <c r="AB61" s="1004"/>
      <c r="AC61" s="1004"/>
      <c r="AD61" s="1005"/>
    </row>
    <row r="62" spans="5:30" ht="19.5" customHeight="1" x14ac:dyDescent="0.5">
      <c r="E62" s="996"/>
      <c r="F62" s="997"/>
      <c r="G62" s="1004"/>
      <c r="H62" s="1004"/>
      <c r="I62" s="1004"/>
      <c r="J62" s="1004"/>
      <c r="K62" s="1004"/>
      <c r="L62" s="1004"/>
      <c r="M62" s="1004"/>
      <c r="N62" s="1004"/>
      <c r="O62" s="1004"/>
      <c r="P62" s="1004"/>
      <c r="Q62" s="1004"/>
      <c r="R62" s="1004"/>
      <c r="S62" s="1004"/>
      <c r="T62" s="1004"/>
      <c r="U62" s="1004"/>
      <c r="V62" s="1004"/>
      <c r="W62" s="1004"/>
      <c r="X62" s="1004"/>
      <c r="Y62" s="1004"/>
      <c r="Z62" s="1004"/>
      <c r="AA62" s="1004"/>
      <c r="AB62" s="1004"/>
      <c r="AC62" s="1004"/>
      <c r="AD62" s="1005"/>
    </row>
    <row r="63" spans="5:30" ht="19.5" customHeight="1" x14ac:dyDescent="0.5">
      <c r="E63" s="996"/>
      <c r="F63" s="997"/>
      <c r="G63" s="1004"/>
      <c r="H63" s="1004"/>
      <c r="I63" s="1004"/>
      <c r="J63" s="1004"/>
      <c r="K63" s="1004"/>
      <c r="L63" s="1004"/>
      <c r="M63" s="1004"/>
      <c r="N63" s="1004"/>
      <c r="O63" s="1004"/>
      <c r="P63" s="1004"/>
      <c r="Q63" s="1004"/>
      <c r="R63" s="1004"/>
      <c r="S63" s="1004"/>
      <c r="T63" s="1004"/>
      <c r="U63" s="1004"/>
      <c r="V63" s="1004"/>
      <c r="W63" s="1004"/>
      <c r="X63" s="1004"/>
      <c r="Y63" s="1004"/>
      <c r="Z63" s="1004"/>
      <c r="AA63" s="1004"/>
      <c r="AB63" s="1004"/>
      <c r="AC63" s="1004"/>
      <c r="AD63" s="1005"/>
    </row>
    <row r="64" spans="5:30" ht="19.5" customHeight="1" x14ac:dyDescent="0.5">
      <c r="E64" s="996"/>
      <c r="F64" s="997"/>
      <c r="G64" s="1004"/>
      <c r="H64" s="1004"/>
      <c r="I64" s="1004"/>
      <c r="J64" s="1004"/>
      <c r="K64" s="1004"/>
      <c r="L64" s="1004"/>
      <c r="M64" s="1004"/>
      <c r="N64" s="1004"/>
      <c r="O64" s="1004"/>
      <c r="P64" s="1004"/>
      <c r="Q64" s="1004"/>
      <c r="R64" s="1004"/>
      <c r="S64" s="1004"/>
      <c r="T64" s="1004"/>
      <c r="U64" s="1004"/>
      <c r="V64" s="1004"/>
      <c r="W64" s="1004"/>
      <c r="X64" s="1004"/>
      <c r="Y64" s="1004"/>
      <c r="Z64" s="1004"/>
      <c r="AA64" s="1004"/>
      <c r="AB64" s="1004"/>
      <c r="AC64" s="1004"/>
      <c r="AD64" s="1005"/>
    </row>
    <row r="65" spans="5:30" ht="19.5" customHeight="1" thickBot="1" x14ac:dyDescent="0.55000000000000004">
      <c r="E65" s="998"/>
      <c r="F65" s="999"/>
      <c r="G65" s="1007"/>
      <c r="H65" s="1007"/>
      <c r="I65" s="1007"/>
      <c r="J65" s="1007"/>
      <c r="K65" s="1007"/>
      <c r="L65" s="1007"/>
      <c r="M65" s="1007"/>
      <c r="N65" s="1007"/>
      <c r="O65" s="1007"/>
      <c r="P65" s="1007"/>
      <c r="Q65" s="1007"/>
      <c r="R65" s="1007"/>
      <c r="S65" s="1007"/>
      <c r="T65" s="1007"/>
      <c r="U65" s="1007"/>
      <c r="V65" s="1007"/>
      <c r="W65" s="1007"/>
      <c r="X65" s="1007"/>
      <c r="Y65" s="1007"/>
      <c r="Z65" s="1007"/>
      <c r="AA65" s="1007"/>
      <c r="AB65" s="1007"/>
      <c r="AC65" s="1007"/>
      <c r="AD65" s="1008"/>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992" t="s">
        <v>137</v>
      </c>
      <c r="S74" s="992"/>
      <c r="T74" s="992"/>
      <c r="U74" s="993" t="s">
        <v>138</v>
      </c>
      <c r="V74" s="993"/>
      <c r="W74" s="993"/>
      <c r="X74" s="992" t="s">
        <v>139</v>
      </c>
      <c r="Y74" s="992"/>
      <c r="Z74" s="992"/>
      <c r="AA74" s="993" t="s">
        <v>140</v>
      </c>
      <c r="AB74" s="993"/>
      <c r="AC74" s="993"/>
    </row>
    <row r="75" spans="5:30" x14ac:dyDescent="0.5">
      <c r="R75" s="158">
        <f>VLOOKUP($E$2,LIJV!B11:G46,3)</f>
        <v>0</v>
      </c>
      <c r="S75" s="158">
        <f>VLOOKUP($E$2,LIJV!N11:S46,3)</f>
        <v>0</v>
      </c>
      <c r="T75" s="158">
        <f>VLOOKUP($E$2,LIJV!Z11:AE46,3)</f>
        <v>0</v>
      </c>
      <c r="U75" s="158">
        <f>VLOOKUP($E$2,LIJV!B11:G46,5)</f>
        <v>0</v>
      </c>
      <c r="V75" s="158">
        <f>VLOOKUP($E$2,LIJV!N11:S46,5)</f>
        <v>0</v>
      </c>
      <c r="W75" s="158">
        <f>VLOOKUP($E$2,LIJV!Z11:AE46,5)</f>
        <v>0</v>
      </c>
      <c r="X75" s="158">
        <f>VLOOKUP($E$2,LIJV!B11:G46,4)</f>
        <v>0</v>
      </c>
      <c r="Y75" s="158">
        <f>VLOOKUP($E$2,LIJV!N11:S46,4)</f>
        <v>0</v>
      </c>
      <c r="Z75" s="158">
        <f>VLOOKUP($E$2,LIJV!Z11:AE46,4)</f>
        <v>0</v>
      </c>
      <c r="AA75" s="158">
        <f>VLOOKUP($E$2,LIJV!B11:G46,6)</f>
        <v>0</v>
      </c>
      <c r="AB75" s="158">
        <f>VLOOKUP($E$2,LIJV!N11:S46,6)</f>
        <v>0</v>
      </c>
      <c r="AC75" s="158">
        <f>VLOOKUP($E$2,LIJV!Z11:AE46,6)</f>
        <v>0</v>
      </c>
    </row>
  </sheetData>
  <sheetProtection sheet="1" objects="1" scenarios="1"/>
  <mergeCells count="17">
    <mergeCell ref="A2:B2"/>
    <mergeCell ref="F2:AA2"/>
    <mergeCell ref="E31:F36"/>
    <mergeCell ref="G31:AD36"/>
    <mergeCell ref="AB2:AC2"/>
    <mergeCell ref="R74:T74"/>
    <mergeCell ref="U74:W74"/>
    <mergeCell ref="X74:Z74"/>
    <mergeCell ref="AA74:AC74"/>
    <mergeCell ref="E38:F43"/>
    <mergeCell ref="G38:AD43"/>
    <mergeCell ref="E45:F50"/>
    <mergeCell ref="G45:AD50"/>
    <mergeCell ref="E59:F65"/>
    <mergeCell ref="G59:AD65"/>
    <mergeCell ref="E52:F57"/>
    <mergeCell ref="G52:AD57"/>
  </mergeCells>
  <pageMargins left="0.78740157480314965" right="0.59055118110236227" top="0.59055118110236227" bottom="0" header="0.31496062992125984" footer="0.11811023622047245"/>
  <pageSetup paperSize="9" scale="37" orientation="portrait" horizontalDpi="4294967293" r:id="rId1"/>
  <headerFooter alignWithMargins="0">
    <oddFooter>&amp;R© www.meesterharrie.nl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ECFF"/>
    <pageSetUpPr fitToPage="1"/>
  </sheetPr>
  <dimension ref="A2:AD62"/>
  <sheetViews>
    <sheetView showGridLines="0" showRowColHeaders="0" zoomScale="42" zoomScaleNormal="42" workbookViewId="0"/>
  </sheetViews>
  <sheetFormatPr defaultColWidth="9.1796875" defaultRowHeight="18" x14ac:dyDescent="0.5"/>
  <cols>
    <col min="1" max="1" width="6.26953125" style="35" bestFit="1" customWidth="1"/>
    <col min="2" max="2" width="30.81640625" style="36" customWidth="1"/>
    <col min="3" max="3" width="4" style="35" customWidth="1"/>
    <col min="4" max="4" width="9.1796875" style="35" customWidth="1"/>
    <col min="5" max="5" width="18" style="35" customWidth="1"/>
    <col min="6" max="6" width="8.453125" style="35" customWidth="1"/>
    <col min="7" max="7" width="8.81640625" style="35" customWidth="1"/>
    <col min="8" max="10" width="9.453125" style="35" bestFit="1" customWidth="1"/>
    <col min="11" max="20" width="9.54296875" style="35" bestFit="1" customWidth="1"/>
    <col min="21" max="23" width="9.26953125" style="35" bestFit="1" customWidth="1"/>
    <col min="24" max="24" width="9.54296875" style="35" bestFit="1" customWidth="1"/>
    <col min="25" max="25" width="9.26953125" style="35" bestFit="1" customWidth="1"/>
    <col min="26" max="26" width="20.81640625" style="35" bestFit="1" customWidth="1"/>
    <col min="27" max="27" width="9.1796875" style="35"/>
    <col min="28" max="29" width="9.26953125" style="35" bestFit="1" customWidth="1"/>
    <col min="30" max="16384" width="9.1796875" style="35"/>
  </cols>
  <sheetData>
    <row r="2" spans="1:30" s="378" customFormat="1" ht="30.5" x14ac:dyDescent="0.85">
      <c r="A2" s="1029" t="s">
        <v>118</v>
      </c>
      <c r="B2" s="1030"/>
      <c r="D2" s="1027" t="s">
        <v>151</v>
      </c>
      <c r="E2" s="1027"/>
      <c r="F2" s="866"/>
      <c r="G2" s="866"/>
      <c r="H2" s="377">
        <v>15</v>
      </c>
      <c r="I2" s="1034">
        <f>VLOOKUP($H$2,BEGINBLAD!B4:C39,2)</f>
        <v>0</v>
      </c>
      <c r="J2" s="1035"/>
      <c r="K2" s="1035"/>
      <c r="L2" s="1035"/>
      <c r="M2" s="1035"/>
      <c r="N2" s="1035"/>
      <c r="O2" s="1035"/>
      <c r="P2" s="1035"/>
      <c r="Q2" s="1035"/>
      <c r="R2" s="1035"/>
      <c r="S2" s="1035"/>
      <c r="T2" s="1035"/>
      <c r="U2" s="1035"/>
      <c r="V2" s="1035"/>
      <c r="W2" s="1035"/>
      <c r="X2" s="1035"/>
      <c r="Y2" s="1035"/>
      <c r="Z2" s="1035"/>
      <c r="AA2" s="1036"/>
      <c r="AB2" s="1032" t="s">
        <v>119</v>
      </c>
      <c r="AC2" s="1033"/>
      <c r="AD2" s="498">
        <f>VLOOKUP($H$2,BEGINBLAD!B4:D39,3)</f>
        <v>0</v>
      </c>
    </row>
    <row r="3" spans="1:30" ht="28" customHeight="1" x14ac:dyDescent="0.5">
      <c r="I3" s="1031" t="s">
        <v>152</v>
      </c>
      <c r="J3" s="1031"/>
      <c r="K3" s="1031"/>
      <c r="L3" s="1031"/>
      <c r="M3" s="1031"/>
      <c r="N3" s="1031"/>
      <c r="O3" s="1031"/>
      <c r="P3" s="1031"/>
      <c r="Q3" s="1031"/>
      <c r="R3" s="1031"/>
      <c r="S3" s="1031"/>
      <c r="T3" s="1031"/>
      <c r="U3" s="1031"/>
      <c r="V3" s="1031"/>
      <c r="W3" s="1031"/>
      <c r="X3" s="1031"/>
      <c r="Y3" s="1031"/>
      <c r="Z3" s="1031"/>
      <c r="AA3" s="1031">
        <f>VLOOKUP(H2,'VERWIJZING - VO'!B4:AG39,32)</f>
        <v>0</v>
      </c>
      <c r="AB3" s="1031"/>
      <c r="AC3" s="1031"/>
      <c r="AD3" s="1031"/>
    </row>
    <row r="4" spans="1:30" ht="19.5" customHeight="1" x14ac:dyDescent="0.5"/>
    <row r="6" spans="1:30" x14ac:dyDescent="0.5">
      <c r="A6" s="125">
        <v>1</v>
      </c>
      <c r="B6" s="126" t="str">
        <f>BEGINBLAD!C4</f>
        <v>leerling 1</v>
      </c>
    </row>
    <row r="7" spans="1:30" x14ac:dyDescent="0.5">
      <c r="A7" s="125">
        <v>2</v>
      </c>
      <c r="B7" s="126" t="str">
        <f>BEGINBLAD!C5</f>
        <v>leerling 2</v>
      </c>
      <c r="H7" s="37"/>
      <c r="I7" s="37"/>
      <c r="J7" s="37"/>
      <c r="K7" s="37"/>
      <c r="L7" s="37"/>
      <c r="M7" s="37"/>
      <c r="N7" s="37"/>
      <c r="O7" s="37"/>
      <c r="P7" s="37"/>
      <c r="Q7" s="37"/>
      <c r="R7" s="37"/>
      <c r="S7" s="37"/>
      <c r="T7" s="37"/>
      <c r="U7" s="37"/>
    </row>
    <row r="8" spans="1:30" x14ac:dyDescent="0.5">
      <c r="A8" s="125">
        <v>3</v>
      </c>
      <c r="B8" s="126" t="str">
        <f>BEGINBLAD!C6</f>
        <v>leerling 3</v>
      </c>
      <c r="H8" s="37"/>
      <c r="I8" s="37"/>
      <c r="J8" s="37"/>
      <c r="K8" s="37"/>
      <c r="L8" s="37"/>
      <c r="M8" s="37"/>
      <c r="N8" s="37"/>
      <c r="O8" s="37"/>
      <c r="P8" s="37"/>
      <c r="Q8" s="37"/>
      <c r="R8" s="37"/>
      <c r="S8" s="37"/>
      <c r="T8" s="37"/>
      <c r="U8" s="37"/>
    </row>
    <row r="9" spans="1:30" x14ac:dyDescent="0.5">
      <c r="A9" s="125">
        <v>4</v>
      </c>
      <c r="B9" s="126" t="str">
        <f>BEGINBLAD!C7</f>
        <v>leerling 4</v>
      </c>
      <c r="H9" s="37"/>
      <c r="I9" s="37"/>
      <c r="J9" s="37"/>
      <c r="K9" s="37"/>
      <c r="L9" s="37"/>
      <c r="M9" s="37"/>
      <c r="N9" s="37"/>
      <c r="O9" s="37"/>
      <c r="P9" s="37"/>
      <c r="Q9" s="37"/>
      <c r="R9" s="37"/>
      <c r="S9" s="37"/>
      <c r="T9" s="37"/>
      <c r="U9" s="37"/>
    </row>
    <row r="10" spans="1:30" x14ac:dyDescent="0.5">
      <c r="A10" s="125">
        <v>5</v>
      </c>
      <c r="B10" s="126" t="str">
        <f>BEGINBLAD!C8</f>
        <v>leerling 5</v>
      </c>
      <c r="H10" s="37"/>
      <c r="I10" s="37"/>
      <c r="J10" s="37"/>
      <c r="K10" s="37"/>
      <c r="L10" s="37"/>
      <c r="M10" s="37"/>
      <c r="N10" s="37"/>
      <c r="O10" s="37"/>
      <c r="P10" s="37"/>
      <c r="Q10" s="37"/>
      <c r="R10" s="37"/>
      <c r="S10" s="37"/>
      <c r="T10" s="37"/>
      <c r="U10" s="37"/>
    </row>
    <row r="11" spans="1:30" x14ac:dyDescent="0.5">
      <c r="A11" s="125">
        <v>6</v>
      </c>
      <c r="B11" s="126" t="str">
        <f>BEGINBLAD!C9</f>
        <v>leerling 6</v>
      </c>
      <c r="H11" s="37"/>
      <c r="I11" s="37"/>
      <c r="J11" s="37"/>
      <c r="K11" s="37"/>
      <c r="L11" s="37"/>
      <c r="M11" s="37"/>
      <c r="N11" s="37"/>
      <c r="O11" s="37"/>
      <c r="P11" s="37"/>
      <c r="Q11" s="37"/>
      <c r="R11" s="37"/>
      <c r="S11" s="37"/>
      <c r="T11" s="37"/>
      <c r="U11" s="37"/>
    </row>
    <row r="12" spans="1:30" x14ac:dyDescent="0.5">
      <c r="A12" s="125">
        <v>7</v>
      </c>
      <c r="B12" s="126" t="str">
        <f>BEGINBLAD!C10</f>
        <v>leerling 7</v>
      </c>
      <c r="H12" s="37"/>
      <c r="I12" s="37"/>
      <c r="J12" s="37"/>
      <c r="K12" s="154" t="s">
        <v>120</v>
      </c>
      <c r="L12" s="155" t="s">
        <v>141</v>
      </c>
      <c r="M12" s="156" t="s">
        <v>146</v>
      </c>
      <c r="N12" s="154" t="s">
        <v>122</v>
      </c>
      <c r="O12" s="155" t="s">
        <v>142</v>
      </c>
      <c r="P12" s="156" t="s">
        <v>147</v>
      </c>
      <c r="Q12" s="154" t="s">
        <v>123</v>
      </c>
      <c r="R12" s="155" t="s">
        <v>143</v>
      </c>
      <c r="S12" s="156" t="s">
        <v>148</v>
      </c>
      <c r="T12" s="154" t="s">
        <v>124</v>
      </c>
      <c r="U12" s="155" t="s">
        <v>144</v>
      </c>
      <c r="V12" s="156" t="s">
        <v>149</v>
      </c>
      <c r="W12" s="154" t="s">
        <v>125</v>
      </c>
      <c r="X12" s="155" t="s">
        <v>145</v>
      </c>
      <c r="Y12" s="156" t="s">
        <v>150</v>
      </c>
      <c r="Z12" s="157" t="s">
        <v>153</v>
      </c>
      <c r="AA12" s="36" t="s">
        <v>154</v>
      </c>
      <c r="AB12" s="36"/>
      <c r="AC12" s="36"/>
    </row>
    <row r="13" spans="1:30" x14ac:dyDescent="0.5">
      <c r="A13" s="125">
        <v>8</v>
      </c>
      <c r="B13" s="126" t="str">
        <f>BEGINBLAD!C11</f>
        <v>leerling 8</v>
      </c>
      <c r="H13" s="38"/>
      <c r="I13" s="38"/>
      <c r="J13" s="38"/>
      <c r="K13" s="158">
        <f>VLOOKUP($H$2,'NIVEAU WAARDE - vorig jaar'!$B$9:$H$44,3)</f>
        <v>0</v>
      </c>
      <c r="L13" s="158">
        <f>VLOOKUP($H$2,'NIVEAU WAARDE - 1e toetsperiode'!$B$9:$H$44,3)</f>
        <v>0</v>
      </c>
      <c r="M13" s="158">
        <f>VLOOKUP($H$2,'NIVEAU WAARDE - 2e toetsperiode'!$B$9:$H$44,3)</f>
        <v>0</v>
      </c>
      <c r="N13" s="158">
        <f>VLOOKUP($H$2,'NIVEAU WAARDE - vorig jaar'!$B$9:$H$44,4)</f>
        <v>0</v>
      </c>
      <c r="O13" s="158">
        <f>VLOOKUP($H$2,'NIVEAU WAARDE - 1e toetsperiode'!$B$9:$H$44,4)</f>
        <v>0</v>
      </c>
      <c r="P13" s="158">
        <f>VLOOKUP($H$2,'NIVEAU WAARDE - 2e toetsperiode'!$B$9:$H$44,4)</f>
        <v>0</v>
      </c>
      <c r="Q13" s="158">
        <f>VLOOKUP($H$2,'NIVEAU WAARDE - vorig jaar'!$B$9:$H$44,5)</f>
        <v>0</v>
      </c>
      <c r="R13" s="158">
        <f>VLOOKUP($H$2,'NIVEAU WAARDE - 1e toetsperiode'!$B$9:$H$44,5)</f>
        <v>0</v>
      </c>
      <c r="S13" s="158">
        <f>VLOOKUP($H$2,'NIVEAU WAARDE - 2e toetsperiode'!$B$9:$H$44,5)</f>
        <v>0</v>
      </c>
      <c r="T13" s="158">
        <f>VLOOKUP($H$2,'NIVEAU WAARDE - vorig jaar'!$B$9:$H$44,6)</f>
        <v>0</v>
      </c>
      <c r="U13" s="158">
        <f>VLOOKUP($H$2,'NIVEAU WAARDE - 1e toetsperiode'!$B$9:$H$44,6)</f>
        <v>0</v>
      </c>
      <c r="V13" s="158">
        <f>VLOOKUP($H$2,'NIVEAU WAARDE - 2e toetsperiode'!$B$9:$H$44,6)</f>
        <v>0</v>
      </c>
      <c r="W13" s="158">
        <f>VLOOKUP($H$2,'NIVEAU WAARDE - vorig jaar'!$B$9:$H$44,7)</f>
        <v>0</v>
      </c>
      <c r="X13" s="158">
        <f>VLOOKUP($H$2,'NIVEAU WAARDE - 1e toetsperiode'!$B$9:$H$44,7)</f>
        <v>0</v>
      </c>
      <c r="Y13" s="158">
        <f>VLOOKUP($H$2,'NIVEAU WAARDE - 2e toetsperiode'!$B$9:$H$44,7)</f>
        <v>0</v>
      </c>
      <c r="Z13" s="159" t="e">
        <f>AC13/AB13</f>
        <v>#DIV/0!</v>
      </c>
      <c r="AA13" s="158" t="str">
        <f>VLOOKUP($H$2,AANLEG!B7:F42,5)</f>
        <v/>
      </c>
      <c r="AB13" s="36">
        <f>COUNTIF(K13:Y13,"&gt;0")</f>
        <v>0</v>
      </c>
      <c r="AC13" s="152">
        <f>SUM(K13:Y13)</f>
        <v>0</v>
      </c>
    </row>
    <row r="14" spans="1:30" x14ac:dyDescent="0.5">
      <c r="A14" s="125">
        <v>9</v>
      </c>
      <c r="B14" s="126">
        <f>BEGINBLAD!C12</f>
        <v>0</v>
      </c>
    </row>
    <row r="15" spans="1:30" x14ac:dyDescent="0.5">
      <c r="A15" s="125">
        <v>10</v>
      </c>
      <c r="B15" s="126">
        <f>BEGINBLAD!C13</f>
        <v>0</v>
      </c>
    </row>
    <row r="16" spans="1:30" x14ac:dyDescent="0.5">
      <c r="A16" s="125">
        <v>11</v>
      </c>
      <c r="B16" s="126">
        <f>BEGINBLAD!C14</f>
        <v>0</v>
      </c>
      <c r="H16" s="37"/>
      <c r="I16" s="37"/>
      <c r="J16" s="37"/>
      <c r="K16" s="37"/>
      <c r="L16" s="37"/>
      <c r="M16" s="37"/>
      <c r="N16" s="37"/>
      <c r="O16" s="37"/>
      <c r="P16" s="37"/>
      <c r="Q16" s="37"/>
      <c r="R16" s="37"/>
      <c r="S16" s="37"/>
      <c r="T16" s="37"/>
      <c r="U16" s="37"/>
    </row>
    <row r="17" spans="1:21" x14ac:dyDescent="0.5">
      <c r="A17" s="125">
        <v>12</v>
      </c>
      <c r="B17" s="126">
        <f>BEGINBLAD!C15</f>
        <v>0</v>
      </c>
      <c r="H17" s="37"/>
      <c r="I17" s="37"/>
      <c r="J17" s="37"/>
      <c r="K17" s="37"/>
      <c r="L17" s="37"/>
      <c r="M17" s="37"/>
      <c r="N17" s="37"/>
      <c r="O17" s="37"/>
      <c r="P17" s="37"/>
      <c r="Q17" s="37"/>
      <c r="R17" s="37"/>
      <c r="S17" s="37"/>
      <c r="T17" s="37"/>
      <c r="U17" s="37"/>
    </row>
    <row r="18" spans="1:21" x14ac:dyDescent="0.5">
      <c r="A18" s="125">
        <v>13</v>
      </c>
      <c r="B18" s="126">
        <f>BEGINBLAD!C16</f>
        <v>0</v>
      </c>
      <c r="H18" s="38"/>
      <c r="I18" s="37"/>
      <c r="J18" s="37"/>
      <c r="K18" s="37"/>
      <c r="L18" s="37"/>
      <c r="M18" s="37"/>
      <c r="N18" s="37"/>
      <c r="O18" s="37"/>
      <c r="P18" s="37"/>
      <c r="Q18" s="37"/>
      <c r="R18" s="37"/>
      <c r="S18" s="37"/>
      <c r="T18" s="37"/>
      <c r="U18" s="37"/>
    </row>
    <row r="19" spans="1:21" x14ac:dyDescent="0.5">
      <c r="A19" s="125">
        <v>14</v>
      </c>
      <c r="B19" s="126">
        <f>BEGINBLAD!C17</f>
        <v>0</v>
      </c>
      <c r="H19" s="38"/>
      <c r="I19" s="38"/>
      <c r="J19" s="38"/>
      <c r="K19" s="38"/>
      <c r="L19" s="37"/>
      <c r="M19" s="38"/>
      <c r="N19" s="37"/>
      <c r="O19" s="37"/>
      <c r="P19" s="38"/>
      <c r="Q19" s="37"/>
      <c r="R19" s="37"/>
      <c r="S19" s="37"/>
      <c r="T19" s="37"/>
      <c r="U19" s="37"/>
    </row>
    <row r="20" spans="1:21" x14ac:dyDescent="0.5">
      <c r="A20" s="125">
        <v>15</v>
      </c>
      <c r="B20" s="126">
        <f>BEGINBLAD!C18</f>
        <v>0</v>
      </c>
      <c r="H20" s="39"/>
      <c r="I20" s="39"/>
      <c r="J20" s="40"/>
      <c r="K20" s="40"/>
      <c r="L20" s="37"/>
      <c r="M20" s="39"/>
      <c r="N20" s="37"/>
      <c r="O20" s="37"/>
      <c r="P20" s="40"/>
      <c r="Q20" s="37"/>
      <c r="R20" s="37"/>
      <c r="S20" s="37"/>
      <c r="T20" s="37"/>
      <c r="U20" s="37"/>
    </row>
    <row r="21" spans="1:21" x14ac:dyDescent="0.5">
      <c r="A21" s="125">
        <v>16</v>
      </c>
      <c r="B21" s="126">
        <f>BEGINBLAD!C19</f>
        <v>0</v>
      </c>
      <c r="H21" s="37"/>
      <c r="I21" s="37"/>
      <c r="J21" s="37"/>
      <c r="K21" s="37"/>
      <c r="L21" s="37"/>
      <c r="M21" s="37"/>
      <c r="N21" s="37"/>
      <c r="O21" s="37"/>
      <c r="P21" s="37"/>
      <c r="Q21" s="37"/>
      <c r="R21" s="37"/>
      <c r="S21" s="37"/>
      <c r="T21" s="37"/>
      <c r="U21" s="37"/>
    </row>
    <row r="22" spans="1:21" x14ac:dyDescent="0.5">
      <c r="A22" s="125">
        <v>17</v>
      </c>
      <c r="B22" s="126">
        <f>BEGINBLAD!C20</f>
        <v>0</v>
      </c>
      <c r="H22" s="37"/>
      <c r="I22" s="37"/>
      <c r="J22" s="37"/>
      <c r="K22" s="37"/>
      <c r="L22" s="37"/>
      <c r="M22" s="37"/>
      <c r="N22" s="37"/>
      <c r="O22" s="37"/>
      <c r="P22" s="37"/>
      <c r="Q22" s="37"/>
      <c r="R22" s="37"/>
      <c r="S22" s="37"/>
      <c r="T22" s="37"/>
      <c r="U22" s="37"/>
    </row>
    <row r="23" spans="1:21" ht="15" customHeight="1" x14ac:dyDescent="0.5">
      <c r="A23" s="125">
        <v>18</v>
      </c>
      <c r="B23" s="126">
        <f>BEGINBLAD!C21</f>
        <v>0</v>
      </c>
    </row>
    <row r="24" spans="1:21" x14ac:dyDescent="0.5">
      <c r="A24" s="125">
        <v>19</v>
      </c>
      <c r="B24" s="126">
        <f>BEGINBLAD!C22</f>
        <v>0</v>
      </c>
    </row>
    <row r="25" spans="1:21" x14ac:dyDescent="0.5">
      <c r="A25" s="125">
        <v>20</v>
      </c>
      <c r="B25" s="126">
        <f>BEGINBLAD!C23</f>
        <v>0</v>
      </c>
    </row>
    <row r="26" spans="1:21" x14ac:dyDescent="0.5">
      <c r="A26" s="125">
        <v>21</v>
      </c>
      <c r="B26" s="126">
        <f>BEGINBLAD!C24</f>
        <v>0</v>
      </c>
    </row>
    <row r="27" spans="1:21" x14ac:dyDescent="0.5">
      <c r="A27" s="125">
        <v>22</v>
      </c>
      <c r="B27" s="126">
        <f>BEGINBLAD!C25</f>
        <v>0</v>
      </c>
    </row>
    <row r="28" spans="1:21" ht="15.75" customHeight="1" x14ac:dyDescent="0.5">
      <c r="A28" s="125">
        <v>23</v>
      </c>
      <c r="B28" s="126">
        <f>BEGINBLAD!C26</f>
        <v>0</v>
      </c>
    </row>
    <row r="29" spans="1:21" x14ac:dyDescent="0.5">
      <c r="A29" s="125">
        <v>24</v>
      </c>
      <c r="B29" s="126">
        <f>BEGINBLAD!C27</f>
        <v>0</v>
      </c>
    </row>
    <row r="30" spans="1:21" x14ac:dyDescent="0.5">
      <c r="A30" s="125">
        <v>25</v>
      </c>
      <c r="B30" s="126">
        <f>BEGINBLAD!C28</f>
        <v>0</v>
      </c>
    </row>
    <row r="31" spans="1:21" x14ac:dyDescent="0.5">
      <c r="A31" s="125">
        <v>26</v>
      </c>
      <c r="B31" s="126">
        <f>BEGINBLAD!C29</f>
        <v>0</v>
      </c>
    </row>
    <row r="32" spans="1:21" x14ac:dyDescent="0.5">
      <c r="A32" s="125">
        <v>27</v>
      </c>
      <c r="B32" s="126">
        <f>BEGINBLAD!C30</f>
        <v>0</v>
      </c>
    </row>
    <row r="33" spans="1:7" x14ac:dyDescent="0.5">
      <c r="A33" s="125">
        <v>28</v>
      </c>
      <c r="B33" s="126">
        <f>BEGINBLAD!C31</f>
        <v>0</v>
      </c>
    </row>
    <row r="34" spans="1:7" x14ac:dyDescent="0.5">
      <c r="A34" s="125">
        <v>29</v>
      </c>
      <c r="B34" s="126">
        <f>BEGINBLAD!C32</f>
        <v>0</v>
      </c>
    </row>
    <row r="35" spans="1:7" x14ac:dyDescent="0.5">
      <c r="A35" s="125">
        <v>30</v>
      </c>
      <c r="B35" s="126">
        <f>BEGINBLAD!C33</f>
        <v>0</v>
      </c>
    </row>
    <row r="36" spans="1:7" x14ac:dyDescent="0.5">
      <c r="A36" s="125">
        <v>31</v>
      </c>
      <c r="B36" s="126">
        <f>BEGINBLAD!C34</f>
        <v>0</v>
      </c>
    </row>
    <row r="37" spans="1:7" x14ac:dyDescent="0.5">
      <c r="A37" s="125">
        <v>32</v>
      </c>
      <c r="B37" s="126">
        <f>BEGINBLAD!C35</f>
        <v>0</v>
      </c>
    </row>
    <row r="38" spans="1:7" x14ac:dyDescent="0.5">
      <c r="A38" s="125">
        <v>33</v>
      </c>
      <c r="B38" s="126">
        <f>BEGINBLAD!C36</f>
        <v>0</v>
      </c>
    </row>
    <row r="39" spans="1:7" x14ac:dyDescent="0.5">
      <c r="A39" s="125">
        <v>34</v>
      </c>
      <c r="B39" s="126">
        <f>BEGINBLAD!C37</f>
        <v>0</v>
      </c>
    </row>
    <row r="40" spans="1:7" x14ac:dyDescent="0.5">
      <c r="A40" s="125">
        <v>35</v>
      </c>
      <c r="B40" s="126">
        <f>BEGINBLAD!C38</f>
        <v>0</v>
      </c>
    </row>
    <row r="41" spans="1:7" x14ac:dyDescent="0.5">
      <c r="A41" s="125">
        <v>36</v>
      </c>
      <c r="B41" s="126">
        <f>BEGINBLAD!C39</f>
        <v>0</v>
      </c>
    </row>
    <row r="43" spans="1:7" ht="26" x14ac:dyDescent="0.6">
      <c r="D43" s="1028" t="s">
        <v>155</v>
      </c>
      <c r="E43" s="1028"/>
      <c r="F43" s="1028"/>
      <c r="G43" s="1028"/>
    </row>
    <row r="53" spans="2:30" x14ac:dyDescent="0.5">
      <c r="J53" s="992" t="s">
        <v>137</v>
      </c>
      <c r="K53" s="992"/>
      <c r="L53" s="992"/>
      <c r="M53" s="993" t="s">
        <v>138</v>
      </c>
      <c r="N53" s="993"/>
      <c r="O53" s="993"/>
      <c r="P53" s="992" t="s">
        <v>139</v>
      </c>
      <c r="Q53" s="992"/>
      <c r="R53" s="992"/>
      <c r="S53" s="993" t="s">
        <v>140</v>
      </c>
      <c r="T53" s="993"/>
      <c r="U53" s="993"/>
      <c r="V53" s="156" t="s">
        <v>69</v>
      </c>
      <c r="W53" s="156"/>
      <c r="X53" s="156"/>
    </row>
    <row r="54" spans="2:30" x14ac:dyDescent="0.5">
      <c r="J54" s="158">
        <f>VLOOKUP($H$2,LIJV!$B11:$AE46,3)</f>
        <v>0</v>
      </c>
      <c r="K54" s="158">
        <f>VLOOKUP($H$2,LIJV!$B11:$AE46,15)</f>
        <v>0</v>
      </c>
      <c r="L54" s="158">
        <f>VLOOKUP($H$2,LIJV!$B11:$AE46,27)</f>
        <v>0</v>
      </c>
      <c r="M54" s="158">
        <f>VLOOKUP($H$2,LIJV!$B11:$AE46,5)</f>
        <v>0</v>
      </c>
      <c r="N54" s="158">
        <f>VLOOKUP($H$2,LIJV!$B11:$AE46,17)</f>
        <v>0</v>
      </c>
      <c r="O54" s="158">
        <f>VLOOKUP($H$2,LIJV!$B11:$AE46,29)</f>
        <v>0</v>
      </c>
      <c r="P54" s="158">
        <f>VLOOKUP($H$2,LIJV!$B11:$AE46,4)</f>
        <v>0</v>
      </c>
      <c r="Q54" s="158">
        <f>VLOOKUP($H$2,LIJV!$B11:$AE46,16)</f>
        <v>0</v>
      </c>
      <c r="R54" s="158">
        <f>VLOOKUP($H$2,LIJV!$B11:$AE46,28)</f>
        <v>0</v>
      </c>
      <c r="S54" s="158">
        <f>VLOOKUP($H$2,LIJV!$B11:$AE46,6)</f>
        <v>0</v>
      </c>
      <c r="T54" s="158">
        <f>VLOOKUP($H$2,LIJV!$B11:$AE46,18)</f>
        <v>0</v>
      </c>
      <c r="U54" s="158">
        <f>VLOOKUP($H$2,LIJV!$B11:$AE46,30)</f>
        <v>0</v>
      </c>
      <c r="V54" s="158">
        <v>4</v>
      </c>
      <c r="W54" s="158"/>
      <c r="X54" s="158"/>
    </row>
    <row r="58" spans="2:30" ht="30" customHeight="1" x14ac:dyDescent="0.5"/>
    <row r="59" spans="2:30" ht="26.5" thickBot="1" x14ac:dyDescent="0.65">
      <c r="D59" s="1028" t="s">
        <v>156</v>
      </c>
      <c r="E59" s="1028"/>
      <c r="F59" s="1028"/>
      <c r="G59" s="1028"/>
    </row>
    <row r="60" spans="2:30" s="888" customFormat="1" ht="90" customHeight="1" x14ac:dyDescent="0.5">
      <c r="B60" s="887"/>
      <c r="D60" s="1046">
        <f>VLOOKUP($H$2,GROEPSBESPREKING!B3:I38,3)</f>
        <v>0</v>
      </c>
      <c r="E60" s="1047"/>
      <c r="F60" s="1047"/>
      <c r="G60" s="1047"/>
      <c r="H60" s="1037">
        <f>VLOOKUP($H$2,GROEPSBESPREKING!B3:I38,4)</f>
        <v>0</v>
      </c>
      <c r="I60" s="1038"/>
      <c r="J60" s="1038"/>
      <c r="K60" s="1038"/>
      <c r="L60" s="1038"/>
      <c r="M60" s="1038"/>
      <c r="N60" s="1038"/>
      <c r="O60" s="1038"/>
      <c r="P60" s="1038"/>
      <c r="Q60" s="1038"/>
      <c r="R60" s="1038"/>
      <c r="S60" s="1038"/>
      <c r="T60" s="1038"/>
      <c r="U60" s="1038"/>
      <c r="V60" s="1038"/>
      <c r="W60" s="1038"/>
      <c r="X60" s="1038"/>
      <c r="Y60" s="1038"/>
      <c r="Z60" s="1038"/>
      <c r="AA60" s="1038"/>
      <c r="AB60" s="1038"/>
      <c r="AC60" s="1038"/>
      <c r="AD60" s="1039"/>
    </row>
    <row r="61" spans="2:30" s="888" customFormat="1" ht="90" customHeight="1" x14ac:dyDescent="0.5">
      <c r="B61" s="887"/>
      <c r="D61" s="1048">
        <f>VLOOKUP($H$2,GROEPSBESPREKING!B3:I38,5)</f>
        <v>0</v>
      </c>
      <c r="E61" s="1049"/>
      <c r="F61" s="1049"/>
      <c r="G61" s="1049"/>
      <c r="H61" s="1040">
        <f>VLOOKUP($H$2,GROEPSBESPREKING!B3:I38,6)</f>
        <v>0</v>
      </c>
      <c r="I61" s="1041"/>
      <c r="J61" s="1041"/>
      <c r="K61" s="1041"/>
      <c r="L61" s="1041"/>
      <c r="M61" s="1041"/>
      <c r="N61" s="1041"/>
      <c r="O61" s="1041"/>
      <c r="P61" s="1041"/>
      <c r="Q61" s="1041"/>
      <c r="R61" s="1041"/>
      <c r="S61" s="1041"/>
      <c r="T61" s="1041"/>
      <c r="U61" s="1041"/>
      <c r="V61" s="1041"/>
      <c r="W61" s="1041"/>
      <c r="X61" s="1041"/>
      <c r="Y61" s="1041"/>
      <c r="Z61" s="1041"/>
      <c r="AA61" s="1041"/>
      <c r="AB61" s="1041"/>
      <c r="AC61" s="1041"/>
      <c r="AD61" s="1042"/>
    </row>
    <row r="62" spans="2:30" s="888" customFormat="1" ht="90" customHeight="1" thickBot="1" x14ac:dyDescent="0.55000000000000004">
      <c r="B62" s="887"/>
      <c r="D62" s="1050">
        <f>VLOOKUP($H$2,GROEPSBESPREKING!B3:I38,7)</f>
        <v>0</v>
      </c>
      <c r="E62" s="1051"/>
      <c r="F62" s="1051"/>
      <c r="G62" s="1051"/>
      <c r="H62" s="1043">
        <f>VLOOKUP($H$2,GROEPSBESPREKING!B3:I38,8)</f>
        <v>0</v>
      </c>
      <c r="I62" s="1044"/>
      <c r="J62" s="1044"/>
      <c r="K62" s="1044"/>
      <c r="L62" s="1044"/>
      <c r="M62" s="1044"/>
      <c r="N62" s="1044"/>
      <c r="O62" s="1044"/>
      <c r="P62" s="1044"/>
      <c r="Q62" s="1044"/>
      <c r="R62" s="1044"/>
      <c r="S62" s="1044"/>
      <c r="T62" s="1044"/>
      <c r="U62" s="1044"/>
      <c r="V62" s="1044"/>
      <c r="W62" s="1044"/>
      <c r="X62" s="1044"/>
      <c r="Y62" s="1044"/>
      <c r="Z62" s="1044"/>
      <c r="AA62" s="1044"/>
      <c r="AB62" s="1044"/>
      <c r="AC62" s="1044"/>
      <c r="AD62" s="1045"/>
    </row>
  </sheetData>
  <sheetProtection sheet="1" objects="1" scenarios="1"/>
  <mergeCells count="18">
    <mergeCell ref="D59:G59"/>
    <mergeCell ref="H60:AD60"/>
    <mergeCell ref="H61:AD61"/>
    <mergeCell ref="H62:AD62"/>
    <mergeCell ref="D60:G60"/>
    <mergeCell ref="D61:G61"/>
    <mergeCell ref="D62:G62"/>
    <mergeCell ref="A2:B2"/>
    <mergeCell ref="I3:Z3"/>
    <mergeCell ref="AA3:AD3"/>
    <mergeCell ref="AB2:AC2"/>
    <mergeCell ref="I2:AA2"/>
    <mergeCell ref="J53:L53"/>
    <mergeCell ref="M53:O53"/>
    <mergeCell ref="P53:R53"/>
    <mergeCell ref="S53:U53"/>
    <mergeCell ref="D2:E2"/>
    <mergeCell ref="D43:G43"/>
  </mergeCells>
  <pageMargins left="1.9685039370078741" right="0.23622047244094491" top="0.98425196850393704" bottom="0.98425196850393704" header="0.51181102362204722" footer="0.51181102362204722"/>
  <pageSetup paperSize="9" scale="32" orientation="landscape" r:id="rId1"/>
  <headerFooter alignWithMargins="0">
    <oddHeader>&amp;C&amp;14Ontwikkelings Perspectief (OPP)</oddHeader>
    <oddFooter>&amp;R© www.meesterharrie.nl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ECFF"/>
    <pageSetUpPr fitToPage="1"/>
  </sheetPr>
  <dimension ref="A2:AC41"/>
  <sheetViews>
    <sheetView showGridLines="0" showRowColHeaders="0" zoomScale="50" zoomScaleNormal="50" workbookViewId="0">
      <selection activeCell="G3" sqref="G3"/>
    </sheetView>
  </sheetViews>
  <sheetFormatPr defaultColWidth="9.1796875" defaultRowHeight="18" x14ac:dyDescent="0.5"/>
  <cols>
    <col min="1" max="1" width="6.26953125" style="35" bestFit="1" customWidth="1"/>
    <col min="2" max="2" width="30.81640625" style="36" customWidth="1"/>
    <col min="3" max="3" width="4" style="35" customWidth="1"/>
    <col min="4" max="4" width="18" style="35" customWidth="1"/>
    <col min="5" max="5" width="8.453125" style="35" customWidth="1"/>
    <col min="6" max="6" width="8.81640625" style="35" customWidth="1"/>
    <col min="7" max="7" width="9.54296875" style="35" bestFit="1" customWidth="1"/>
    <col min="8" max="9" width="9.453125" style="35" bestFit="1" customWidth="1"/>
    <col min="10" max="19" width="9.54296875" style="35" bestFit="1" customWidth="1"/>
    <col min="20" max="22" width="9.26953125" style="35" bestFit="1" customWidth="1"/>
    <col min="23" max="23" width="9.54296875" style="35" bestFit="1" customWidth="1"/>
    <col min="24" max="24" width="9.26953125" style="35" bestFit="1" customWidth="1"/>
    <col min="25" max="25" width="21.7265625" style="35" bestFit="1" customWidth="1"/>
    <col min="26" max="26" width="9.1796875" style="35"/>
    <col min="27" max="28" width="9.26953125" style="35" bestFit="1" customWidth="1"/>
    <col min="29" max="16384" width="9.1796875" style="35"/>
  </cols>
  <sheetData>
    <row r="2" spans="1:29" s="378" customFormat="1" ht="30.5" x14ac:dyDescent="0.85">
      <c r="A2" s="1029" t="s">
        <v>118</v>
      </c>
      <c r="B2" s="1030"/>
      <c r="D2" s="1027" t="s">
        <v>151</v>
      </c>
      <c r="E2" s="1027"/>
      <c r="F2" s="866"/>
      <c r="G2" s="377">
        <v>5</v>
      </c>
      <c r="H2" s="1052" t="str">
        <f>VLOOKUP($G$2,BEGINBLAD!B4:C39,2)</f>
        <v>leerling 5</v>
      </c>
      <c r="I2" s="1052"/>
      <c r="J2" s="1052"/>
      <c r="K2" s="1052"/>
      <c r="L2" s="1052"/>
      <c r="M2" s="1052"/>
      <c r="N2" s="1052"/>
      <c r="O2" s="1052"/>
      <c r="P2" s="1052"/>
      <c r="Q2" s="1052"/>
      <c r="R2" s="1052"/>
      <c r="S2" s="1052"/>
      <c r="T2" s="1052"/>
      <c r="U2" s="1052"/>
      <c r="V2" s="1052"/>
      <c r="W2" s="1052"/>
      <c r="X2" s="1052"/>
      <c r="Y2" s="1052"/>
      <c r="Z2" s="1053" t="str">
        <f>BEGINBLAD!$I$2</f>
        <v>groep 6</v>
      </c>
      <c r="AA2" s="1054"/>
      <c r="AB2" s="1054"/>
      <c r="AC2" s="1055"/>
    </row>
    <row r="3" spans="1:29" ht="28" customHeight="1" x14ac:dyDescent="0.5">
      <c r="H3" s="1031" t="s">
        <v>152</v>
      </c>
      <c r="I3" s="1031"/>
      <c r="J3" s="1031"/>
      <c r="K3" s="1031"/>
      <c r="L3" s="1031"/>
      <c r="M3" s="1031"/>
      <c r="N3" s="1031"/>
      <c r="O3" s="1031"/>
      <c r="P3" s="1031"/>
      <c r="Q3" s="1031"/>
      <c r="R3" s="1031"/>
      <c r="S3" s="1031"/>
      <c r="T3" s="1031"/>
      <c r="U3" s="1031"/>
      <c r="V3" s="1031"/>
      <c r="W3" s="1031"/>
      <c r="X3" s="1031"/>
      <c r="Y3" s="1031"/>
      <c r="Z3" s="1031">
        <f>VLOOKUP(G2,'VERWIJZING - VO'!B4:AG39,32)</f>
        <v>0</v>
      </c>
      <c r="AA3" s="1031"/>
      <c r="AB3" s="1031"/>
      <c r="AC3" s="1031"/>
    </row>
    <row r="4" spans="1:29" ht="19.5" customHeight="1" x14ac:dyDescent="0.5"/>
    <row r="6" spans="1:29" x14ac:dyDescent="0.5">
      <c r="A6" s="125">
        <v>1</v>
      </c>
      <c r="B6" s="126" t="str">
        <f>BEGINBLAD!C4</f>
        <v>leerling 1</v>
      </c>
    </row>
    <row r="7" spans="1:29" x14ac:dyDescent="0.5">
      <c r="A7" s="125">
        <v>2</v>
      </c>
      <c r="B7" s="126" t="str">
        <f>BEGINBLAD!C5</f>
        <v>leerling 2</v>
      </c>
      <c r="G7" s="37"/>
      <c r="H7" s="37"/>
      <c r="I7" s="37"/>
      <c r="J7" s="37"/>
      <c r="K7" s="37"/>
      <c r="L7" s="37"/>
      <c r="M7" s="37"/>
      <c r="N7" s="37"/>
      <c r="O7" s="37"/>
      <c r="P7" s="37"/>
      <c r="Q7" s="37"/>
      <c r="R7" s="37"/>
      <c r="S7" s="37"/>
      <c r="T7" s="37"/>
    </row>
    <row r="8" spans="1:29" x14ac:dyDescent="0.5">
      <c r="A8" s="125">
        <v>3</v>
      </c>
      <c r="B8" s="126" t="str">
        <f>BEGINBLAD!C6</f>
        <v>leerling 3</v>
      </c>
      <c r="G8" s="37"/>
      <c r="H8" s="37"/>
      <c r="I8" s="37"/>
      <c r="J8" s="37"/>
      <c r="K8" s="37"/>
      <c r="L8" s="37"/>
      <c r="M8" s="37"/>
      <c r="N8" s="37"/>
      <c r="O8" s="37"/>
      <c r="P8" s="37"/>
      <c r="Q8" s="37"/>
      <c r="R8" s="37"/>
      <c r="S8" s="37"/>
      <c r="T8" s="37"/>
    </row>
    <row r="9" spans="1:29" x14ac:dyDescent="0.5">
      <c r="A9" s="125">
        <v>4</v>
      </c>
      <c r="B9" s="126" t="str">
        <f>BEGINBLAD!C7</f>
        <v>leerling 4</v>
      </c>
      <c r="G9" s="37"/>
      <c r="H9" s="37"/>
      <c r="I9" s="37"/>
      <c r="J9" s="37"/>
      <c r="K9" s="37"/>
      <c r="L9" s="37"/>
      <c r="M9" s="37"/>
      <c r="N9" s="37"/>
      <c r="O9" s="37"/>
      <c r="P9" s="37"/>
      <c r="Q9" s="37"/>
      <c r="R9" s="37"/>
      <c r="S9" s="37"/>
      <c r="T9" s="37"/>
    </row>
    <row r="10" spans="1:29" x14ac:dyDescent="0.5">
      <c r="A10" s="125">
        <v>5</v>
      </c>
      <c r="B10" s="126" t="str">
        <f>BEGINBLAD!C8</f>
        <v>leerling 5</v>
      </c>
      <c r="G10" s="37"/>
      <c r="H10" s="37"/>
      <c r="I10" s="37"/>
      <c r="J10" s="37"/>
      <c r="K10" s="37"/>
      <c r="L10" s="37"/>
      <c r="M10" s="37"/>
      <c r="N10" s="37"/>
      <c r="O10" s="37"/>
      <c r="P10" s="37"/>
      <c r="Q10" s="37"/>
      <c r="R10" s="37"/>
      <c r="S10" s="37"/>
      <c r="T10" s="37"/>
    </row>
    <row r="11" spans="1:29" x14ac:dyDescent="0.5">
      <c r="A11" s="125">
        <v>6</v>
      </c>
      <c r="B11" s="126" t="str">
        <f>BEGINBLAD!C9</f>
        <v>leerling 6</v>
      </c>
      <c r="G11" s="37"/>
      <c r="H11" s="37"/>
      <c r="I11" s="37"/>
      <c r="J11" s="37"/>
      <c r="K11" s="37"/>
      <c r="L11" s="37"/>
      <c r="M11" s="37"/>
      <c r="N11" s="37"/>
      <c r="O11" s="37"/>
      <c r="P11" s="37"/>
      <c r="Q11" s="37"/>
      <c r="R11" s="37"/>
      <c r="S11" s="37"/>
      <c r="T11" s="37"/>
    </row>
    <row r="12" spans="1:29" x14ac:dyDescent="0.5">
      <c r="A12" s="125">
        <v>7</v>
      </c>
      <c r="B12" s="126" t="str">
        <f>BEGINBLAD!C10</f>
        <v>leerling 7</v>
      </c>
      <c r="G12" s="37"/>
      <c r="H12" s="37"/>
      <c r="I12" s="37"/>
      <c r="J12" s="154" t="s">
        <v>120</v>
      </c>
      <c r="K12" s="155" t="s">
        <v>141</v>
      </c>
      <c r="L12" s="156" t="s">
        <v>146</v>
      </c>
      <c r="M12" s="154" t="s">
        <v>122</v>
      </c>
      <c r="N12" s="155" t="s">
        <v>142</v>
      </c>
      <c r="O12" s="156" t="s">
        <v>147</v>
      </c>
      <c r="P12" s="154" t="s">
        <v>123</v>
      </c>
      <c r="Q12" s="155" t="s">
        <v>143</v>
      </c>
      <c r="R12" s="156" t="s">
        <v>148</v>
      </c>
      <c r="S12" s="154" t="s">
        <v>124</v>
      </c>
      <c r="T12" s="155" t="s">
        <v>144</v>
      </c>
      <c r="U12" s="156" t="s">
        <v>149</v>
      </c>
      <c r="V12" s="154" t="s">
        <v>125</v>
      </c>
      <c r="W12" s="155" t="s">
        <v>145</v>
      </c>
      <c r="X12" s="156" t="s">
        <v>150</v>
      </c>
      <c r="Y12" s="157" t="s">
        <v>157</v>
      </c>
      <c r="Z12" s="36" t="s">
        <v>154</v>
      </c>
      <c r="AA12" s="36"/>
      <c r="AB12" s="36"/>
    </row>
    <row r="13" spans="1:29" x14ac:dyDescent="0.5">
      <c r="A13" s="125">
        <v>8</v>
      </c>
      <c r="B13" s="126" t="str">
        <f>BEGINBLAD!C11</f>
        <v>leerling 8</v>
      </c>
      <c r="G13" s="38"/>
      <c r="H13" s="38"/>
      <c r="I13" s="38"/>
      <c r="J13" s="158">
        <f>VLOOKUP($G$2,'NIVEAU WAARDE - vorig jaar'!$B$9:$Y$44,20)</f>
        <v>46</v>
      </c>
      <c r="K13" s="158">
        <f>VLOOKUP($G$2,'NIVEAU WAARDE - 1e toetsperiode'!$B$9:$Y$44,20)</f>
        <v>0</v>
      </c>
      <c r="L13" s="158">
        <f>VLOOKUP($G$2,'NIVEAU WAARDE - 2e toetsperiode'!$B$9:$Y$44,20)</f>
        <v>0</v>
      </c>
      <c r="M13" s="158">
        <f>VLOOKUP($G$2,'NIVEAU WAARDE - vorig jaar'!$B$9:$Y$44,21)</f>
        <v>0</v>
      </c>
      <c r="N13" s="158">
        <f>VLOOKUP($G$2,'NIVEAU WAARDE - 1e toetsperiode'!$B$9:$Y$44,21)</f>
        <v>0</v>
      </c>
      <c r="O13" s="158">
        <f>VLOOKUP($G$2,'NIVEAU WAARDE - 2e toetsperiode'!$B$9:$Y$44,21)</f>
        <v>0</v>
      </c>
      <c r="P13" s="158">
        <f>VLOOKUP($G$2,'NIVEAU WAARDE - vorig jaar'!$B$9:$Y$44,22)</f>
        <v>43</v>
      </c>
      <c r="Q13" s="158">
        <f>VLOOKUP($G$2,'NIVEAU WAARDE - 1e toetsperiode'!$B$9:$Y$44,22)</f>
        <v>0</v>
      </c>
      <c r="R13" s="158">
        <f>VLOOKUP($G$2,'NIVEAU WAARDE - 2e toetsperiode'!$B$9:$Y$44,22)</f>
        <v>0</v>
      </c>
      <c r="S13" s="158">
        <f>VLOOKUP($G$2,'NIVEAU WAARDE - vorig jaar'!$B$9:$Y$44,23)</f>
        <v>45</v>
      </c>
      <c r="T13" s="158">
        <f>VLOOKUP($G$2,'NIVEAU WAARDE - 1e toetsperiode'!$B$9:$Y$44,23)</f>
        <v>0</v>
      </c>
      <c r="U13" s="158">
        <f>VLOOKUP($G$2,'NIVEAU WAARDE - 2e toetsperiode'!$B$9:$Y$44,23)</f>
        <v>0</v>
      </c>
      <c r="V13" s="158">
        <f>VLOOKUP($G$2,'NIVEAU WAARDE - vorig jaar'!$B$9:$Y$44,24)</f>
        <v>33</v>
      </c>
      <c r="W13" s="158">
        <f>VLOOKUP($G$2,'NIVEAU WAARDE - 1e toetsperiode'!$B$9:$Y$44,24)</f>
        <v>0</v>
      </c>
      <c r="X13" s="158">
        <f>VLOOKUP($G$2,'NIVEAU WAARDE - 2e toetsperiode'!$B$9:$Y$44,24)</f>
        <v>0</v>
      </c>
      <c r="Y13" s="159">
        <f>AB13/AA13</f>
        <v>41.75</v>
      </c>
      <c r="Z13" s="158">
        <f>VLOOKUP($G$2,AANLEG!B7:F42,5)</f>
        <v>4</v>
      </c>
      <c r="AA13" s="36">
        <f>COUNTIF(J13:X13,"&gt;0")</f>
        <v>4</v>
      </c>
      <c r="AB13" s="152">
        <f>SUM(J13:X13)</f>
        <v>167</v>
      </c>
    </row>
    <row r="14" spans="1:29" x14ac:dyDescent="0.5">
      <c r="A14" s="125">
        <v>9</v>
      </c>
      <c r="B14" s="126">
        <f>BEGINBLAD!C12</f>
        <v>0</v>
      </c>
    </row>
    <row r="15" spans="1:29" x14ac:dyDescent="0.5">
      <c r="A15" s="125">
        <v>10</v>
      </c>
      <c r="B15" s="126">
        <f>BEGINBLAD!C13</f>
        <v>0</v>
      </c>
    </row>
    <row r="16" spans="1:29" x14ac:dyDescent="0.5">
      <c r="A16" s="125">
        <v>11</v>
      </c>
      <c r="B16" s="126">
        <f>BEGINBLAD!C14</f>
        <v>0</v>
      </c>
      <c r="G16" s="37"/>
      <c r="H16" s="37"/>
      <c r="I16" s="37"/>
      <c r="J16" s="37"/>
      <c r="K16" s="37"/>
      <c r="L16" s="37"/>
      <c r="M16" s="37"/>
      <c r="N16" s="37"/>
      <c r="O16" s="37"/>
      <c r="P16" s="37"/>
      <c r="Q16" s="37"/>
      <c r="R16" s="37"/>
      <c r="S16" s="37"/>
      <c r="T16" s="37"/>
    </row>
    <row r="17" spans="1:20" x14ac:dyDescent="0.5">
      <c r="A17" s="125">
        <v>12</v>
      </c>
      <c r="B17" s="126">
        <f>BEGINBLAD!C15</f>
        <v>0</v>
      </c>
      <c r="G17" s="37"/>
      <c r="H17" s="37"/>
      <c r="I17" s="37"/>
      <c r="J17" s="37"/>
      <c r="K17" s="37"/>
      <c r="L17" s="37"/>
      <c r="M17" s="37"/>
      <c r="N17" s="37"/>
      <c r="O17" s="37"/>
      <c r="P17" s="37"/>
      <c r="Q17" s="37"/>
      <c r="R17" s="37"/>
      <c r="S17" s="37"/>
      <c r="T17" s="37"/>
    </row>
    <row r="18" spans="1:20" x14ac:dyDescent="0.5">
      <c r="A18" s="125">
        <v>13</v>
      </c>
      <c r="B18" s="126">
        <f>BEGINBLAD!C16</f>
        <v>0</v>
      </c>
      <c r="G18" s="38"/>
      <c r="H18" s="37"/>
      <c r="I18" s="37"/>
      <c r="J18" s="37"/>
      <c r="K18" s="37"/>
      <c r="L18" s="37"/>
      <c r="M18" s="37"/>
      <c r="N18" s="37"/>
      <c r="O18" s="37"/>
      <c r="P18" s="37"/>
      <c r="Q18" s="37"/>
      <c r="R18" s="37"/>
      <c r="S18" s="37"/>
      <c r="T18" s="37"/>
    </row>
    <row r="19" spans="1:20" x14ac:dyDescent="0.5">
      <c r="A19" s="125">
        <v>14</v>
      </c>
      <c r="B19" s="126">
        <f>BEGINBLAD!C17</f>
        <v>0</v>
      </c>
      <c r="G19" s="38"/>
      <c r="H19" s="38"/>
      <c r="I19" s="38"/>
      <c r="J19" s="38"/>
      <c r="K19" s="37"/>
      <c r="L19" s="38"/>
      <c r="M19" s="37"/>
      <c r="N19" s="37"/>
      <c r="O19" s="38"/>
      <c r="P19" s="37"/>
      <c r="Q19" s="37"/>
      <c r="R19" s="37"/>
      <c r="S19" s="37"/>
      <c r="T19" s="37"/>
    </row>
    <row r="20" spans="1:20" x14ac:dyDescent="0.5">
      <c r="A20" s="125">
        <v>15</v>
      </c>
      <c r="B20" s="126">
        <f>BEGINBLAD!C18</f>
        <v>0</v>
      </c>
      <c r="G20" s="39"/>
      <c r="H20" s="39"/>
      <c r="I20" s="40"/>
      <c r="J20" s="40"/>
      <c r="K20" s="37"/>
      <c r="L20" s="39"/>
      <c r="M20" s="37"/>
      <c r="N20" s="37"/>
      <c r="O20" s="40"/>
      <c r="P20" s="37"/>
      <c r="Q20" s="37"/>
      <c r="R20" s="37"/>
      <c r="S20" s="37"/>
      <c r="T20" s="37"/>
    </row>
    <row r="21" spans="1:20" x14ac:dyDescent="0.5">
      <c r="A21" s="125">
        <v>16</v>
      </c>
      <c r="B21" s="126">
        <f>BEGINBLAD!C19</f>
        <v>0</v>
      </c>
      <c r="G21" s="37"/>
      <c r="H21" s="37"/>
      <c r="I21" s="37"/>
      <c r="J21" s="37"/>
      <c r="K21" s="37"/>
      <c r="L21" s="37"/>
      <c r="M21" s="37"/>
      <c r="N21" s="37"/>
      <c r="O21" s="37"/>
      <c r="P21" s="37"/>
      <c r="Q21" s="37"/>
      <c r="R21" s="37"/>
      <c r="S21" s="37"/>
      <c r="T21" s="37"/>
    </row>
    <row r="22" spans="1:20" x14ac:dyDescent="0.5">
      <c r="A22" s="125">
        <v>17</v>
      </c>
      <c r="B22" s="126">
        <f>BEGINBLAD!C20</f>
        <v>0</v>
      </c>
      <c r="G22" s="37"/>
      <c r="H22" s="37"/>
      <c r="I22" s="37"/>
      <c r="J22" s="37"/>
      <c r="K22" s="37"/>
      <c r="L22" s="37"/>
      <c r="M22" s="37"/>
      <c r="N22" s="37"/>
      <c r="O22" s="37"/>
      <c r="P22" s="37"/>
      <c r="Q22" s="37"/>
      <c r="R22" s="37"/>
      <c r="S22" s="37"/>
      <c r="T22" s="37"/>
    </row>
    <row r="23" spans="1:20" ht="15" customHeight="1" x14ac:dyDescent="0.5">
      <c r="A23" s="125">
        <v>18</v>
      </c>
      <c r="B23" s="126">
        <f>BEGINBLAD!C21</f>
        <v>0</v>
      </c>
    </row>
    <row r="24" spans="1:20" x14ac:dyDescent="0.5">
      <c r="A24" s="125">
        <v>19</v>
      </c>
      <c r="B24" s="126">
        <f>BEGINBLAD!C22</f>
        <v>0</v>
      </c>
    </row>
    <row r="25" spans="1:20" x14ac:dyDescent="0.5">
      <c r="A25" s="125">
        <v>20</v>
      </c>
      <c r="B25" s="126">
        <f>BEGINBLAD!C23</f>
        <v>0</v>
      </c>
    </row>
    <row r="26" spans="1:20" x14ac:dyDescent="0.5">
      <c r="A26" s="125">
        <v>21</v>
      </c>
      <c r="B26" s="126">
        <f>BEGINBLAD!C24</f>
        <v>0</v>
      </c>
    </row>
    <row r="27" spans="1:20" x14ac:dyDescent="0.5">
      <c r="A27" s="125">
        <v>22</v>
      </c>
      <c r="B27" s="126">
        <f>BEGINBLAD!C25</f>
        <v>0</v>
      </c>
    </row>
    <row r="28" spans="1:20" ht="15.75" customHeight="1" x14ac:dyDescent="0.5">
      <c r="A28" s="125">
        <v>23</v>
      </c>
      <c r="B28" s="126">
        <f>BEGINBLAD!C26</f>
        <v>0</v>
      </c>
    </row>
    <row r="29" spans="1:20" x14ac:dyDescent="0.5">
      <c r="A29" s="125">
        <v>24</v>
      </c>
      <c r="B29" s="126">
        <f>BEGINBLAD!C27</f>
        <v>0</v>
      </c>
    </row>
    <row r="30" spans="1:20" x14ac:dyDescent="0.5">
      <c r="A30" s="125">
        <v>25</v>
      </c>
      <c r="B30" s="126">
        <f>BEGINBLAD!C28</f>
        <v>0</v>
      </c>
    </row>
    <row r="31" spans="1:20" x14ac:dyDescent="0.5">
      <c r="A31" s="125">
        <v>26</v>
      </c>
      <c r="B31" s="126">
        <f>BEGINBLAD!C29</f>
        <v>0</v>
      </c>
    </row>
    <row r="32" spans="1:20" x14ac:dyDescent="0.5">
      <c r="A32" s="125">
        <v>27</v>
      </c>
      <c r="B32" s="126">
        <f>BEGINBLAD!C30</f>
        <v>0</v>
      </c>
    </row>
    <row r="33" spans="1:2" x14ac:dyDescent="0.5">
      <c r="A33" s="125">
        <v>28</v>
      </c>
      <c r="B33" s="126">
        <f>BEGINBLAD!C31</f>
        <v>0</v>
      </c>
    </row>
    <row r="34" spans="1:2" x14ac:dyDescent="0.5">
      <c r="A34" s="125">
        <v>29</v>
      </c>
      <c r="B34" s="126">
        <f>BEGINBLAD!C32</f>
        <v>0</v>
      </c>
    </row>
    <row r="35" spans="1:2" x14ac:dyDescent="0.5">
      <c r="A35" s="125">
        <v>30</v>
      </c>
      <c r="B35" s="126">
        <f>BEGINBLAD!C33</f>
        <v>0</v>
      </c>
    </row>
    <row r="36" spans="1:2" x14ac:dyDescent="0.5">
      <c r="A36" s="125">
        <v>31</v>
      </c>
      <c r="B36" s="126">
        <f>BEGINBLAD!C34</f>
        <v>0</v>
      </c>
    </row>
    <row r="37" spans="1:2" x14ac:dyDescent="0.5">
      <c r="A37" s="125">
        <v>32</v>
      </c>
      <c r="B37" s="126">
        <f>BEGINBLAD!C35</f>
        <v>0</v>
      </c>
    </row>
    <row r="38" spans="1:2" x14ac:dyDescent="0.5">
      <c r="A38" s="125">
        <v>33</v>
      </c>
      <c r="B38" s="126">
        <f>BEGINBLAD!C36</f>
        <v>0</v>
      </c>
    </row>
    <row r="39" spans="1:2" x14ac:dyDescent="0.5">
      <c r="A39" s="125">
        <v>34</v>
      </c>
      <c r="B39" s="126">
        <f>BEGINBLAD!C37</f>
        <v>0</v>
      </c>
    </row>
    <row r="40" spans="1:2" x14ac:dyDescent="0.5">
      <c r="A40" s="125">
        <v>35</v>
      </c>
      <c r="B40" s="126">
        <f>BEGINBLAD!C38</f>
        <v>0</v>
      </c>
    </row>
    <row r="41" spans="1:2" x14ac:dyDescent="0.5">
      <c r="A41" s="125">
        <v>36</v>
      </c>
      <c r="B41" s="126">
        <f>BEGINBLAD!C39</f>
        <v>0</v>
      </c>
    </row>
  </sheetData>
  <sheetProtection algorithmName="SHA-512" hashValue="T30doc55F8ghdtd//SpwBm8xZH3PqTXpJEfmuST3N5TF2jVJctn2qygkBos9ZLVf5uhEyvDwfsL2kLYtg0LHng==" saltValue="62crirAIlejemNB2gpjaEw==" spinCount="100000" sheet="1" objects="1" scenarios="1"/>
  <mergeCells count="6">
    <mergeCell ref="A2:B2"/>
    <mergeCell ref="H2:Y2"/>
    <mergeCell ref="Z2:AC2"/>
    <mergeCell ref="H3:Y3"/>
    <mergeCell ref="Z3:AC3"/>
    <mergeCell ref="D2:E2"/>
  </mergeCells>
  <pageMargins left="0.39370078740157483" right="0.23622047244094491" top="0.98425196850393704" bottom="0.98425196850393704" header="0.51181102362204722" footer="0.51181102362204722"/>
  <pageSetup paperSize="9" scale="53" orientation="landscape" horizontalDpi="4294967293" r:id="rId1"/>
  <headerFooter alignWithMargins="0">
    <oddHeader>&amp;C&amp;14DL - DLE</oddHeader>
    <oddFooter>&amp;R© www.meesterharrie.nl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8DB9-AE51-42DF-A29C-6B1B4E4D623B}">
  <sheetPr>
    <tabColor rgb="FF66CCFF"/>
    <pageSetUpPr fitToPage="1"/>
  </sheetPr>
  <dimension ref="B1:BC66"/>
  <sheetViews>
    <sheetView showGridLines="0" showRowColHeaders="0" zoomScale="75" zoomScaleNormal="75" workbookViewId="0">
      <selection activeCell="X11" sqref="X11"/>
    </sheetView>
  </sheetViews>
  <sheetFormatPr defaultColWidth="9.1796875" defaultRowHeight="12.5" x14ac:dyDescent="0.25"/>
  <cols>
    <col min="1" max="1" width="9.1796875" style="51"/>
    <col min="2" max="2" width="4.81640625" style="501" bestFit="1" customWidth="1"/>
    <col min="3" max="3" width="23.81640625" style="77" customWidth="1"/>
    <col min="4" max="20" width="5.81640625" style="54" customWidth="1"/>
    <col min="21" max="21" width="5.81640625" style="104" customWidth="1"/>
    <col min="22" max="22" width="2.453125" style="104" customWidth="1"/>
    <col min="23" max="30" width="4.81640625" style="104" customWidth="1"/>
    <col min="31" max="31" width="4.81640625" style="610" customWidth="1"/>
    <col min="32" max="37" width="4.81640625" style="102" customWidth="1"/>
    <col min="38" max="38" width="2.453125" style="102" customWidth="1"/>
    <col min="39" max="54" width="9.1796875" style="102"/>
    <col min="55" max="16384" width="9.1796875" style="51"/>
  </cols>
  <sheetData>
    <row r="1" spans="2:55" ht="44.25" customHeight="1" x14ac:dyDescent="0.25"/>
    <row r="2" spans="2:55" ht="19.5" x14ac:dyDescent="0.25">
      <c r="B2" s="1068" t="str">
        <f>BEGINBLAD!$I$2</f>
        <v>groep 6</v>
      </c>
      <c r="C2" s="1068"/>
      <c r="D2" s="567"/>
      <c r="F2" s="108"/>
      <c r="G2" s="108"/>
      <c r="H2" s="108"/>
      <c r="I2" s="108"/>
      <c r="J2" s="108"/>
      <c r="K2" s="108"/>
      <c r="L2" s="108"/>
      <c r="M2" s="129"/>
      <c r="N2" s="129"/>
      <c r="O2" s="129"/>
      <c r="P2" s="129"/>
      <c r="Q2" s="129"/>
      <c r="R2" s="129"/>
      <c r="S2" s="129"/>
      <c r="T2" s="129"/>
      <c r="U2" s="611"/>
      <c r="V2" s="611"/>
      <c r="W2" s="611"/>
      <c r="X2" s="611"/>
      <c r="Y2" s="611"/>
      <c r="Z2" s="611"/>
      <c r="AA2" s="611"/>
      <c r="AB2" s="611"/>
      <c r="AC2" s="611"/>
    </row>
    <row r="3" spans="2:55" ht="10" customHeight="1" x14ac:dyDescent="0.25">
      <c r="B3" s="568"/>
      <c r="C3" s="568"/>
      <c r="D3" s="567"/>
      <c r="F3" s="108"/>
      <c r="G3" s="108"/>
      <c r="H3" s="108"/>
      <c r="I3" s="108"/>
      <c r="J3" s="108"/>
      <c r="K3" s="108"/>
      <c r="L3" s="108"/>
      <c r="M3" s="129"/>
      <c r="N3" s="129"/>
      <c r="O3" s="129"/>
      <c r="P3" s="129"/>
      <c r="Q3" s="129"/>
      <c r="R3" s="129"/>
      <c r="S3" s="129"/>
      <c r="T3" s="129"/>
      <c r="U3" s="611"/>
      <c r="V3" s="611"/>
      <c r="W3" s="611"/>
      <c r="X3" s="611"/>
      <c r="Y3" s="611"/>
      <c r="Z3" s="611"/>
      <c r="AA3" s="611"/>
      <c r="AB3" s="611"/>
      <c r="AC3" s="611"/>
    </row>
    <row r="4" spans="2:55" ht="19.5" x14ac:dyDescent="0.25">
      <c r="B4" s="1071" t="s">
        <v>90</v>
      </c>
      <c r="C4" s="1072"/>
      <c r="D4" s="628"/>
      <c r="E4" s="432"/>
      <c r="F4" s="629"/>
      <c r="G4" s="629"/>
      <c r="H4" s="629"/>
      <c r="I4" s="629"/>
      <c r="J4" s="629"/>
      <c r="K4" s="629"/>
      <c r="L4" s="629"/>
      <c r="M4" s="630"/>
      <c r="N4" s="630"/>
      <c r="O4" s="630"/>
      <c r="P4" s="630"/>
      <c r="Q4" s="630"/>
      <c r="R4" s="630"/>
      <c r="S4" s="630"/>
      <c r="T4" s="631"/>
      <c r="U4" s="611"/>
      <c r="V4" s="611"/>
      <c r="W4" s="611"/>
      <c r="X4" s="611"/>
      <c r="Y4" s="611"/>
      <c r="Z4" s="611"/>
      <c r="AA4" s="611"/>
      <c r="AB4" s="611"/>
      <c r="AC4" s="611"/>
    </row>
    <row r="5" spans="2:55" ht="21.5" x14ac:dyDescent="0.25">
      <c r="B5" s="1073">
        <f>Referentieniveau!$D$7</f>
        <v>31.2</v>
      </c>
      <c r="C5" s="1074"/>
      <c r="D5" s="632"/>
      <c r="E5" s="633"/>
      <c r="F5" s="634"/>
      <c r="G5" s="634"/>
      <c r="H5" s="634"/>
      <c r="I5" s="634"/>
      <c r="J5" s="634"/>
      <c r="K5" s="634"/>
      <c r="L5" s="634"/>
      <c r="M5" s="634"/>
      <c r="N5" s="634"/>
      <c r="O5" s="634"/>
      <c r="P5" s="634"/>
      <c r="Q5" s="634"/>
      <c r="R5" s="634"/>
      <c r="S5" s="634"/>
      <c r="T5" s="635"/>
      <c r="U5" s="611"/>
      <c r="V5" s="611"/>
      <c r="W5" s="611"/>
      <c r="X5" s="611"/>
      <c r="Y5" s="611"/>
      <c r="Z5" s="611"/>
      <c r="AA5" s="611"/>
      <c r="AB5" s="611"/>
      <c r="AC5" s="611"/>
    </row>
    <row r="6" spans="2:55" ht="10" customHeight="1" x14ac:dyDescent="0.25">
      <c r="B6" s="128"/>
      <c r="C6" s="128"/>
      <c r="D6" s="568"/>
      <c r="F6" s="129"/>
      <c r="G6" s="129"/>
      <c r="H6" s="129"/>
      <c r="I6" s="129"/>
      <c r="J6" s="129"/>
      <c r="K6" s="129"/>
      <c r="L6" s="129"/>
      <c r="M6" s="129"/>
      <c r="N6" s="129"/>
      <c r="O6" s="129"/>
      <c r="P6" s="129"/>
      <c r="Q6" s="129"/>
      <c r="R6" s="129"/>
      <c r="S6" s="129"/>
      <c r="T6" s="129"/>
      <c r="U6" s="611"/>
      <c r="V6" s="611"/>
      <c r="W6" s="611"/>
      <c r="X6" s="611"/>
      <c r="Y6" s="611"/>
      <c r="Z6" s="611"/>
      <c r="AA6" s="611"/>
      <c r="AB6" s="611"/>
      <c r="AC6" s="611"/>
    </row>
    <row r="7" spans="2:55" ht="21.5" x14ac:dyDescent="0.25">
      <c r="C7" s="128"/>
      <c r="D7" s="1069" t="s">
        <v>158</v>
      </c>
      <c r="E7" s="1069"/>
      <c r="F7" s="1069"/>
      <c r="G7" s="1069"/>
      <c r="H7" s="1069"/>
      <c r="I7" s="129"/>
      <c r="J7" s="1070" t="s">
        <v>159</v>
      </c>
      <c r="K7" s="1070"/>
      <c r="L7" s="1070"/>
      <c r="M7" s="1070"/>
      <c r="N7" s="1070"/>
      <c r="O7" s="569"/>
      <c r="P7" s="1056" t="s">
        <v>160</v>
      </c>
      <c r="Q7" s="1056"/>
      <c r="R7" s="1056"/>
      <c r="S7" s="1056"/>
      <c r="T7" s="1056"/>
      <c r="U7" s="206"/>
      <c r="V7" s="611"/>
      <c r="W7" s="206"/>
      <c r="X7" s="206"/>
      <c r="Y7" s="206"/>
      <c r="Z7" s="206"/>
      <c r="AA7" s="206"/>
      <c r="AB7" s="206"/>
      <c r="AC7" s="206"/>
      <c r="AD7" s="102"/>
      <c r="AE7" s="206"/>
      <c r="AF7" s="206"/>
      <c r="AG7" s="206"/>
      <c r="AH7" s="206"/>
      <c r="AI7" s="206"/>
      <c r="AJ7" s="206"/>
      <c r="AK7" s="206"/>
      <c r="AL7" s="206"/>
    </row>
    <row r="8" spans="2:55" ht="10" customHeight="1" x14ac:dyDescent="0.25"/>
    <row r="9" spans="2:55" ht="94" x14ac:dyDescent="0.25">
      <c r="B9" s="1057" t="s">
        <v>161</v>
      </c>
      <c r="C9" s="1058"/>
      <c r="D9" s="570" t="s">
        <v>64</v>
      </c>
      <c r="E9" s="570" t="s">
        <v>65</v>
      </c>
      <c r="F9" s="570" t="s">
        <v>66</v>
      </c>
      <c r="G9" s="570" t="s">
        <v>67</v>
      </c>
      <c r="H9" s="570" t="s">
        <v>68</v>
      </c>
      <c r="I9" s="571"/>
      <c r="J9" s="570" t="s">
        <v>64</v>
      </c>
      <c r="K9" s="570" t="s">
        <v>65</v>
      </c>
      <c r="L9" s="570" t="s">
        <v>66</v>
      </c>
      <c r="M9" s="570" t="s">
        <v>67</v>
      </c>
      <c r="N9" s="570" t="s">
        <v>68</v>
      </c>
      <c r="O9" s="571"/>
      <c r="P9" s="570" t="s">
        <v>64</v>
      </c>
      <c r="Q9" s="570" t="s">
        <v>65</v>
      </c>
      <c r="R9" s="570" t="s">
        <v>66</v>
      </c>
      <c r="S9" s="570" t="s">
        <v>67</v>
      </c>
      <c r="T9" s="570" t="s">
        <v>68</v>
      </c>
      <c r="U9" s="575"/>
      <c r="V9" s="575"/>
      <c r="W9" s="51"/>
      <c r="X9" s="51"/>
      <c r="Y9" s="51"/>
      <c r="Z9" s="51"/>
      <c r="AA9" s="51"/>
      <c r="AB9" s="51"/>
      <c r="AC9" s="51"/>
      <c r="AD9" s="51"/>
      <c r="AE9" s="51"/>
      <c r="AF9" s="51"/>
      <c r="AG9" s="51"/>
      <c r="AH9" s="51"/>
      <c r="AI9" s="51"/>
      <c r="AJ9" s="51"/>
      <c r="AK9" s="51"/>
      <c r="BA9" s="51"/>
      <c r="BB9" s="51"/>
    </row>
    <row r="10" spans="2:55" ht="13.5" hidden="1" customHeight="1" thickBot="1" x14ac:dyDescent="0.3">
      <c r="B10" s="572"/>
      <c r="C10" s="573" t="s">
        <v>162</v>
      </c>
      <c r="D10" s="574">
        <v>0</v>
      </c>
      <c r="E10" s="574">
        <v>0</v>
      </c>
      <c r="F10" s="574">
        <v>0</v>
      </c>
      <c r="G10" s="574">
        <v>0</v>
      </c>
      <c r="H10" s="574">
        <v>0</v>
      </c>
      <c r="I10" s="571"/>
      <c r="J10" s="574">
        <v>0</v>
      </c>
      <c r="K10" s="574">
        <v>0</v>
      </c>
      <c r="L10" s="574">
        <v>0</v>
      </c>
      <c r="M10" s="574">
        <v>0</v>
      </c>
      <c r="N10" s="574">
        <v>0</v>
      </c>
      <c r="P10" s="574">
        <v>0</v>
      </c>
      <c r="Q10" s="574">
        <v>0</v>
      </c>
      <c r="R10" s="574">
        <v>0</v>
      </c>
      <c r="S10" s="574">
        <v>0</v>
      </c>
      <c r="T10" s="574">
        <v>0</v>
      </c>
      <c r="V10" s="575"/>
      <c r="W10" s="51"/>
      <c r="X10" s="51"/>
      <c r="Y10" s="51"/>
      <c r="Z10" s="51"/>
      <c r="AA10" s="51"/>
      <c r="AB10" s="51"/>
      <c r="AC10" s="51"/>
      <c r="AD10" s="51"/>
      <c r="AE10" s="51"/>
      <c r="AF10" s="51"/>
      <c r="AG10" s="51"/>
      <c r="AH10" s="51"/>
      <c r="AI10" s="51"/>
      <c r="AJ10" s="51"/>
      <c r="AK10" s="51"/>
      <c r="AO10" s="575"/>
      <c r="AP10" s="575"/>
      <c r="AQ10" s="575"/>
      <c r="AR10" s="575"/>
      <c r="AS10" s="575"/>
      <c r="AT10" s="575"/>
      <c r="AU10" s="576"/>
      <c r="AV10" s="576"/>
      <c r="AW10" s="577"/>
    </row>
    <row r="11" spans="2:55" ht="19.5" customHeight="1" x14ac:dyDescent="0.25">
      <c r="B11" s="1066" t="s">
        <v>163</v>
      </c>
      <c r="C11" s="1067"/>
      <c r="D11" s="580">
        <f>'NIVEAU WAARDE - vorig jaar'!D50</f>
        <v>3</v>
      </c>
      <c r="E11" s="580">
        <f>'NIVEAU WAARDE - vorig jaar'!E50</f>
        <v>3.3</v>
      </c>
      <c r="F11" s="580">
        <f>'NIVEAU WAARDE - vorig jaar'!F50</f>
        <v>3.2</v>
      </c>
      <c r="G11" s="580">
        <f>'NIVEAU WAARDE - vorig jaar'!G50</f>
        <v>4.2</v>
      </c>
      <c r="H11" s="580">
        <f>'NIVEAU WAARDE - vorig jaar'!H50</f>
        <v>4.2</v>
      </c>
      <c r="I11" s="578"/>
      <c r="J11" s="580">
        <f>'NIVEAU WAARDE - 1e toetsperiode'!D50</f>
        <v>3.5</v>
      </c>
      <c r="K11" s="580">
        <f>'NIVEAU WAARDE - 1e toetsperiode'!E50</f>
        <v>3.6</v>
      </c>
      <c r="L11" s="580">
        <f>'NIVEAU WAARDE - 1e toetsperiode'!F50</f>
        <v>3.4</v>
      </c>
      <c r="M11" s="580">
        <f>'NIVEAU WAARDE - 1e toetsperiode'!G50</f>
        <v>4.2</v>
      </c>
      <c r="N11" s="580">
        <f>'NIVEAU WAARDE - 1e toetsperiode'!H50</f>
        <v>3.3</v>
      </c>
      <c r="O11" s="579"/>
      <c r="P11" s="580" t="e">
        <f>'NIVEAU WAARDE - 2e toetsperiode'!D50</f>
        <v>#NUM!</v>
      </c>
      <c r="Q11" s="580" t="e">
        <f>'NIVEAU WAARDE - 2e toetsperiode'!E50</f>
        <v>#NUM!</v>
      </c>
      <c r="R11" s="580" t="e">
        <f>'NIVEAU WAARDE - 2e toetsperiode'!F50</f>
        <v>#NUM!</v>
      </c>
      <c r="S11" s="580" t="e">
        <f>'NIVEAU WAARDE - 2e toetsperiode'!G50</f>
        <v>#NUM!</v>
      </c>
      <c r="T11" s="580" t="e">
        <f>'NIVEAU WAARDE - 2e toetsperiode'!H50</f>
        <v>#NUM!</v>
      </c>
      <c r="U11" s="582"/>
      <c r="W11" s="51"/>
      <c r="X11" s="51"/>
      <c r="Y11" s="51"/>
      <c r="Z11" s="51"/>
      <c r="AA11" s="51"/>
      <c r="AB11" s="51"/>
      <c r="AC11" s="51"/>
      <c r="AD11" s="51"/>
      <c r="AE11" s="51"/>
      <c r="AF11" s="51"/>
      <c r="AG11" s="51"/>
      <c r="AH11" s="51"/>
      <c r="AI11" s="51"/>
      <c r="AJ11" s="51"/>
      <c r="AK11" s="51"/>
      <c r="AO11" s="166"/>
      <c r="AP11" s="166"/>
      <c r="AQ11" s="172"/>
      <c r="AR11" s="172"/>
      <c r="AS11" s="172"/>
      <c r="AT11" s="172"/>
      <c r="AU11" s="166"/>
      <c r="AV11" s="166"/>
      <c r="AW11" s="166"/>
      <c r="AX11" s="166"/>
      <c r="AY11" s="166"/>
      <c r="AZ11" s="166"/>
      <c r="BA11" s="166"/>
      <c r="BB11" s="166"/>
      <c r="BC11" s="581"/>
    </row>
    <row r="12" spans="2:55" ht="19.5" customHeight="1" x14ac:dyDescent="0.25">
      <c r="B12" s="1066" t="s">
        <v>164</v>
      </c>
      <c r="C12" s="1067"/>
      <c r="D12" s="580">
        <f>'NIVEAU WAARDE - vorig jaar'!D49</f>
        <v>4.3</v>
      </c>
      <c r="E12" s="580">
        <f>'NIVEAU WAARDE - vorig jaar'!E49</f>
        <v>4.5999999999999996</v>
      </c>
      <c r="F12" s="580">
        <f>'NIVEAU WAARDE - vorig jaar'!F49</f>
        <v>4.4000000000000004</v>
      </c>
      <c r="G12" s="580">
        <f>'NIVEAU WAARDE - vorig jaar'!G49</f>
        <v>4.2</v>
      </c>
      <c r="H12" s="580">
        <f>'NIVEAU WAARDE - vorig jaar'!H49</f>
        <v>4.8</v>
      </c>
      <c r="I12" s="578"/>
      <c r="J12" s="580">
        <f>'NIVEAU WAARDE - 1e toetsperiode'!D49</f>
        <v>4</v>
      </c>
      <c r="K12" s="580">
        <f>'NIVEAU WAARDE - 1e toetsperiode'!E49</f>
        <v>3.9</v>
      </c>
      <c r="L12" s="580">
        <f>'NIVEAU WAARDE - 1e toetsperiode'!F49</f>
        <v>4.3</v>
      </c>
      <c r="M12" s="580">
        <f>'NIVEAU WAARDE - 1e toetsperiode'!G49</f>
        <v>4.8</v>
      </c>
      <c r="N12" s="580">
        <f>'NIVEAU WAARDE - 1e toetsperiode'!H49</f>
        <v>4.5999999999999996</v>
      </c>
      <c r="O12" s="579"/>
      <c r="P12" s="580" t="e">
        <f>'NIVEAU WAARDE - 2e toetsperiode'!D49</f>
        <v>#NUM!</v>
      </c>
      <c r="Q12" s="580" t="e">
        <f>'NIVEAU WAARDE - 2e toetsperiode'!E49</f>
        <v>#NUM!</v>
      </c>
      <c r="R12" s="580" t="e">
        <f>'NIVEAU WAARDE - 2e toetsperiode'!F49</f>
        <v>#NUM!</v>
      </c>
      <c r="S12" s="580" t="e">
        <f>'NIVEAU WAARDE - 2e toetsperiode'!G49</f>
        <v>#NUM!</v>
      </c>
      <c r="T12" s="580" t="e">
        <f>'NIVEAU WAARDE - 2e toetsperiode'!H49</f>
        <v>#NUM!</v>
      </c>
      <c r="U12" s="582"/>
      <c r="W12" s="51"/>
      <c r="X12" s="51"/>
      <c r="Y12" s="51"/>
      <c r="Z12" s="51"/>
      <c r="AA12" s="51"/>
      <c r="AB12" s="51"/>
      <c r="AC12" s="51"/>
      <c r="AD12" s="51"/>
      <c r="AE12" s="51"/>
      <c r="AF12" s="51"/>
      <c r="AG12" s="51"/>
      <c r="AH12" s="51"/>
      <c r="AI12" s="51"/>
      <c r="AJ12" s="51"/>
      <c r="AK12" s="51"/>
      <c r="AO12" s="51"/>
      <c r="AP12" s="51"/>
      <c r="AQ12" s="51"/>
      <c r="AR12" s="51"/>
      <c r="AS12" s="51"/>
      <c r="AT12" s="51"/>
      <c r="AU12" s="166"/>
      <c r="AV12" s="166"/>
      <c r="AW12" s="166"/>
      <c r="AX12" s="166"/>
      <c r="AY12" s="166"/>
      <c r="AZ12" s="166"/>
      <c r="BA12" s="166"/>
      <c r="BB12" s="166"/>
      <c r="BC12" s="581"/>
    </row>
    <row r="13" spans="2:55" ht="10" customHeight="1" x14ac:dyDescent="0.25">
      <c r="B13" s="615"/>
      <c r="C13" s="615"/>
      <c r="D13" s="616"/>
      <c r="E13" s="617"/>
      <c r="F13" s="617"/>
      <c r="G13" s="617"/>
      <c r="H13" s="617"/>
      <c r="I13" s="578"/>
      <c r="J13" s="617"/>
      <c r="K13" s="617"/>
      <c r="L13" s="617"/>
      <c r="M13" s="617"/>
      <c r="N13" s="617"/>
      <c r="O13" s="579"/>
      <c r="P13" s="618"/>
      <c r="Q13" s="618"/>
      <c r="R13" s="618"/>
      <c r="S13" s="618"/>
      <c r="T13" s="618"/>
      <c r="U13" s="582"/>
      <c r="W13" s="51"/>
      <c r="X13" s="51"/>
      <c r="Y13" s="51"/>
      <c r="Z13" s="51"/>
      <c r="AA13" s="51"/>
      <c r="AB13" s="51"/>
      <c r="AC13" s="51"/>
      <c r="AD13" s="51"/>
      <c r="AE13" s="51"/>
      <c r="AF13" s="51"/>
      <c r="AG13" s="51"/>
      <c r="AH13" s="51"/>
      <c r="AI13" s="51"/>
      <c r="AJ13" s="51"/>
      <c r="AK13" s="51"/>
      <c r="AO13" s="51"/>
      <c r="AP13" s="51"/>
      <c r="AQ13" s="51"/>
      <c r="AR13" s="51"/>
      <c r="AS13" s="51"/>
      <c r="AT13" s="51"/>
      <c r="AU13" s="166"/>
      <c r="AV13" s="166"/>
      <c r="AW13" s="166"/>
      <c r="AX13" s="166"/>
      <c r="AY13" s="166"/>
      <c r="AZ13" s="166"/>
      <c r="BA13" s="166"/>
      <c r="BB13" s="166"/>
      <c r="BC13" s="581"/>
    </row>
    <row r="14" spans="2:55" s="132" customFormat="1" ht="19.5" customHeight="1" x14ac:dyDescent="0.25">
      <c r="B14" s="1060" t="s">
        <v>165</v>
      </c>
      <c r="C14" s="1061"/>
      <c r="D14" s="613">
        <f>6-(Referentieniveau!$D$7/10)</f>
        <v>2.88</v>
      </c>
      <c r="E14" s="619">
        <v>2</v>
      </c>
      <c r="F14" s="619">
        <v>2</v>
      </c>
      <c r="G14" s="619">
        <v>2</v>
      </c>
      <c r="H14" s="619">
        <v>2</v>
      </c>
      <c r="I14" s="620"/>
      <c r="J14" s="619">
        <v>2</v>
      </c>
      <c r="K14" s="619">
        <v>2</v>
      </c>
      <c r="L14" s="619">
        <v>2</v>
      </c>
      <c r="M14" s="619">
        <v>2</v>
      </c>
      <c r="N14" s="619">
        <v>2</v>
      </c>
      <c r="O14" s="619"/>
      <c r="P14" s="619">
        <v>2</v>
      </c>
      <c r="Q14" s="619">
        <v>2</v>
      </c>
      <c r="R14" s="619">
        <v>2</v>
      </c>
      <c r="S14" s="619">
        <v>2</v>
      </c>
      <c r="T14" s="621">
        <v>2</v>
      </c>
      <c r="U14" s="166"/>
      <c r="V14" s="104"/>
      <c r="AL14" s="102"/>
      <c r="AM14" s="102"/>
      <c r="AN14" s="102"/>
      <c r="AU14" s="102"/>
      <c r="AV14" s="102"/>
      <c r="AW14" s="102"/>
      <c r="AX14" s="102"/>
      <c r="AY14" s="102"/>
      <c r="AZ14" s="102"/>
      <c r="BA14" s="102"/>
      <c r="BB14" s="102"/>
    </row>
    <row r="15" spans="2:55" s="132" customFormat="1" ht="19.5" customHeight="1" x14ac:dyDescent="0.25">
      <c r="B15" s="1062" t="s">
        <v>166</v>
      </c>
      <c r="C15" s="1063"/>
      <c r="D15" s="622">
        <f>D14-1</f>
        <v>1.88</v>
      </c>
      <c r="E15" s="463">
        <v>4</v>
      </c>
      <c r="F15" s="463">
        <v>4</v>
      </c>
      <c r="G15" s="463">
        <v>4</v>
      </c>
      <c r="H15" s="463">
        <v>4</v>
      </c>
      <c r="I15" s="133"/>
      <c r="J15" s="463">
        <v>4</v>
      </c>
      <c r="K15" s="463">
        <v>4</v>
      </c>
      <c r="L15" s="463">
        <v>4</v>
      </c>
      <c r="M15" s="463">
        <v>4</v>
      </c>
      <c r="N15" s="463">
        <v>4</v>
      </c>
      <c r="O15" s="463"/>
      <c r="P15" s="463">
        <v>4</v>
      </c>
      <c r="Q15" s="463">
        <v>4</v>
      </c>
      <c r="R15" s="463">
        <v>4</v>
      </c>
      <c r="S15" s="463">
        <v>4</v>
      </c>
      <c r="T15" s="623">
        <v>4</v>
      </c>
      <c r="U15" s="166"/>
      <c r="V15" s="104"/>
      <c r="AL15" s="102"/>
      <c r="AM15" s="102"/>
      <c r="AN15" s="102"/>
      <c r="AO15" s="102"/>
      <c r="AP15" s="102"/>
      <c r="AQ15" s="102"/>
      <c r="AR15" s="102"/>
      <c r="AS15" s="102"/>
      <c r="AT15" s="102"/>
      <c r="AU15" s="102"/>
      <c r="AV15" s="102"/>
      <c r="AW15" s="102"/>
      <c r="AX15" s="102"/>
      <c r="AY15" s="102"/>
      <c r="AZ15" s="102"/>
      <c r="BA15" s="102"/>
      <c r="BB15" s="102"/>
    </row>
    <row r="16" spans="2:55" s="132" customFormat="1" ht="19.5" customHeight="1" x14ac:dyDescent="0.25">
      <c r="B16" s="1064" t="s">
        <v>167</v>
      </c>
      <c r="C16" s="1065"/>
      <c r="D16" s="624">
        <f>D14+1</f>
        <v>3.88</v>
      </c>
      <c r="E16" s="625"/>
      <c r="F16" s="625"/>
      <c r="G16" s="625"/>
      <c r="H16" s="625"/>
      <c r="I16" s="626"/>
      <c r="J16" s="625"/>
      <c r="K16" s="625"/>
      <c r="L16" s="625"/>
      <c r="M16" s="625"/>
      <c r="N16" s="625"/>
      <c r="O16" s="625"/>
      <c r="P16" s="625"/>
      <c r="Q16" s="625"/>
      <c r="R16" s="625"/>
      <c r="S16" s="625"/>
      <c r="T16" s="627"/>
      <c r="U16" s="166"/>
      <c r="V16" s="104"/>
      <c r="W16" s="104"/>
      <c r="X16" s="104"/>
      <c r="Y16" s="104"/>
      <c r="Z16" s="104"/>
      <c r="AA16" s="104"/>
      <c r="AB16" s="104"/>
      <c r="AC16" s="104"/>
      <c r="AD16" s="104"/>
      <c r="AE16" s="610"/>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row>
    <row r="17" spans="2:54" s="132" customFormat="1" ht="10" customHeight="1" x14ac:dyDescent="0.25">
      <c r="B17" s="501"/>
      <c r="C17" s="77"/>
      <c r="D17" s="463"/>
      <c r="E17" s="463"/>
      <c r="F17" s="463"/>
      <c r="G17" s="463"/>
      <c r="H17" s="463"/>
      <c r="I17" s="133"/>
      <c r="J17" s="463"/>
      <c r="K17" s="463"/>
      <c r="L17" s="463"/>
      <c r="M17" s="463"/>
      <c r="N17" s="463"/>
      <c r="O17" s="463"/>
      <c r="P17" s="463"/>
      <c r="Q17" s="463"/>
      <c r="R17" s="463"/>
      <c r="S17" s="463"/>
      <c r="T17" s="463"/>
      <c r="U17" s="166"/>
      <c r="V17" s="104"/>
      <c r="W17" s="104"/>
      <c r="X17" s="104"/>
      <c r="Y17" s="104"/>
      <c r="Z17" s="104"/>
      <c r="AA17" s="104"/>
      <c r="AB17" s="104"/>
      <c r="AC17" s="104"/>
      <c r="AD17" s="104"/>
      <c r="AE17" s="610"/>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row>
    <row r="18" spans="2:54" ht="19.5" customHeight="1" x14ac:dyDescent="0.25">
      <c r="B18" s="53"/>
      <c r="D18" s="582"/>
      <c r="E18" s="579"/>
      <c r="F18" s="579"/>
      <c r="G18" s="579"/>
      <c r="H18" s="579"/>
      <c r="I18" s="578"/>
      <c r="J18" s="582"/>
      <c r="K18" s="579"/>
      <c r="L18" s="582"/>
      <c r="M18" s="582"/>
      <c r="N18" s="579"/>
      <c r="O18" s="579"/>
      <c r="P18" s="582"/>
      <c r="Q18" s="582"/>
      <c r="R18" s="582"/>
      <c r="S18" s="579"/>
      <c r="T18" s="582"/>
      <c r="U18" s="582"/>
    </row>
    <row r="19" spans="2:54" ht="19.5" customHeight="1" x14ac:dyDescent="0.25">
      <c r="B19" s="583"/>
      <c r="D19" s="582"/>
      <c r="E19" s="579"/>
      <c r="F19" s="579"/>
      <c r="G19" s="579"/>
      <c r="H19" s="579"/>
      <c r="I19" s="578"/>
      <c r="J19" s="582"/>
      <c r="K19" s="579"/>
      <c r="L19" s="582"/>
      <c r="M19" s="582"/>
      <c r="N19" s="579"/>
      <c r="O19" s="579"/>
      <c r="P19" s="582"/>
      <c r="Q19" s="582"/>
      <c r="R19" s="582"/>
      <c r="S19" s="579"/>
      <c r="T19" s="582"/>
      <c r="U19" s="582"/>
    </row>
    <row r="20" spans="2:54" ht="19.5" customHeight="1" x14ac:dyDescent="0.25">
      <c r="B20" s="583"/>
      <c r="D20" s="1059" t="s">
        <v>168</v>
      </c>
      <c r="E20" s="1059"/>
      <c r="F20" s="1059"/>
      <c r="G20" s="1059" t="s">
        <v>169</v>
      </c>
      <c r="H20" s="1059"/>
      <c r="I20" s="1059"/>
      <c r="J20" s="1059" t="s">
        <v>170</v>
      </c>
      <c r="K20" s="1059"/>
      <c r="L20" s="1059"/>
      <c r="M20" s="1059" t="s">
        <v>171</v>
      </c>
      <c r="N20" s="1059"/>
      <c r="O20" s="1059"/>
      <c r="P20" s="1059" t="s">
        <v>172</v>
      </c>
      <c r="Q20" s="1059"/>
      <c r="R20" s="1059"/>
      <c r="S20" s="579"/>
      <c r="T20" s="582"/>
      <c r="U20" s="582"/>
    </row>
    <row r="21" spans="2:54" ht="19.5" customHeight="1" x14ac:dyDescent="0.25">
      <c r="D21" s="575"/>
      <c r="E21" s="575"/>
      <c r="F21" s="575"/>
      <c r="G21" s="575"/>
      <c r="H21" s="575"/>
      <c r="I21" s="575"/>
      <c r="J21" s="576"/>
      <c r="K21" s="576"/>
      <c r="L21" s="577"/>
      <c r="M21" s="102"/>
      <c r="N21" s="102"/>
      <c r="O21" s="102"/>
      <c r="P21" s="102"/>
      <c r="Q21" s="102"/>
      <c r="R21" s="102"/>
      <c r="S21" s="579"/>
      <c r="T21" s="582"/>
      <c r="U21" s="582"/>
    </row>
    <row r="22" spans="2:54" ht="19.5" customHeight="1" x14ac:dyDescent="0.25">
      <c r="D22" s="166">
        <f>D11</f>
        <v>3</v>
      </c>
      <c r="E22" s="166">
        <f>J11</f>
        <v>3.5</v>
      </c>
      <c r="F22" s="166" t="e">
        <f>P11</f>
        <v>#NUM!</v>
      </c>
      <c r="G22" s="166">
        <f>E11</f>
        <v>3.3</v>
      </c>
      <c r="H22" s="166">
        <f>K11</f>
        <v>3.6</v>
      </c>
      <c r="I22" s="166" t="e">
        <f>Q11</f>
        <v>#NUM!</v>
      </c>
      <c r="J22" s="166">
        <f>F11</f>
        <v>3.2</v>
      </c>
      <c r="K22" s="166">
        <f>L11</f>
        <v>3.4</v>
      </c>
      <c r="L22" s="166" t="e">
        <f>R11</f>
        <v>#NUM!</v>
      </c>
      <c r="M22" s="166">
        <f>G11</f>
        <v>4.2</v>
      </c>
      <c r="N22" s="166">
        <f>M11</f>
        <v>4.2</v>
      </c>
      <c r="O22" s="166" t="e">
        <f>S11</f>
        <v>#NUM!</v>
      </c>
      <c r="P22" s="166">
        <f>H11</f>
        <v>4.2</v>
      </c>
      <c r="Q22" s="166">
        <f>N11</f>
        <v>3.3</v>
      </c>
      <c r="R22" s="166" t="e">
        <f>T11</f>
        <v>#NUM!</v>
      </c>
      <c r="S22" s="579"/>
      <c r="T22" s="582"/>
      <c r="U22" s="582"/>
    </row>
    <row r="23" spans="2:54" ht="19.5" customHeight="1" x14ac:dyDescent="0.25">
      <c r="D23" s="166">
        <f>D12</f>
        <v>4.3</v>
      </c>
      <c r="E23" s="166">
        <f>J12</f>
        <v>4</v>
      </c>
      <c r="F23" s="166" t="e">
        <f>P12</f>
        <v>#NUM!</v>
      </c>
      <c r="G23" s="166">
        <f>E12</f>
        <v>4.5999999999999996</v>
      </c>
      <c r="H23" s="166">
        <f>K12</f>
        <v>3.9</v>
      </c>
      <c r="I23" s="166" t="e">
        <f>Q12</f>
        <v>#NUM!</v>
      </c>
      <c r="J23" s="166">
        <f>F12</f>
        <v>4.4000000000000004</v>
      </c>
      <c r="K23" s="166">
        <f>L12</f>
        <v>4.3</v>
      </c>
      <c r="L23" s="166" t="e">
        <f>R12</f>
        <v>#NUM!</v>
      </c>
      <c r="M23" s="166">
        <f>G12</f>
        <v>4.2</v>
      </c>
      <c r="N23" s="166">
        <f>M12</f>
        <v>4.8</v>
      </c>
      <c r="O23" s="166" t="e">
        <f>S12</f>
        <v>#NUM!</v>
      </c>
      <c r="P23" s="166">
        <f>H12</f>
        <v>4.8</v>
      </c>
      <c r="Q23" s="166">
        <f>N12</f>
        <v>4.5999999999999996</v>
      </c>
      <c r="R23" s="166" t="e">
        <f>T12</f>
        <v>#NUM!</v>
      </c>
      <c r="S23" s="579"/>
      <c r="T23" s="582"/>
      <c r="U23" s="582"/>
    </row>
    <row r="24" spans="2:54" ht="19.5" customHeight="1" x14ac:dyDescent="0.25">
      <c r="D24" s="166"/>
      <c r="E24" s="166"/>
      <c r="F24" s="166"/>
      <c r="G24" s="166"/>
      <c r="H24" s="166"/>
      <c r="I24" s="166"/>
      <c r="J24" s="166"/>
      <c r="K24" s="166"/>
      <c r="L24" s="166"/>
      <c r="M24" s="166"/>
      <c r="N24" s="166"/>
      <c r="O24" s="166"/>
      <c r="P24" s="166"/>
      <c r="Q24" s="166"/>
      <c r="R24" s="166"/>
      <c r="S24" s="579"/>
      <c r="T24" s="582"/>
      <c r="U24" s="582"/>
    </row>
    <row r="25" spans="2:54" ht="19.5" customHeight="1" x14ac:dyDescent="0.25">
      <c r="D25" s="614">
        <f>$D$15</f>
        <v>1.88</v>
      </c>
      <c r="E25" s="614">
        <f t="shared" ref="E25:R25" si="0">$D$15</f>
        <v>1.88</v>
      </c>
      <c r="F25" s="614">
        <f t="shared" si="0"/>
        <v>1.88</v>
      </c>
      <c r="G25" s="614">
        <f t="shared" si="0"/>
        <v>1.88</v>
      </c>
      <c r="H25" s="614">
        <f t="shared" si="0"/>
        <v>1.88</v>
      </c>
      <c r="I25" s="614">
        <f t="shared" si="0"/>
        <v>1.88</v>
      </c>
      <c r="J25" s="614">
        <f t="shared" si="0"/>
        <v>1.88</v>
      </c>
      <c r="K25" s="614">
        <f t="shared" si="0"/>
        <v>1.88</v>
      </c>
      <c r="L25" s="614">
        <f t="shared" si="0"/>
        <v>1.88</v>
      </c>
      <c r="M25" s="614">
        <f t="shared" si="0"/>
        <v>1.88</v>
      </c>
      <c r="N25" s="614">
        <f t="shared" si="0"/>
        <v>1.88</v>
      </c>
      <c r="O25" s="614">
        <f t="shared" si="0"/>
        <v>1.88</v>
      </c>
      <c r="P25" s="614">
        <f t="shared" si="0"/>
        <v>1.88</v>
      </c>
      <c r="Q25" s="614">
        <f t="shared" si="0"/>
        <v>1.88</v>
      </c>
      <c r="R25" s="614">
        <f t="shared" si="0"/>
        <v>1.88</v>
      </c>
      <c r="S25" s="579"/>
      <c r="T25" s="582"/>
      <c r="U25" s="582"/>
    </row>
    <row r="26" spans="2:54" ht="19.5" customHeight="1" x14ac:dyDescent="0.25">
      <c r="D26" s="614">
        <f>$D$16</f>
        <v>3.88</v>
      </c>
      <c r="E26" s="614">
        <f t="shared" ref="E26:R26" si="1">$D$16</f>
        <v>3.88</v>
      </c>
      <c r="F26" s="614">
        <f t="shared" si="1"/>
        <v>3.88</v>
      </c>
      <c r="G26" s="614">
        <f t="shared" si="1"/>
        <v>3.88</v>
      </c>
      <c r="H26" s="614">
        <f t="shared" si="1"/>
        <v>3.88</v>
      </c>
      <c r="I26" s="614">
        <f t="shared" si="1"/>
        <v>3.88</v>
      </c>
      <c r="J26" s="614">
        <f t="shared" si="1"/>
        <v>3.88</v>
      </c>
      <c r="K26" s="614">
        <f t="shared" si="1"/>
        <v>3.88</v>
      </c>
      <c r="L26" s="614">
        <f t="shared" si="1"/>
        <v>3.88</v>
      </c>
      <c r="M26" s="614">
        <f t="shared" si="1"/>
        <v>3.88</v>
      </c>
      <c r="N26" s="614">
        <f t="shared" si="1"/>
        <v>3.88</v>
      </c>
      <c r="O26" s="614">
        <f t="shared" si="1"/>
        <v>3.88</v>
      </c>
      <c r="P26" s="614">
        <f t="shared" si="1"/>
        <v>3.88</v>
      </c>
      <c r="Q26" s="614">
        <f t="shared" si="1"/>
        <v>3.88</v>
      </c>
      <c r="R26" s="614">
        <f t="shared" si="1"/>
        <v>3.88</v>
      </c>
      <c r="S26" s="579"/>
      <c r="T26" s="582"/>
      <c r="U26" s="582"/>
    </row>
    <row r="27" spans="2:54" ht="19.5" customHeight="1" x14ac:dyDescent="0.25">
      <c r="D27" s="582"/>
      <c r="E27" s="579"/>
      <c r="F27" s="579"/>
      <c r="G27" s="51"/>
      <c r="H27" s="501"/>
      <c r="I27" s="578"/>
      <c r="J27" s="582"/>
      <c r="K27" s="579"/>
      <c r="L27" s="582"/>
      <c r="M27" s="582"/>
      <c r="N27" s="579"/>
      <c r="O27" s="579"/>
      <c r="P27" s="582"/>
      <c r="Q27" s="582"/>
      <c r="R27" s="582"/>
      <c r="S27" s="579"/>
      <c r="T27" s="582"/>
      <c r="U27" s="582"/>
    </row>
    <row r="28" spans="2:54" ht="19.5" customHeight="1" x14ac:dyDescent="0.25">
      <c r="D28" s="104" t="s">
        <v>173</v>
      </c>
      <c r="E28" s="104" t="s">
        <v>174</v>
      </c>
      <c r="F28" s="104" t="s">
        <v>175</v>
      </c>
      <c r="G28" s="104" t="s">
        <v>176</v>
      </c>
      <c r="H28" s="104" t="s">
        <v>177</v>
      </c>
      <c r="I28" s="104" t="s">
        <v>178</v>
      </c>
      <c r="J28" s="582"/>
      <c r="K28" s="579"/>
      <c r="L28" s="582"/>
      <c r="M28" s="582"/>
      <c r="N28" s="579"/>
      <c r="O28" s="579"/>
      <c r="P28" s="582"/>
      <c r="Q28" s="582"/>
      <c r="R28" s="582"/>
      <c r="S28" s="579"/>
      <c r="T28" s="582"/>
      <c r="U28" s="582"/>
    </row>
    <row r="29" spans="2:54" ht="19.5" customHeight="1" x14ac:dyDescent="0.25">
      <c r="D29" s="104"/>
      <c r="E29" s="104"/>
      <c r="F29" s="104"/>
      <c r="G29" s="104"/>
      <c r="H29" s="104"/>
      <c r="I29" s="104"/>
      <c r="J29" s="582"/>
      <c r="K29" s="579"/>
      <c r="L29" s="582"/>
      <c r="M29" s="582"/>
      <c r="N29" s="579"/>
      <c r="O29" s="579"/>
      <c r="P29" s="582"/>
      <c r="Q29" s="582"/>
      <c r="R29" s="582"/>
      <c r="S29" s="579"/>
      <c r="T29" s="582"/>
      <c r="U29" s="582"/>
    </row>
    <row r="30" spans="2:54" ht="19.5" customHeight="1" x14ac:dyDescent="0.25">
      <c r="D30" s="104">
        <v>0.5</v>
      </c>
      <c r="E30" s="104">
        <v>1.5</v>
      </c>
      <c r="F30" s="104">
        <v>2.4</v>
      </c>
      <c r="G30" s="104">
        <v>3.3</v>
      </c>
      <c r="H30" s="104">
        <v>4.2</v>
      </c>
      <c r="I30" s="104">
        <v>5</v>
      </c>
      <c r="J30" s="582"/>
      <c r="K30" s="579"/>
      <c r="L30" s="582"/>
      <c r="M30" s="582"/>
      <c r="N30" s="579"/>
      <c r="O30" s="579"/>
      <c r="P30" s="582"/>
      <c r="Q30" s="582"/>
      <c r="R30" s="582"/>
      <c r="S30" s="579"/>
      <c r="T30" s="582"/>
      <c r="U30" s="582"/>
    </row>
    <row r="31" spans="2:54" ht="19.5" customHeight="1" x14ac:dyDescent="0.25">
      <c r="D31" s="582"/>
      <c r="E31" s="579"/>
      <c r="F31" s="579"/>
      <c r="G31" s="579"/>
      <c r="H31" s="579"/>
      <c r="I31" s="578"/>
      <c r="J31" s="582"/>
      <c r="K31" s="579"/>
      <c r="L31" s="582"/>
      <c r="M31" s="582"/>
      <c r="N31" s="579"/>
      <c r="O31" s="579"/>
      <c r="P31" s="582"/>
      <c r="Q31" s="582"/>
      <c r="R31" s="582"/>
      <c r="S31" s="579"/>
      <c r="T31" s="582"/>
      <c r="U31" s="582"/>
    </row>
    <row r="32" spans="2:54" ht="19.5" customHeight="1" x14ac:dyDescent="0.25">
      <c r="D32" s="582"/>
      <c r="E32" s="579"/>
      <c r="F32" s="579"/>
      <c r="G32" s="579"/>
      <c r="H32" s="579"/>
      <c r="I32" s="578"/>
      <c r="J32" s="582"/>
      <c r="K32" s="579"/>
      <c r="L32" s="582"/>
      <c r="M32" s="582"/>
      <c r="N32" s="579"/>
      <c r="O32" s="579"/>
      <c r="P32" s="582"/>
      <c r="Q32" s="582"/>
      <c r="R32" s="582"/>
      <c r="S32" s="579"/>
      <c r="T32" s="582"/>
      <c r="U32" s="582"/>
    </row>
    <row r="33" spans="4:21" ht="19.5" customHeight="1" x14ac:dyDescent="0.25">
      <c r="D33" s="582"/>
      <c r="E33" s="579"/>
      <c r="F33" s="579"/>
      <c r="G33" s="579"/>
      <c r="H33" s="579"/>
      <c r="I33" s="578"/>
      <c r="J33" s="582"/>
      <c r="K33" s="579"/>
      <c r="L33" s="582"/>
      <c r="M33" s="582"/>
      <c r="N33" s="579"/>
      <c r="O33" s="579"/>
      <c r="P33" s="582"/>
      <c r="Q33" s="582"/>
      <c r="R33" s="582"/>
      <c r="S33" s="579"/>
      <c r="T33" s="582"/>
      <c r="U33" s="582"/>
    </row>
    <row r="34" spans="4:21" ht="19.5" customHeight="1" x14ac:dyDescent="0.25">
      <c r="D34" s="582"/>
      <c r="E34" s="579"/>
      <c r="F34" s="579"/>
      <c r="G34" s="579"/>
      <c r="H34" s="579"/>
      <c r="I34" s="578"/>
      <c r="J34" s="582"/>
      <c r="K34" s="579"/>
      <c r="L34" s="582"/>
      <c r="M34" s="582"/>
      <c r="N34" s="579"/>
      <c r="O34" s="579"/>
      <c r="P34" s="582"/>
      <c r="Q34" s="582"/>
      <c r="R34" s="582"/>
      <c r="S34" s="579"/>
      <c r="T34" s="582"/>
      <c r="U34" s="582"/>
    </row>
    <row r="35" spans="4:21" ht="19.5" customHeight="1" x14ac:dyDescent="0.25">
      <c r="D35" s="582"/>
      <c r="E35" s="579"/>
      <c r="F35" s="579"/>
      <c r="G35" s="579"/>
      <c r="H35" s="579"/>
      <c r="I35" s="578"/>
      <c r="J35" s="582"/>
      <c r="K35" s="579"/>
      <c r="L35" s="582"/>
      <c r="M35" s="582"/>
      <c r="N35" s="579"/>
      <c r="O35" s="579"/>
      <c r="P35" s="582"/>
      <c r="Q35" s="582"/>
      <c r="R35" s="582"/>
      <c r="S35" s="579"/>
      <c r="T35" s="582"/>
      <c r="U35" s="582"/>
    </row>
    <row r="36" spans="4:21" ht="19.5" customHeight="1" x14ac:dyDescent="0.25">
      <c r="D36" s="582"/>
      <c r="E36" s="579"/>
      <c r="F36" s="579"/>
      <c r="G36" s="579"/>
      <c r="H36" s="579"/>
      <c r="I36" s="578"/>
      <c r="J36" s="582"/>
      <c r="K36" s="579"/>
      <c r="L36" s="582"/>
      <c r="M36" s="582"/>
      <c r="N36" s="579"/>
      <c r="O36" s="579"/>
      <c r="P36" s="582"/>
      <c r="Q36" s="582"/>
      <c r="R36" s="582"/>
      <c r="S36" s="579"/>
      <c r="T36" s="582"/>
      <c r="U36" s="582"/>
    </row>
    <row r="37" spans="4:21" ht="19.5" customHeight="1" x14ac:dyDescent="0.25">
      <c r="D37" s="582"/>
      <c r="E37" s="579"/>
      <c r="F37" s="579"/>
      <c r="G37" s="579"/>
      <c r="H37" s="579"/>
      <c r="I37" s="578"/>
      <c r="J37" s="582"/>
      <c r="K37" s="579"/>
      <c r="L37" s="582"/>
      <c r="M37" s="582"/>
      <c r="N37" s="579"/>
      <c r="O37" s="579"/>
      <c r="P37" s="582"/>
      <c r="Q37" s="582"/>
      <c r="R37" s="582"/>
      <c r="S37" s="579"/>
      <c r="T37" s="582"/>
      <c r="U37" s="582"/>
    </row>
    <row r="38" spans="4:21" ht="19.5" customHeight="1" x14ac:dyDescent="0.25">
      <c r="D38" s="582"/>
      <c r="E38" s="579"/>
      <c r="F38" s="579"/>
      <c r="G38" s="579"/>
      <c r="H38" s="579"/>
      <c r="I38" s="578"/>
      <c r="J38" s="582"/>
      <c r="K38" s="579"/>
      <c r="L38" s="582"/>
      <c r="M38" s="582"/>
      <c r="N38" s="579"/>
      <c r="O38" s="579"/>
      <c r="P38" s="582"/>
      <c r="Q38" s="582"/>
      <c r="R38" s="582"/>
      <c r="S38" s="579"/>
      <c r="T38" s="582"/>
      <c r="U38" s="582"/>
    </row>
    <row r="39" spans="4:21" ht="19.5" customHeight="1" x14ac:dyDescent="0.25">
      <c r="D39" s="582"/>
      <c r="E39" s="579"/>
      <c r="F39" s="579"/>
      <c r="G39" s="579"/>
      <c r="H39" s="579"/>
      <c r="I39" s="578"/>
      <c r="J39" s="582"/>
      <c r="K39" s="579"/>
      <c r="L39" s="582"/>
      <c r="M39" s="582"/>
      <c r="N39" s="579"/>
      <c r="O39" s="579"/>
      <c r="P39" s="582"/>
      <c r="Q39" s="582"/>
      <c r="R39" s="582"/>
      <c r="S39" s="579"/>
      <c r="T39" s="582"/>
      <c r="U39" s="582"/>
    </row>
    <row r="40" spans="4:21" ht="19.5" customHeight="1" x14ac:dyDescent="0.25">
      <c r="D40" s="582"/>
      <c r="E40" s="579"/>
      <c r="F40" s="579"/>
      <c r="G40" s="579"/>
      <c r="H40" s="579"/>
      <c r="I40" s="578"/>
      <c r="J40" s="582"/>
      <c r="K40" s="579"/>
      <c r="L40" s="582"/>
      <c r="M40" s="582"/>
      <c r="N40" s="579"/>
      <c r="O40" s="579"/>
      <c r="P40" s="582"/>
      <c r="Q40" s="582"/>
      <c r="R40" s="582"/>
      <c r="S40" s="579"/>
      <c r="T40" s="582"/>
      <c r="U40" s="582"/>
    </row>
    <row r="41" spans="4:21" ht="19.5" customHeight="1" x14ac:dyDescent="0.25">
      <c r="D41" s="582"/>
      <c r="E41" s="579"/>
      <c r="F41" s="579"/>
      <c r="G41" s="579"/>
      <c r="H41" s="579"/>
      <c r="I41" s="578"/>
      <c r="J41" s="582"/>
      <c r="K41" s="579"/>
      <c r="L41" s="582"/>
      <c r="M41" s="582"/>
      <c r="N41" s="579"/>
      <c r="O41" s="579"/>
      <c r="P41" s="582"/>
      <c r="Q41" s="582"/>
      <c r="R41" s="582"/>
      <c r="S41" s="579"/>
      <c r="T41" s="582"/>
      <c r="U41" s="612"/>
    </row>
    <row r="42" spans="4:21" ht="19.5" customHeight="1" x14ac:dyDescent="0.25">
      <c r="D42" s="582"/>
      <c r="E42" s="579"/>
      <c r="F42" s="579"/>
      <c r="G42" s="579"/>
      <c r="H42" s="579"/>
      <c r="I42" s="578"/>
      <c r="J42" s="582"/>
      <c r="K42" s="579"/>
      <c r="L42" s="582"/>
      <c r="M42" s="582"/>
      <c r="N42" s="579"/>
      <c r="O42" s="579"/>
      <c r="P42" s="582"/>
      <c r="Q42" s="582"/>
      <c r="R42" s="582"/>
      <c r="S42" s="579"/>
      <c r="T42" s="582"/>
      <c r="U42" s="582"/>
    </row>
    <row r="43" spans="4:21" ht="19.5" customHeight="1" x14ac:dyDescent="0.25">
      <c r="D43" s="582"/>
      <c r="E43" s="582"/>
      <c r="F43" s="579"/>
      <c r="G43" s="582"/>
      <c r="H43" s="582"/>
      <c r="I43" s="578"/>
      <c r="J43" s="582"/>
      <c r="K43" s="582"/>
      <c r="L43" s="582"/>
      <c r="M43" s="582"/>
      <c r="N43" s="582"/>
      <c r="O43" s="579"/>
      <c r="P43" s="582"/>
      <c r="Q43" s="582"/>
      <c r="R43" s="582"/>
      <c r="S43" s="579"/>
      <c r="T43" s="582"/>
      <c r="U43" s="582"/>
    </row>
    <row r="44" spans="4:21" ht="19.5" customHeight="1" x14ac:dyDescent="0.25">
      <c r="D44" s="582"/>
      <c r="E44" s="582"/>
      <c r="F44" s="582"/>
      <c r="G44" s="582"/>
      <c r="H44" s="582"/>
      <c r="I44" s="578"/>
      <c r="J44" s="582"/>
      <c r="K44" s="582"/>
      <c r="L44" s="582"/>
      <c r="M44" s="582"/>
      <c r="N44" s="582"/>
      <c r="O44" s="579"/>
      <c r="P44" s="582"/>
      <c r="Q44" s="582"/>
      <c r="R44" s="582"/>
      <c r="S44" s="579"/>
      <c r="T44" s="582"/>
      <c r="U44" s="582"/>
    </row>
    <row r="45" spans="4:21" ht="19.5" customHeight="1" x14ac:dyDescent="0.25">
      <c r="D45" s="582"/>
      <c r="E45" s="582"/>
      <c r="F45" s="582"/>
      <c r="G45" s="582"/>
      <c r="H45" s="582"/>
      <c r="I45" s="578"/>
      <c r="J45" s="582"/>
      <c r="K45" s="582"/>
      <c r="L45" s="582"/>
      <c r="M45" s="582"/>
      <c r="N45" s="582"/>
      <c r="O45" s="579"/>
      <c r="P45" s="582"/>
      <c r="Q45" s="582"/>
      <c r="R45" s="582"/>
      <c r="S45" s="579"/>
      <c r="T45" s="582"/>
      <c r="U45" s="582"/>
    </row>
    <row r="46" spans="4:21" ht="19.5" customHeight="1" x14ac:dyDescent="0.25">
      <c r="D46" s="584"/>
      <c r="E46" s="582"/>
      <c r="F46" s="582"/>
      <c r="G46" s="582"/>
      <c r="H46" s="584"/>
      <c r="I46" s="578"/>
      <c r="J46" s="582"/>
      <c r="K46" s="582"/>
      <c r="L46" s="582"/>
      <c r="M46" s="582"/>
      <c r="N46" s="582"/>
      <c r="O46" s="579"/>
      <c r="P46" s="582"/>
      <c r="Q46" s="582"/>
      <c r="R46" s="582"/>
      <c r="S46" s="579"/>
      <c r="T46" s="582"/>
      <c r="U46" s="582"/>
    </row>
    <row r="47" spans="4:21" ht="19.5" customHeight="1" x14ac:dyDescent="0.25">
      <c r="D47" s="581"/>
      <c r="E47" s="581"/>
      <c r="F47" s="581"/>
      <c r="G47" s="581"/>
      <c r="H47" s="581"/>
      <c r="I47" s="578"/>
      <c r="J47" s="581"/>
      <c r="K47" s="581"/>
      <c r="L47" s="581"/>
      <c r="M47" s="581"/>
      <c r="N47" s="581"/>
      <c r="O47" s="578"/>
      <c r="P47" s="581"/>
      <c r="Q47" s="581"/>
      <c r="R47" s="581"/>
      <c r="S47" s="581"/>
      <c r="T47" s="581"/>
      <c r="U47" s="612"/>
    </row>
    <row r="48" spans="4:21" ht="19.5" customHeight="1" x14ac:dyDescent="0.25">
      <c r="D48" s="581"/>
      <c r="E48" s="581"/>
      <c r="F48" s="581"/>
      <c r="G48" s="581"/>
      <c r="H48" s="581"/>
      <c r="I48" s="578"/>
      <c r="J48" s="581"/>
      <c r="K48" s="581"/>
      <c r="L48" s="581"/>
      <c r="M48" s="581"/>
      <c r="N48" s="581"/>
      <c r="O48" s="578"/>
      <c r="P48" s="581"/>
      <c r="Q48" s="581"/>
      <c r="R48" s="581"/>
      <c r="S48" s="581"/>
      <c r="T48" s="581"/>
      <c r="U48" s="612"/>
    </row>
    <row r="49" spans="3:29" ht="19.5" customHeight="1" x14ac:dyDescent="0.25">
      <c r="D49" s="581"/>
      <c r="E49" s="581"/>
      <c r="F49" s="581"/>
      <c r="G49" s="581"/>
      <c r="H49" s="581"/>
      <c r="I49" s="578"/>
      <c r="J49" s="581"/>
      <c r="K49" s="581"/>
      <c r="L49" s="581"/>
      <c r="M49" s="581"/>
      <c r="N49" s="581"/>
      <c r="O49" s="578"/>
      <c r="P49" s="581"/>
      <c r="Q49" s="581"/>
      <c r="R49" s="581"/>
      <c r="S49" s="581"/>
      <c r="T49" s="581"/>
      <c r="U49" s="612"/>
    </row>
    <row r="50" spans="3:29" ht="19.5" customHeight="1" x14ac:dyDescent="0.25">
      <c r="D50" s="581"/>
      <c r="E50" s="581"/>
      <c r="F50" s="581"/>
      <c r="G50" s="581"/>
      <c r="H50" s="581"/>
      <c r="I50" s="578"/>
      <c r="J50" s="581"/>
      <c r="K50" s="581"/>
      <c r="L50" s="581"/>
      <c r="M50" s="581"/>
      <c r="N50" s="581"/>
      <c r="O50" s="578"/>
      <c r="P50" s="581"/>
      <c r="Q50" s="581"/>
      <c r="R50" s="581"/>
      <c r="S50" s="581"/>
      <c r="T50" s="581"/>
      <c r="U50" s="612"/>
    </row>
    <row r="51" spans="3:29" ht="19.5" customHeight="1" x14ac:dyDescent="0.25">
      <c r="D51" s="581"/>
      <c r="E51" s="581"/>
      <c r="F51" s="581"/>
      <c r="G51" s="581"/>
      <c r="H51" s="581"/>
      <c r="I51" s="578"/>
      <c r="J51" s="581"/>
      <c r="K51" s="581"/>
      <c r="L51" s="581"/>
      <c r="M51" s="581"/>
      <c r="N51" s="581"/>
      <c r="O51" s="578"/>
      <c r="P51" s="581"/>
      <c r="Q51" s="581"/>
      <c r="R51" s="581"/>
      <c r="S51" s="581"/>
      <c r="T51" s="581"/>
      <c r="U51" s="612"/>
    </row>
    <row r="52" spans="3:29" ht="19.5" customHeight="1" x14ac:dyDescent="0.25">
      <c r="D52" s="581"/>
      <c r="E52" s="581"/>
      <c r="F52" s="581"/>
      <c r="G52" s="581"/>
      <c r="H52" s="581"/>
      <c r="I52" s="578"/>
      <c r="J52" s="581"/>
      <c r="K52" s="581"/>
      <c r="L52" s="581"/>
      <c r="M52" s="581"/>
      <c r="N52" s="581"/>
      <c r="O52" s="578"/>
      <c r="P52" s="581"/>
      <c r="Q52" s="581"/>
      <c r="R52" s="581"/>
      <c r="S52" s="581"/>
      <c r="T52" s="581"/>
      <c r="U52" s="612"/>
    </row>
    <row r="53" spans="3:29" ht="19.5" customHeight="1" x14ac:dyDescent="0.25">
      <c r="D53" s="581"/>
      <c r="E53" s="581"/>
      <c r="F53" s="581"/>
      <c r="G53" s="581"/>
      <c r="H53" s="581"/>
      <c r="I53" s="578"/>
      <c r="J53" s="581"/>
      <c r="K53" s="581"/>
      <c r="L53" s="581"/>
      <c r="M53" s="581"/>
      <c r="N53" s="581"/>
      <c r="O53" s="578"/>
      <c r="P53" s="581"/>
      <c r="Q53" s="581"/>
      <c r="R53" s="581"/>
      <c r="S53" s="581"/>
      <c r="T53" s="581"/>
      <c r="U53" s="612"/>
    </row>
    <row r="54" spans="3:29" ht="19.5" customHeight="1" x14ac:dyDescent="0.25">
      <c r="C54" s="53"/>
      <c r="D54" s="581"/>
      <c r="E54" s="581"/>
      <c r="F54" s="581"/>
      <c r="G54" s="581"/>
      <c r="H54" s="581"/>
      <c r="I54" s="581"/>
      <c r="J54" s="581"/>
      <c r="K54" s="581"/>
      <c r="L54" s="581"/>
      <c r="M54" s="581"/>
      <c r="N54" s="581"/>
      <c r="O54" s="581"/>
      <c r="P54" s="581"/>
      <c r="Q54" s="581"/>
      <c r="R54" s="581"/>
      <c r="S54" s="581"/>
      <c r="T54" s="581"/>
      <c r="U54" s="166"/>
      <c r="AB54" s="1075"/>
      <c r="AC54" s="1075"/>
    </row>
    <row r="55" spans="3:29" ht="19.5" customHeight="1" x14ac:dyDescent="0.25">
      <c r="C55" s="53"/>
      <c r="D55" s="581"/>
      <c r="E55" s="581"/>
      <c r="F55" s="581"/>
      <c r="G55" s="581"/>
      <c r="H55" s="581"/>
      <c r="J55" s="581"/>
      <c r="K55" s="581"/>
      <c r="L55" s="581"/>
      <c r="M55" s="581"/>
      <c r="N55" s="581"/>
      <c r="O55" s="581"/>
      <c r="P55" s="581"/>
      <c r="Q55" s="581"/>
      <c r="R55" s="581"/>
      <c r="S55" s="581"/>
      <c r="T55" s="581"/>
      <c r="U55" s="166"/>
      <c r="AB55" s="1075"/>
      <c r="AC55" s="1075"/>
    </row>
    <row r="56" spans="3:29" ht="19.5" customHeight="1" x14ac:dyDescent="0.25">
      <c r="C56" s="116"/>
      <c r="D56" s="134"/>
      <c r="E56" s="134"/>
      <c r="F56" s="134"/>
      <c r="G56" s="134"/>
      <c r="H56" s="134"/>
      <c r="I56" s="134"/>
      <c r="J56" s="134"/>
      <c r="K56" s="134"/>
      <c r="L56" s="134"/>
      <c r="M56" s="134"/>
      <c r="N56" s="134"/>
      <c r="O56" s="134"/>
      <c r="P56" s="134"/>
      <c r="Q56" s="134"/>
      <c r="R56" s="134"/>
      <c r="S56" s="134"/>
      <c r="T56" s="134"/>
    </row>
    <row r="57" spans="3:29" ht="19.5" customHeight="1" x14ac:dyDescent="0.25">
      <c r="C57" s="585"/>
      <c r="D57" s="131"/>
      <c r="E57" s="131"/>
      <c r="F57" s="131"/>
      <c r="G57" s="131"/>
      <c r="H57" s="131"/>
      <c r="I57" s="131"/>
      <c r="J57" s="131"/>
      <c r="K57" s="131"/>
      <c r="L57" s="131"/>
      <c r="M57" s="131"/>
      <c r="N57" s="131"/>
      <c r="O57" s="131"/>
      <c r="P57" s="131"/>
      <c r="Q57" s="131"/>
      <c r="R57" s="131"/>
      <c r="S57" s="131"/>
      <c r="T57" s="131"/>
    </row>
    <row r="58" spans="3:29" ht="19.5" customHeight="1" x14ac:dyDescent="0.25">
      <c r="C58" s="585"/>
      <c r="D58" s="105"/>
      <c r="E58" s="104"/>
      <c r="F58" s="104"/>
      <c r="G58" s="104"/>
      <c r="H58" s="104"/>
      <c r="I58" s="104"/>
      <c r="J58" s="105"/>
      <c r="K58" s="104"/>
      <c r="L58" s="104"/>
      <c r="M58" s="104"/>
      <c r="N58" s="104"/>
      <c r="O58" s="104"/>
      <c r="P58" s="105"/>
      <c r="Q58" s="104"/>
      <c r="R58" s="104"/>
      <c r="S58" s="104"/>
      <c r="T58" s="104"/>
    </row>
    <row r="59" spans="3:29" ht="19.5" customHeight="1" x14ac:dyDescent="0.25">
      <c r="D59" s="104"/>
      <c r="E59" s="104"/>
      <c r="F59" s="104"/>
      <c r="G59" s="104"/>
      <c r="H59" s="104"/>
      <c r="I59" s="104"/>
      <c r="J59" s="104"/>
      <c r="K59" s="104"/>
      <c r="L59" s="104"/>
      <c r="M59" s="104"/>
      <c r="N59" s="104"/>
      <c r="O59" s="104"/>
      <c r="P59" s="104"/>
      <c r="Q59" s="104"/>
      <c r="R59" s="104"/>
      <c r="S59" s="104"/>
      <c r="T59" s="104"/>
    </row>
    <row r="60" spans="3:29" ht="19.5" customHeight="1" x14ac:dyDescent="0.25">
      <c r="D60" s="104"/>
      <c r="E60" s="104"/>
      <c r="F60" s="104"/>
      <c r="G60" s="104"/>
      <c r="H60" s="104"/>
      <c r="I60" s="104"/>
      <c r="J60" s="104"/>
      <c r="K60" s="104"/>
      <c r="L60" s="104"/>
      <c r="M60" s="104"/>
      <c r="N60" s="104"/>
      <c r="O60" s="104"/>
      <c r="P60" s="104"/>
      <c r="Q60" s="104"/>
      <c r="R60" s="104"/>
      <c r="S60" s="104"/>
      <c r="T60" s="104"/>
    </row>
    <row r="61" spans="3:29" ht="19.5" customHeight="1" x14ac:dyDescent="0.25"/>
    <row r="62" spans="3:29" ht="19.5" customHeight="1" x14ac:dyDescent="0.25"/>
    <row r="63" spans="3:29" ht="19.5" customHeight="1" x14ac:dyDescent="0.25"/>
    <row r="64" spans="3:29" ht="19.5" customHeight="1" x14ac:dyDescent="0.25"/>
    <row r="65" ht="19.5" customHeight="1" x14ac:dyDescent="0.25"/>
    <row r="66" ht="19.5" customHeight="1" x14ac:dyDescent="0.25"/>
  </sheetData>
  <mergeCells count="19">
    <mergeCell ref="AB54:AC54"/>
    <mergeCell ref="AB55:AC55"/>
    <mergeCell ref="G20:I20"/>
    <mergeCell ref="J20:L20"/>
    <mergeCell ref="M20:O20"/>
    <mergeCell ref="P20:R20"/>
    <mergeCell ref="B2:C2"/>
    <mergeCell ref="D7:H7"/>
    <mergeCell ref="J7:N7"/>
    <mergeCell ref="B4:C4"/>
    <mergeCell ref="B5:C5"/>
    <mergeCell ref="P7:T7"/>
    <mergeCell ref="B9:C9"/>
    <mergeCell ref="D20:F20"/>
    <mergeCell ref="B14:C14"/>
    <mergeCell ref="B15:C15"/>
    <mergeCell ref="B16:C16"/>
    <mergeCell ref="B11:C11"/>
    <mergeCell ref="B12:C12"/>
  </mergeCells>
  <conditionalFormatting sqref="D11:H13">
    <cfRule type="cellIs" dxfId="1294" priority="13" operator="equal">
      <formula>""</formula>
    </cfRule>
    <cfRule type="cellIs" dxfId="1293" priority="14" operator="between">
      <formula>4</formula>
      <formula>5</formula>
    </cfRule>
    <cfRule type="cellIs" dxfId="1292" priority="15" operator="between">
      <formula>3</formula>
      <formula>4</formula>
    </cfRule>
    <cfRule type="cellIs" dxfId="1291" priority="16" operator="between">
      <formula>2</formula>
      <formula>3</formula>
    </cfRule>
    <cfRule type="cellIs" dxfId="1290" priority="17" operator="between">
      <formula>1</formula>
      <formula>2</formula>
    </cfRule>
    <cfRule type="cellIs" dxfId="1289" priority="18" operator="between">
      <formula>0</formula>
      <formula>1</formula>
    </cfRule>
  </conditionalFormatting>
  <conditionalFormatting sqref="J11:N13">
    <cfRule type="cellIs" dxfId="1288" priority="7" operator="equal">
      <formula>""</formula>
    </cfRule>
    <cfRule type="cellIs" dxfId="1287" priority="8" operator="between">
      <formula>4</formula>
      <formula>5</formula>
    </cfRule>
    <cfRule type="cellIs" dxfId="1286" priority="9" operator="between">
      <formula>3</formula>
      <formula>4</formula>
    </cfRule>
    <cfRule type="cellIs" dxfId="1285" priority="10" operator="between">
      <formula>2</formula>
      <formula>3</formula>
    </cfRule>
    <cfRule type="cellIs" dxfId="1284" priority="11" operator="between">
      <formula>1</formula>
      <formula>2</formula>
    </cfRule>
    <cfRule type="cellIs" dxfId="1283" priority="12" operator="between">
      <formula>0</formula>
      <formula>1</formula>
    </cfRule>
  </conditionalFormatting>
  <conditionalFormatting sqref="P11:T13">
    <cfRule type="cellIs" dxfId="1282" priority="1" operator="equal">
      <formula>""</formula>
    </cfRule>
    <cfRule type="cellIs" dxfId="1281" priority="2" operator="between">
      <formula>4</formula>
      <formula>5</formula>
    </cfRule>
    <cfRule type="cellIs" dxfId="1280" priority="3" operator="between">
      <formula>3</formula>
      <formula>4</formula>
    </cfRule>
    <cfRule type="cellIs" dxfId="1279" priority="4" operator="between">
      <formula>2</formula>
      <formula>3</formula>
    </cfRule>
    <cfRule type="cellIs" dxfId="1278" priority="5" operator="between">
      <formula>1</formula>
      <formula>2</formula>
    </cfRule>
    <cfRule type="cellIs" dxfId="1277" priority="6" operator="between">
      <formula>0</formula>
      <formula>1</formula>
    </cfRule>
  </conditionalFormatting>
  <conditionalFormatting sqref="U11:U13">
    <cfRule type="cellIs" dxfId="1276" priority="19" operator="between">
      <formula>2</formula>
      <formula>2.9</formula>
    </cfRule>
    <cfRule type="cellIs" dxfId="1275" priority="20" stopIfTrue="1" operator="between">
      <formula>0.1</formula>
      <formula>1.9</formula>
    </cfRule>
    <cfRule type="cellIs" dxfId="1274" priority="21" stopIfTrue="1" operator="between">
      <formula>3</formula>
      <formula>3.9</formula>
    </cfRule>
    <cfRule type="cellIs" dxfId="1273" priority="22" stopIfTrue="1" operator="between">
      <formula>4</formula>
      <formula>5</formula>
    </cfRule>
  </conditionalFormatting>
  <conditionalFormatting sqref="U18:U44">
    <cfRule type="cellIs" dxfId="1272" priority="27" operator="between">
      <formula>2</formula>
      <formula>2.9</formula>
    </cfRule>
    <cfRule type="cellIs" dxfId="1271" priority="28" stopIfTrue="1" operator="between">
      <formula>0.1</formula>
      <formula>1.9</formula>
    </cfRule>
    <cfRule type="cellIs" dxfId="1270" priority="29" stopIfTrue="1" operator="between">
      <formula>3</formula>
      <formula>3.9</formula>
    </cfRule>
    <cfRule type="cellIs" dxfId="1269" priority="30" stopIfTrue="1" operator="between">
      <formula>4</formula>
      <formula>5</formula>
    </cfRule>
  </conditionalFormatting>
  <pageMargins left="0.55118110236220474" right="0.27559055118110237" top="0.47244094488188981" bottom="0.43307086614173229" header="0.23622047244094491" footer="0.23622047244094491"/>
  <pageSetup paperSize="9" scale="75" orientation="portrait" horizontalDpi="4294967293" r:id="rId1"/>
  <headerFooter alignWithMargins="0">
    <oddHeader>&amp;C&amp;"Comic Sans MS,Standaard"&amp;16Opbrengstgericht Passend Onderwijs = OPO</oddHeader>
    <oddFooter>&amp;R© www.meesterharrie.nl</oddFooter>
  </headerFooter>
  <colBreaks count="1" manualBreakCount="1">
    <brk id="30"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76AF-0C4C-4D10-B5C6-A0313C0FDB80}">
  <sheetPr>
    <pageSetUpPr fitToPage="1"/>
  </sheetPr>
  <dimension ref="B1:AJ52"/>
  <sheetViews>
    <sheetView showGridLines="0" showRowColHeaders="0" zoomScaleNormal="100" workbookViewId="0"/>
  </sheetViews>
  <sheetFormatPr defaultColWidth="8.81640625" defaultRowHeight="12.5" x14ac:dyDescent="0.25"/>
  <cols>
    <col min="1" max="1" width="3.1796875" style="51" customWidth="1"/>
    <col min="2" max="2" width="4" style="501" bestFit="1" customWidth="1"/>
    <col min="3" max="3" width="25.81640625" style="77" customWidth="1"/>
    <col min="4" max="7" width="5.54296875" style="51" customWidth="1"/>
    <col min="8" max="8" width="8.81640625" style="51" customWidth="1"/>
    <col min="9" max="11" width="8.81640625" style="51"/>
    <col min="12" max="12" width="4.1796875" style="51" customWidth="1"/>
    <col min="13" max="13" width="3.1796875" style="51" customWidth="1"/>
    <col min="14" max="14" width="4" style="501" bestFit="1" customWidth="1"/>
    <col min="15" max="15" width="25.81640625" style="77" customWidth="1"/>
    <col min="16" max="19" width="5.54296875" style="51" customWidth="1"/>
    <col min="20" max="23" width="8.81640625" style="51"/>
    <col min="24" max="24" width="4.1796875" style="51" customWidth="1"/>
    <col min="25" max="25" width="3.1796875" style="51" customWidth="1"/>
    <col min="26" max="26" width="4" style="501" bestFit="1" customWidth="1"/>
    <col min="27" max="27" width="25.81640625" style="77" customWidth="1"/>
    <col min="28" max="31" width="5.54296875" style="51" customWidth="1"/>
    <col min="32" max="35" width="8.81640625" style="51"/>
    <col min="36" max="36" width="4.1796875" style="51" customWidth="1"/>
    <col min="37" max="16384" width="8.81640625" style="51"/>
  </cols>
  <sheetData>
    <row r="1" spans="2:36" ht="13.5" thickBot="1" x14ac:dyDescent="0.3">
      <c r="C1" s="1089" t="s">
        <v>158</v>
      </c>
      <c r="D1" s="1089"/>
      <c r="E1" s="1089"/>
      <c r="F1" s="1089"/>
      <c r="G1" s="1089"/>
      <c r="N1" s="1089" t="s">
        <v>179</v>
      </c>
      <c r="O1" s="1089"/>
      <c r="P1" s="1089"/>
      <c r="Q1" s="1089"/>
      <c r="R1" s="1089"/>
      <c r="S1" s="1089"/>
      <c r="Z1" s="1089" t="s">
        <v>180</v>
      </c>
      <c r="AA1" s="1089"/>
      <c r="AB1" s="1089"/>
      <c r="AC1" s="1089"/>
      <c r="AD1" s="1089"/>
      <c r="AE1" s="1089"/>
    </row>
    <row r="2" spans="2:36" ht="15" customHeight="1" thickTop="1" x14ac:dyDescent="0.25">
      <c r="B2" s="1090"/>
      <c r="C2" s="1091"/>
      <c r="D2" s="1092" t="s">
        <v>181</v>
      </c>
      <c r="E2" s="1092"/>
      <c r="F2" s="1092"/>
      <c r="G2" s="1093"/>
      <c r="H2" s="1076" t="str">
        <f>$D$3</f>
        <v>technisch lezen</v>
      </c>
      <c r="I2" s="1076"/>
      <c r="J2" s="1076"/>
      <c r="K2" s="1076"/>
      <c r="L2" s="1076"/>
      <c r="N2" s="1090"/>
      <c r="O2" s="1091"/>
      <c r="P2" s="1092" t="s">
        <v>181</v>
      </c>
      <c r="Q2" s="1092"/>
      <c r="R2" s="1092"/>
      <c r="S2" s="1093"/>
      <c r="T2" s="1076" t="str">
        <f>$D$3</f>
        <v>technisch lezen</v>
      </c>
      <c r="U2" s="1076"/>
      <c r="V2" s="1076"/>
      <c r="W2" s="1076"/>
      <c r="X2" s="1076"/>
      <c r="Z2" s="1090"/>
      <c r="AA2" s="1091"/>
      <c r="AB2" s="1092" t="s">
        <v>181</v>
      </c>
      <c r="AC2" s="1092"/>
      <c r="AD2" s="1092"/>
      <c r="AE2" s="1093"/>
      <c r="AF2" s="1076" t="str">
        <f>$D$3</f>
        <v>technisch lezen</v>
      </c>
      <c r="AG2" s="1076"/>
      <c r="AH2" s="1076"/>
      <c r="AI2" s="1076"/>
      <c r="AJ2" s="1076"/>
    </row>
    <row r="3" spans="2:36" ht="15" customHeight="1" x14ac:dyDescent="0.25">
      <c r="B3" s="502"/>
      <c r="C3" s="503"/>
      <c r="D3" s="1094" t="s">
        <v>64</v>
      </c>
      <c r="E3" s="1094" t="s">
        <v>66</v>
      </c>
      <c r="F3" s="1094" t="s">
        <v>182</v>
      </c>
      <c r="G3" s="1097" t="s">
        <v>183</v>
      </c>
      <c r="N3" s="502"/>
      <c r="O3" s="503"/>
      <c r="P3" s="1094" t="s">
        <v>64</v>
      </c>
      <c r="Q3" s="1094" t="s">
        <v>66</v>
      </c>
      <c r="R3" s="1094" t="s">
        <v>182</v>
      </c>
      <c r="S3" s="1097" t="s">
        <v>183</v>
      </c>
      <c r="Z3" s="502"/>
      <c r="AA3" s="503"/>
      <c r="AB3" s="1094" t="s">
        <v>64</v>
      </c>
      <c r="AC3" s="1094" t="s">
        <v>66</v>
      </c>
      <c r="AD3" s="1094" t="s">
        <v>182</v>
      </c>
      <c r="AE3" s="1097" t="s">
        <v>183</v>
      </c>
    </row>
    <row r="4" spans="2:36" ht="15" customHeight="1" x14ac:dyDescent="0.25">
      <c r="B4" s="502" t="s">
        <v>184</v>
      </c>
      <c r="C4" s="504" t="s">
        <v>185</v>
      </c>
      <c r="D4" s="1095"/>
      <c r="E4" s="1095"/>
      <c r="F4" s="1095"/>
      <c r="G4" s="1098"/>
      <c r="N4" s="502" t="s">
        <v>184</v>
      </c>
      <c r="O4" s="504" t="s">
        <v>185</v>
      </c>
      <c r="P4" s="1095"/>
      <c r="Q4" s="1095"/>
      <c r="R4" s="1095"/>
      <c r="S4" s="1098"/>
      <c r="Z4" s="502" t="s">
        <v>184</v>
      </c>
      <c r="AA4" s="504" t="s">
        <v>185</v>
      </c>
      <c r="AB4" s="1095"/>
      <c r="AC4" s="1095"/>
      <c r="AD4" s="1095"/>
      <c r="AE4" s="1098"/>
    </row>
    <row r="5" spans="2:36" ht="15" customHeight="1" x14ac:dyDescent="0.25">
      <c r="B5" s="502" t="s">
        <v>186</v>
      </c>
      <c r="C5" s="505" t="s">
        <v>187</v>
      </c>
      <c r="D5" s="1095"/>
      <c r="E5" s="1095"/>
      <c r="F5" s="1095"/>
      <c r="G5" s="1098"/>
      <c r="N5" s="502" t="s">
        <v>186</v>
      </c>
      <c r="O5" s="505" t="s">
        <v>187</v>
      </c>
      <c r="P5" s="1095"/>
      <c r="Q5" s="1095"/>
      <c r="R5" s="1095"/>
      <c r="S5" s="1098"/>
      <c r="Z5" s="502" t="s">
        <v>186</v>
      </c>
      <c r="AA5" s="505" t="s">
        <v>187</v>
      </c>
      <c r="AB5" s="1095"/>
      <c r="AC5" s="1095"/>
      <c r="AD5" s="1095"/>
      <c r="AE5" s="1098"/>
    </row>
    <row r="6" spans="2:36" ht="15" customHeight="1" x14ac:dyDescent="0.25">
      <c r="B6" s="502" t="s">
        <v>188</v>
      </c>
      <c r="C6" s="506" t="s">
        <v>189</v>
      </c>
      <c r="D6" s="1095"/>
      <c r="E6" s="1095"/>
      <c r="F6" s="1095"/>
      <c r="G6" s="1098"/>
      <c r="N6" s="502" t="s">
        <v>188</v>
      </c>
      <c r="O6" s="506" t="s">
        <v>189</v>
      </c>
      <c r="P6" s="1095"/>
      <c r="Q6" s="1095"/>
      <c r="R6" s="1095"/>
      <c r="S6" s="1098"/>
      <c r="Z6" s="502" t="s">
        <v>188</v>
      </c>
      <c r="AA6" s="506" t="s">
        <v>189</v>
      </c>
      <c r="AB6" s="1095"/>
      <c r="AC6" s="1095"/>
      <c r="AD6" s="1095"/>
      <c r="AE6" s="1098"/>
    </row>
    <row r="7" spans="2:36" ht="15" customHeight="1" x14ac:dyDescent="0.25">
      <c r="B7" s="502" t="s">
        <v>190</v>
      </c>
      <c r="C7" s="507" t="s">
        <v>191</v>
      </c>
      <c r="D7" s="1095"/>
      <c r="E7" s="1095"/>
      <c r="F7" s="1095"/>
      <c r="G7" s="1098"/>
      <c r="N7" s="502" t="s">
        <v>190</v>
      </c>
      <c r="O7" s="507" t="s">
        <v>191</v>
      </c>
      <c r="P7" s="1095"/>
      <c r="Q7" s="1095"/>
      <c r="R7" s="1095"/>
      <c r="S7" s="1098"/>
      <c r="Z7" s="502" t="s">
        <v>190</v>
      </c>
      <c r="AA7" s="507" t="s">
        <v>191</v>
      </c>
      <c r="AB7" s="1095"/>
      <c r="AC7" s="1095"/>
      <c r="AD7" s="1095"/>
      <c r="AE7" s="1098"/>
    </row>
    <row r="8" spans="2:36" ht="15" customHeight="1" x14ac:dyDescent="0.25">
      <c r="B8" s="502"/>
      <c r="C8" s="503"/>
      <c r="D8" s="1096"/>
      <c r="E8" s="1096"/>
      <c r="F8" s="1096"/>
      <c r="G8" s="1099"/>
      <c r="N8" s="502"/>
      <c r="O8" s="503"/>
      <c r="P8" s="1096"/>
      <c r="Q8" s="1096"/>
      <c r="R8" s="1096"/>
      <c r="S8" s="1099"/>
      <c r="Z8" s="502"/>
      <c r="AA8" s="503"/>
      <c r="AB8" s="1096"/>
      <c r="AC8" s="1096"/>
      <c r="AD8" s="1096"/>
      <c r="AE8" s="1099"/>
    </row>
    <row r="9" spans="2:36" ht="15" customHeight="1" x14ac:dyDescent="0.25">
      <c r="B9" s="1077" t="s">
        <v>63</v>
      </c>
      <c r="C9" s="1078"/>
      <c r="D9" s="1079"/>
      <c r="E9" s="1079"/>
      <c r="F9" s="1079"/>
      <c r="G9" s="1080"/>
      <c r="N9" s="1077" t="s">
        <v>63</v>
      </c>
      <c r="O9" s="1078"/>
      <c r="P9" s="1079"/>
      <c r="Q9" s="1079"/>
      <c r="R9" s="1079"/>
      <c r="S9" s="1080"/>
      <c r="Z9" s="1077" t="s">
        <v>63</v>
      </c>
      <c r="AA9" s="1078"/>
      <c r="AB9" s="1079"/>
      <c r="AC9" s="1079"/>
      <c r="AD9" s="1079"/>
      <c r="AE9" s="1080"/>
    </row>
    <row r="10" spans="2:36" ht="15" customHeight="1" x14ac:dyDescent="0.25">
      <c r="B10" s="508"/>
      <c r="C10" s="509"/>
      <c r="D10" s="382"/>
      <c r="E10" s="382"/>
      <c r="F10" s="382"/>
      <c r="G10" s="510"/>
      <c r="N10" s="508"/>
      <c r="O10" s="509"/>
      <c r="P10" s="382"/>
      <c r="Q10" s="382"/>
      <c r="R10" s="382"/>
      <c r="S10" s="510"/>
      <c r="Z10" s="508"/>
      <c r="AA10" s="509"/>
      <c r="AB10" s="382"/>
      <c r="AC10" s="382"/>
      <c r="AD10" s="382"/>
      <c r="AE10" s="510"/>
    </row>
    <row r="11" spans="2:36" ht="15" customHeight="1" x14ac:dyDescent="0.25">
      <c r="B11" s="511">
        <v>1</v>
      </c>
      <c r="C11" s="512" t="str">
        <f>BEGINBLAD!C4</f>
        <v>leerling 1</v>
      </c>
      <c r="D11" s="513">
        <v>4</v>
      </c>
      <c r="E11" s="513">
        <v>3</v>
      </c>
      <c r="F11" s="513">
        <v>4</v>
      </c>
      <c r="G11" s="514">
        <v>3</v>
      </c>
      <c r="N11" s="511">
        <v>1</v>
      </c>
      <c r="O11" s="512" t="str">
        <f>BEGINBLAD!C4</f>
        <v>leerling 1</v>
      </c>
      <c r="P11" s="513">
        <v>4</v>
      </c>
      <c r="Q11" s="513">
        <v>3</v>
      </c>
      <c r="R11" s="513">
        <v>3</v>
      </c>
      <c r="S11" s="514">
        <v>3</v>
      </c>
      <c r="Z11" s="511">
        <v>1</v>
      </c>
      <c r="AA11" s="512" t="str">
        <f>BEGINBLAD!C4</f>
        <v>leerling 1</v>
      </c>
      <c r="AB11" s="513"/>
      <c r="AC11" s="513"/>
      <c r="AD11" s="513"/>
      <c r="AE11" s="514"/>
    </row>
    <row r="12" spans="2:36" ht="15" customHeight="1" x14ac:dyDescent="0.25">
      <c r="B12" s="511">
        <v>2</v>
      </c>
      <c r="C12" s="512" t="str">
        <f>BEGINBLAD!C5</f>
        <v>leerling 2</v>
      </c>
      <c r="D12" s="513">
        <v>1</v>
      </c>
      <c r="E12" s="513">
        <v>1</v>
      </c>
      <c r="F12" s="513">
        <v>4</v>
      </c>
      <c r="G12" s="514">
        <v>3</v>
      </c>
      <c r="N12" s="511">
        <v>2</v>
      </c>
      <c r="O12" s="512" t="str">
        <f>BEGINBLAD!C5</f>
        <v>leerling 2</v>
      </c>
      <c r="P12" s="513">
        <v>1</v>
      </c>
      <c r="Q12" s="513">
        <v>3</v>
      </c>
      <c r="R12" s="513">
        <v>4</v>
      </c>
      <c r="S12" s="514">
        <v>3</v>
      </c>
      <c r="Z12" s="511">
        <v>2</v>
      </c>
      <c r="AA12" s="512" t="str">
        <f>BEGINBLAD!C5</f>
        <v>leerling 2</v>
      </c>
      <c r="AB12" s="513"/>
      <c r="AC12" s="513"/>
      <c r="AD12" s="513"/>
      <c r="AE12" s="514"/>
    </row>
    <row r="13" spans="2:36" ht="15" customHeight="1" x14ac:dyDescent="0.25">
      <c r="B13" s="511">
        <v>3</v>
      </c>
      <c r="C13" s="512" t="str">
        <f>BEGINBLAD!C6</f>
        <v>leerling 3</v>
      </c>
      <c r="D13" s="513">
        <v>4</v>
      </c>
      <c r="E13" s="513">
        <v>4</v>
      </c>
      <c r="F13" s="513">
        <v>4</v>
      </c>
      <c r="G13" s="514">
        <v>4</v>
      </c>
      <c r="H13" s="1076" t="str">
        <f>$E$3</f>
        <v>begrijpend lezen</v>
      </c>
      <c r="I13" s="1076"/>
      <c r="J13" s="1076"/>
      <c r="K13" s="1076"/>
      <c r="L13" s="1076"/>
      <c r="N13" s="511">
        <v>3</v>
      </c>
      <c r="O13" s="512" t="str">
        <f>BEGINBLAD!C6</f>
        <v>leerling 3</v>
      </c>
      <c r="P13" s="513">
        <v>3</v>
      </c>
      <c r="Q13" s="513">
        <v>3</v>
      </c>
      <c r="R13" s="513">
        <v>4</v>
      </c>
      <c r="S13" s="514">
        <v>3</v>
      </c>
      <c r="T13" s="1076" t="str">
        <f>$E$3</f>
        <v>begrijpend lezen</v>
      </c>
      <c r="U13" s="1076"/>
      <c r="V13" s="1076"/>
      <c r="W13" s="1076"/>
      <c r="X13" s="1076"/>
      <c r="Z13" s="511">
        <v>3</v>
      </c>
      <c r="AA13" s="512" t="str">
        <f>BEGINBLAD!C6</f>
        <v>leerling 3</v>
      </c>
      <c r="AB13" s="513"/>
      <c r="AC13" s="513"/>
      <c r="AD13" s="513"/>
      <c r="AE13" s="514"/>
      <c r="AF13" s="1076" t="str">
        <f>$E$3</f>
        <v>begrijpend lezen</v>
      </c>
      <c r="AG13" s="1076"/>
      <c r="AH13" s="1076"/>
      <c r="AI13" s="1076"/>
      <c r="AJ13" s="1076"/>
    </row>
    <row r="14" spans="2:36" ht="15" customHeight="1" x14ac:dyDescent="0.25">
      <c r="B14" s="511">
        <v>4</v>
      </c>
      <c r="C14" s="512" t="str">
        <f>BEGINBLAD!C7</f>
        <v>leerling 4</v>
      </c>
      <c r="D14" s="513">
        <v>4</v>
      </c>
      <c r="E14" s="513">
        <v>4</v>
      </c>
      <c r="F14" s="513">
        <v>4</v>
      </c>
      <c r="G14" s="514">
        <v>4</v>
      </c>
      <c r="N14" s="511">
        <v>4</v>
      </c>
      <c r="O14" s="512" t="str">
        <f>BEGINBLAD!C7</f>
        <v>leerling 4</v>
      </c>
      <c r="P14" s="513">
        <v>4</v>
      </c>
      <c r="Q14" s="513">
        <v>3</v>
      </c>
      <c r="R14" s="513">
        <v>4</v>
      </c>
      <c r="S14" s="514">
        <v>4</v>
      </c>
      <c r="Z14" s="511">
        <v>4</v>
      </c>
      <c r="AA14" s="512" t="str">
        <f>BEGINBLAD!C7</f>
        <v>leerling 4</v>
      </c>
      <c r="AB14" s="513"/>
      <c r="AC14" s="513"/>
      <c r="AD14" s="513"/>
      <c r="AE14" s="514"/>
    </row>
    <row r="15" spans="2:36" ht="15" customHeight="1" x14ac:dyDescent="0.25">
      <c r="B15" s="511">
        <v>5</v>
      </c>
      <c r="C15" s="512" t="str">
        <f>BEGINBLAD!C8</f>
        <v>leerling 5</v>
      </c>
      <c r="D15" s="513">
        <v>4</v>
      </c>
      <c r="E15" s="513">
        <v>3</v>
      </c>
      <c r="F15" s="513">
        <v>3</v>
      </c>
      <c r="G15" s="514">
        <v>3</v>
      </c>
      <c r="N15" s="511">
        <v>5</v>
      </c>
      <c r="O15" s="512" t="str">
        <f>BEGINBLAD!C8</f>
        <v>leerling 5</v>
      </c>
      <c r="P15" s="513">
        <v>4</v>
      </c>
      <c r="Q15" s="513">
        <v>3</v>
      </c>
      <c r="R15" s="513">
        <v>1</v>
      </c>
      <c r="S15" s="514">
        <v>1</v>
      </c>
      <c r="Z15" s="511">
        <v>5</v>
      </c>
      <c r="AA15" s="512" t="str">
        <f>BEGINBLAD!C8</f>
        <v>leerling 5</v>
      </c>
      <c r="AB15" s="513"/>
      <c r="AC15" s="513"/>
      <c r="AD15" s="513"/>
      <c r="AE15" s="514"/>
    </row>
    <row r="16" spans="2:36" ht="15" customHeight="1" x14ac:dyDescent="0.25">
      <c r="B16" s="511">
        <v>6</v>
      </c>
      <c r="C16" s="512" t="str">
        <f>BEGINBLAD!C9</f>
        <v>leerling 6</v>
      </c>
      <c r="D16" s="513">
        <v>4</v>
      </c>
      <c r="E16" s="513">
        <v>3</v>
      </c>
      <c r="F16" s="513">
        <v>3</v>
      </c>
      <c r="G16" s="514">
        <v>4</v>
      </c>
      <c r="N16" s="511">
        <v>6</v>
      </c>
      <c r="O16" s="512" t="str">
        <f>BEGINBLAD!C9</f>
        <v>leerling 6</v>
      </c>
      <c r="P16" s="513">
        <v>4</v>
      </c>
      <c r="Q16" s="513">
        <v>3</v>
      </c>
      <c r="R16" s="513">
        <v>3</v>
      </c>
      <c r="S16" s="514">
        <v>3</v>
      </c>
      <c r="Z16" s="511">
        <v>6</v>
      </c>
      <c r="AA16" s="512" t="str">
        <f>BEGINBLAD!C9</f>
        <v>leerling 6</v>
      </c>
      <c r="AB16" s="513"/>
      <c r="AC16" s="513"/>
      <c r="AD16" s="513"/>
      <c r="AE16" s="514"/>
    </row>
    <row r="17" spans="2:36" ht="15" customHeight="1" x14ac:dyDescent="0.25">
      <c r="B17" s="511">
        <v>7</v>
      </c>
      <c r="C17" s="512" t="str">
        <f>BEGINBLAD!C10</f>
        <v>leerling 7</v>
      </c>
      <c r="D17" s="513">
        <v>3</v>
      </c>
      <c r="E17" s="513">
        <v>3</v>
      </c>
      <c r="F17" s="513">
        <v>3</v>
      </c>
      <c r="G17" s="514">
        <v>3</v>
      </c>
      <c r="N17" s="511">
        <v>7</v>
      </c>
      <c r="O17" s="512" t="str">
        <f>BEGINBLAD!C10</f>
        <v>leerling 7</v>
      </c>
      <c r="P17" s="513">
        <v>3</v>
      </c>
      <c r="Q17" s="513">
        <v>1</v>
      </c>
      <c r="R17" s="513">
        <v>3</v>
      </c>
      <c r="S17" s="514">
        <v>3</v>
      </c>
      <c r="Z17" s="511">
        <v>7</v>
      </c>
      <c r="AA17" s="512" t="str">
        <f>BEGINBLAD!C10</f>
        <v>leerling 7</v>
      </c>
      <c r="AB17" s="513"/>
      <c r="AC17" s="513"/>
      <c r="AD17" s="513"/>
      <c r="AE17" s="514"/>
    </row>
    <row r="18" spans="2:36" ht="15" customHeight="1" x14ac:dyDescent="0.25">
      <c r="B18" s="511">
        <v>8</v>
      </c>
      <c r="C18" s="512" t="str">
        <f>BEGINBLAD!C11</f>
        <v>leerling 8</v>
      </c>
      <c r="D18" s="513">
        <v>3</v>
      </c>
      <c r="E18" s="513">
        <v>3</v>
      </c>
      <c r="F18" s="513">
        <v>3</v>
      </c>
      <c r="G18" s="514">
        <v>4</v>
      </c>
      <c r="N18" s="511">
        <v>8</v>
      </c>
      <c r="O18" s="512" t="str">
        <f>BEGINBLAD!C11</f>
        <v>leerling 8</v>
      </c>
      <c r="P18" s="513">
        <v>3</v>
      </c>
      <c r="Q18" s="513">
        <v>3</v>
      </c>
      <c r="R18" s="513">
        <v>3</v>
      </c>
      <c r="S18" s="514">
        <v>3</v>
      </c>
      <c r="Z18" s="511">
        <v>8</v>
      </c>
      <c r="AA18" s="512" t="str">
        <f>BEGINBLAD!C11</f>
        <v>leerling 8</v>
      </c>
      <c r="AB18" s="513"/>
      <c r="AC18" s="513"/>
      <c r="AD18" s="513"/>
      <c r="AE18" s="514"/>
    </row>
    <row r="19" spans="2:36" ht="15" customHeight="1" x14ac:dyDescent="0.25">
      <c r="B19" s="511">
        <v>9</v>
      </c>
      <c r="C19" s="512">
        <f>BEGINBLAD!C12</f>
        <v>0</v>
      </c>
      <c r="D19" s="513"/>
      <c r="E19" s="513"/>
      <c r="F19" s="513"/>
      <c r="G19" s="514"/>
      <c r="N19" s="511">
        <v>9</v>
      </c>
      <c r="O19" s="512">
        <f>BEGINBLAD!C12</f>
        <v>0</v>
      </c>
      <c r="P19" s="513"/>
      <c r="Q19" s="513"/>
      <c r="R19" s="513"/>
      <c r="S19" s="514"/>
      <c r="Z19" s="511">
        <v>9</v>
      </c>
      <c r="AA19" s="512">
        <f>BEGINBLAD!C12</f>
        <v>0</v>
      </c>
      <c r="AB19" s="513"/>
      <c r="AC19" s="513"/>
      <c r="AD19" s="513"/>
      <c r="AE19" s="514"/>
    </row>
    <row r="20" spans="2:36" ht="15" customHeight="1" x14ac:dyDescent="0.25">
      <c r="B20" s="511">
        <v>10</v>
      </c>
      <c r="C20" s="512">
        <f>BEGINBLAD!C13</f>
        <v>0</v>
      </c>
      <c r="D20" s="513"/>
      <c r="E20" s="513"/>
      <c r="F20" s="513"/>
      <c r="G20" s="514"/>
      <c r="N20" s="511">
        <v>10</v>
      </c>
      <c r="O20" s="512">
        <f>BEGINBLAD!C13</f>
        <v>0</v>
      </c>
      <c r="P20" s="513"/>
      <c r="Q20" s="513"/>
      <c r="R20" s="513"/>
      <c r="S20" s="514"/>
      <c r="Z20" s="511">
        <v>10</v>
      </c>
      <c r="AA20" s="512">
        <f>BEGINBLAD!C13</f>
        <v>0</v>
      </c>
      <c r="AB20" s="513"/>
      <c r="AC20" s="513"/>
      <c r="AD20" s="513"/>
      <c r="AE20" s="514"/>
    </row>
    <row r="21" spans="2:36" ht="15" customHeight="1" x14ac:dyDescent="0.25">
      <c r="B21" s="511">
        <v>11</v>
      </c>
      <c r="C21" s="512">
        <f>BEGINBLAD!C14</f>
        <v>0</v>
      </c>
      <c r="D21" s="513"/>
      <c r="E21" s="513"/>
      <c r="F21" s="513"/>
      <c r="G21" s="514"/>
      <c r="N21" s="511">
        <v>11</v>
      </c>
      <c r="O21" s="512">
        <f>BEGINBLAD!C14</f>
        <v>0</v>
      </c>
      <c r="P21" s="513"/>
      <c r="Q21" s="513"/>
      <c r="R21" s="513"/>
      <c r="S21" s="514"/>
      <c r="Z21" s="511">
        <v>11</v>
      </c>
      <c r="AA21" s="512">
        <f>BEGINBLAD!C14</f>
        <v>0</v>
      </c>
      <c r="AB21" s="513"/>
      <c r="AC21" s="513"/>
      <c r="AD21" s="513"/>
      <c r="AE21" s="514"/>
    </row>
    <row r="22" spans="2:36" ht="15" customHeight="1" x14ac:dyDescent="0.25">
      <c r="B22" s="511">
        <v>12</v>
      </c>
      <c r="C22" s="512">
        <f>BEGINBLAD!C15</f>
        <v>0</v>
      </c>
      <c r="D22" s="513"/>
      <c r="E22" s="513"/>
      <c r="F22" s="513"/>
      <c r="G22" s="514"/>
      <c r="N22" s="511">
        <v>12</v>
      </c>
      <c r="O22" s="512">
        <f>BEGINBLAD!C15</f>
        <v>0</v>
      </c>
      <c r="P22" s="513"/>
      <c r="Q22" s="513"/>
      <c r="R22" s="513"/>
      <c r="S22" s="514"/>
      <c r="Z22" s="511">
        <v>12</v>
      </c>
      <c r="AA22" s="512">
        <f>BEGINBLAD!C15</f>
        <v>0</v>
      </c>
      <c r="AB22" s="513"/>
      <c r="AC22" s="513"/>
      <c r="AD22" s="513"/>
      <c r="AE22" s="514"/>
    </row>
    <row r="23" spans="2:36" ht="15" customHeight="1" x14ac:dyDescent="0.25">
      <c r="B23" s="511">
        <v>13</v>
      </c>
      <c r="C23" s="512">
        <f>BEGINBLAD!C16</f>
        <v>0</v>
      </c>
      <c r="D23" s="513"/>
      <c r="E23" s="513"/>
      <c r="F23" s="513"/>
      <c r="G23" s="514"/>
      <c r="N23" s="511">
        <v>13</v>
      </c>
      <c r="O23" s="512">
        <f>BEGINBLAD!C16</f>
        <v>0</v>
      </c>
      <c r="P23" s="513"/>
      <c r="Q23" s="513"/>
      <c r="R23" s="513"/>
      <c r="S23" s="514"/>
      <c r="Z23" s="511">
        <v>13</v>
      </c>
      <c r="AA23" s="512">
        <f>BEGINBLAD!C16</f>
        <v>0</v>
      </c>
      <c r="AB23" s="513"/>
      <c r="AC23" s="513"/>
      <c r="AD23" s="513"/>
      <c r="AE23" s="514"/>
    </row>
    <row r="24" spans="2:36" ht="15" customHeight="1" x14ac:dyDescent="0.25">
      <c r="B24" s="511">
        <v>14</v>
      </c>
      <c r="C24" s="512">
        <f>BEGINBLAD!C17</f>
        <v>0</v>
      </c>
      <c r="D24" s="513"/>
      <c r="E24" s="513"/>
      <c r="F24" s="513"/>
      <c r="G24" s="514"/>
      <c r="H24" s="1076" t="str">
        <f>$F$3</f>
        <v>spellen</v>
      </c>
      <c r="I24" s="1076"/>
      <c r="J24" s="1076"/>
      <c r="K24" s="1076"/>
      <c r="L24" s="1076"/>
      <c r="N24" s="511">
        <v>14</v>
      </c>
      <c r="O24" s="512">
        <f>BEGINBLAD!C17</f>
        <v>0</v>
      </c>
      <c r="P24" s="513"/>
      <c r="Q24" s="513"/>
      <c r="R24" s="513"/>
      <c r="S24" s="514"/>
      <c r="T24" s="1076" t="str">
        <f>$F$3</f>
        <v>spellen</v>
      </c>
      <c r="U24" s="1076"/>
      <c r="V24" s="1076"/>
      <c r="W24" s="1076"/>
      <c r="X24" s="1076"/>
      <c r="Z24" s="511">
        <v>14</v>
      </c>
      <c r="AA24" s="512">
        <f>BEGINBLAD!C17</f>
        <v>0</v>
      </c>
      <c r="AB24" s="513"/>
      <c r="AC24" s="513"/>
      <c r="AD24" s="513"/>
      <c r="AE24" s="514"/>
      <c r="AF24" s="1076" t="str">
        <f>$F$3</f>
        <v>spellen</v>
      </c>
      <c r="AG24" s="1076"/>
      <c r="AH24" s="1076"/>
      <c r="AI24" s="1076"/>
      <c r="AJ24" s="1076"/>
    </row>
    <row r="25" spans="2:36" ht="15" customHeight="1" x14ac:dyDescent="0.25">
      <c r="B25" s="511">
        <v>15</v>
      </c>
      <c r="C25" s="512">
        <f>BEGINBLAD!C18</f>
        <v>0</v>
      </c>
      <c r="D25" s="513"/>
      <c r="E25" s="513"/>
      <c r="F25" s="513"/>
      <c r="G25" s="514"/>
      <c r="N25" s="511">
        <v>15</v>
      </c>
      <c r="O25" s="512">
        <f>BEGINBLAD!C18</f>
        <v>0</v>
      </c>
      <c r="P25" s="513"/>
      <c r="Q25" s="513"/>
      <c r="R25" s="513"/>
      <c r="S25" s="514"/>
      <c r="Z25" s="511">
        <v>15</v>
      </c>
      <c r="AA25" s="512">
        <f>BEGINBLAD!C18</f>
        <v>0</v>
      </c>
      <c r="AB25" s="513"/>
      <c r="AC25" s="513"/>
      <c r="AD25" s="513"/>
      <c r="AE25" s="514"/>
    </row>
    <row r="26" spans="2:36" ht="15" customHeight="1" x14ac:dyDescent="0.25">
      <c r="B26" s="511">
        <v>16</v>
      </c>
      <c r="C26" s="512">
        <f>BEGINBLAD!C19</f>
        <v>0</v>
      </c>
      <c r="D26" s="513"/>
      <c r="E26" s="513"/>
      <c r="F26" s="513"/>
      <c r="G26" s="514"/>
      <c r="N26" s="511">
        <v>16</v>
      </c>
      <c r="O26" s="512">
        <f>BEGINBLAD!C19</f>
        <v>0</v>
      </c>
      <c r="P26" s="513"/>
      <c r="Q26" s="513"/>
      <c r="R26" s="513"/>
      <c r="S26" s="514"/>
      <c r="Z26" s="511">
        <v>16</v>
      </c>
      <c r="AA26" s="512">
        <f>BEGINBLAD!C19</f>
        <v>0</v>
      </c>
      <c r="AB26" s="513"/>
      <c r="AC26" s="513"/>
      <c r="AD26" s="513"/>
      <c r="AE26" s="514"/>
    </row>
    <row r="27" spans="2:36" ht="15" customHeight="1" x14ac:dyDescent="0.25">
      <c r="B27" s="511">
        <v>17</v>
      </c>
      <c r="C27" s="512">
        <f>BEGINBLAD!C20</f>
        <v>0</v>
      </c>
      <c r="D27" s="513"/>
      <c r="E27" s="513"/>
      <c r="F27" s="513"/>
      <c r="G27" s="514"/>
      <c r="N27" s="511">
        <v>17</v>
      </c>
      <c r="O27" s="512">
        <f>BEGINBLAD!C20</f>
        <v>0</v>
      </c>
      <c r="P27" s="513"/>
      <c r="Q27" s="513"/>
      <c r="R27" s="513"/>
      <c r="S27" s="514"/>
      <c r="Z27" s="511">
        <v>17</v>
      </c>
      <c r="AA27" s="512">
        <f>BEGINBLAD!C20</f>
        <v>0</v>
      </c>
      <c r="AB27" s="513"/>
      <c r="AC27" s="513"/>
      <c r="AD27" s="513"/>
      <c r="AE27" s="514"/>
    </row>
    <row r="28" spans="2:36" ht="15" customHeight="1" x14ac:dyDescent="0.25">
      <c r="B28" s="511">
        <v>18</v>
      </c>
      <c r="C28" s="512">
        <f>BEGINBLAD!C21</f>
        <v>0</v>
      </c>
      <c r="D28" s="513"/>
      <c r="E28" s="513"/>
      <c r="F28" s="513"/>
      <c r="G28" s="514"/>
      <c r="N28" s="511">
        <v>18</v>
      </c>
      <c r="O28" s="512">
        <f>BEGINBLAD!C21</f>
        <v>0</v>
      </c>
      <c r="P28" s="513"/>
      <c r="Q28" s="513"/>
      <c r="R28" s="513"/>
      <c r="S28" s="514"/>
      <c r="Z28" s="511">
        <v>18</v>
      </c>
      <c r="AA28" s="512">
        <f>BEGINBLAD!C21</f>
        <v>0</v>
      </c>
      <c r="AB28" s="513"/>
      <c r="AC28" s="513"/>
      <c r="AD28" s="513"/>
      <c r="AE28" s="514"/>
    </row>
    <row r="29" spans="2:36" ht="15" customHeight="1" x14ac:dyDescent="0.25">
      <c r="B29" s="511">
        <v>19</v>
      </c>
      <c r="C29" s="512">
        <f>BEGINBLAD!C22</f>
        <v>0</v>
      </c>
      <c r="D29" s="513"/>
      <c r="E29" s="513"/>
      <c r="F29" s="513"/>
      <c r="G29" s="514"/>
      <c r="N29" s="511">
        <v>19</v>
      </c>
      <c r="O29" s="512">
        <f>BEGINBLAD!C22</f>
        <v>0</v>
      </c>
      <c r="P29" s="513"/>
      <c r="Q29" s="513"/>
      <c r="R29" s="513"/>
      <c r="S29" s="514"/>
      <c r="Z29" s="511">
        <v>19</v>
      </c>
      <c r="AA29" s="512">
        <f>BEGINBLAD!C22</f>
        <v>0</v>
      </c>
      <c r="AB29" s="513"/>
      <c r="AC29" s="513"/>
      <c r="AD29" s="513"/>
      <c r="AE29" s="514"/>
    </row>
    <row r="30" spans="2:36" ht="15" customHeight="1" x14ac:dyDescent="0.25">
      <c r="B30" s="511">
        <v>20</v>
      </c>
      <c r="C30" s="512">
        <f>BEGINBLAD!C23</f>
        <v>0</v>
      </c>
      <c r="D30" s="513"/>
      <c r="E30" s="513"/>
      <c r="F30" s="513"/>
      <c r="G30" s="514"/>
      <c r="N30" s="511">
        <v>20</v>
      </c>
      <c r="O30" s="512">
        <f>BEGINBLAD!C23</f>
        <v>0</v>
      </c>
      <c r="P30" s="513"/>
      <c r="Q30" s="513"/>
      <c r="R30" s="513"/>
      <c r="S30" s="514"/>
      <c r="Z30" s="511">
        <v>20</v>
      </c>
      <c r="AA30" s="512">
        <f>BEGINBLAD!C23</f>
        <v>0</v>
      </c>
      <c r="AB30" s="513"/>
      <c r="AC30" s="513"/>
      <c r="AD30" s="513"/>
      <c r="AE30" s="514"/>
    </row>
    <row r="31" spans="2:36" ht="15" customHeight="1" x14ac:dyDescent="0.25">
      <c r="B31" s="511">
        <v>21</v>
      </c>
      <c r="C31" s="512">
        <f>BEGINBLAD!C24</f>
        <v>0</v>
      </c>
      <c r="D31" s="513"/>
      <c r="E31" s="513"/>
      <c r="F31" s="513"/>
      <c r="G31" s="514"/>
      <c r="N31" s="511">
        <v>21</v>
      </c>
      <c r="O31" s="512">
        <f>BEGINBLAD!C24</f>
        <v>0</v>
      </c>
      <c r="P31" s="513"/>
      <c r="Q31" s="513"/>
      <c r="R31" s="513"/>
      <c r="S31" s="514"/>
      <c r="Z31" s="511">
        <v>21</v>
      </c>
      <c r="AA31" s="512">
        <f>BEGINBLAD!C24</f>
        <v>0</v>
      </c>
      <c r="AB31" s="513"/>
      <c r="AC31" s="513"/>
      <c r="AD31" s="513"/>
      <c r="AE31" s="514"/>
    </row>
    <row r="32" spans="2:36" ht="15" customHeight="1" x14ac:dyDescent="0.25">
      <c r="B32" s="511">
        <v>22</v>
      </c>
      <c r="C32" s="512">
        <f>BEGINBLAD!C25</f>
        <v>0</v>
      </c>
      <c r="D32" s="513"/>
      <c r="E32" s="513"/>
      <c r="F32" s="513"/>
      <c r="G32" s="514"/>
      <c r="N32" s="511">
        <v>22</v>
      </c>
      <c r="O32" s="512">
        <f>BEGINBLAD!C25</f>
        <v>0</v>
      </c>
      <c r="P32" s="513"/>
      <c r="Q32" s="513"/>
      <c r="R32" s="513"/>
      <c r="S32" s="514"/>
      <c r="Z32" s="511">
        <v>22</v>
      </c>
      <c r="AA32" s="512">
        <f>BEGINBLAD!C25</f>
        <v>0</v>
      </c>
      <c r="AB32" s="513"/>
      <c r="AC32" s="513"/>
      <c r="AD32" s="513"/>
      <c r="AE32" s="514"/>
    </row>
    <row r="33" spans="2:36" ht="15" customHeight="1" x14ac:dyDescent="0.25">
      <c r="B33" s="511">
        <v>23</v>
      </c>
      <c r="C33" s="512">
        <f>BEGINBLAD!C26</f>
        <v>0</v>
      </c>
      <c r="D33" s="513"/>
      <c r="E33" s="513"/>
      <c r="F33" s="513"/>
      <c r="G33" s="514"/>
      <c r="N33" s="511">
        <v>23</v>
      </c>
      <c r="O33" s="512">
        <f>BEGINBLAD!C26</f>
        <v>0</v>
      </c>
      <c r="P33" s="513"/>
      <c r="Q33" s="513"/>
      <c r="R33" s="513"/>
      <c r="S33" s="514"/>
      <c r="Z33" s="511">
        <v>23</v>
      </c>
      <c r="AA33" s="512">
        <f>BEGINBLAD!C26</f>
        <v>0</v>
      </c>
      <c r="AB33" s="513"/>
      <c r="AC33" s="513"/>
      <c r="AD33" s="513"/>
      <c r="AE33" s="514"/>
    </row>
    <row r="34" spans="2:36" ht="15" customHeight="1" x14ac:dyDescent="0.25">
      <c r="B34" s="511">
        <v>24</v>
      </c>
      <c r="C34" s="512">
        <f>BEGINBLAD!C27</f>
        <v>0</v>
      </c>
      <c r="D34" s="513"/>
      <c r="E34" s="513"/>
      <c r="F34" s="513"/>
      <c r="G34" s="514"/>
      <c r="N34" s="511">
        <v>24</v>
      </c>
      <c r="O34" s="512">
        <f>BEGINBLAD!C27</f>
        <v>0</v>
      </c>
      <c r="P34" s="513"/>
      <c r="Q34" s="513"/>
      <c r="R34" s="513"/>
      <c r="S34" s="514"/>
      <c r="Z34" s="511">
        <v>24</v>
      </c>
      <c r="AA34" s="512">
        <f>BEGINBLAD!C27</f>
        <v>0</v>
      </c>
      <c r="AB34" s="513"/>
      <c r="AC34" s="513"/>
      <c r="AD34" s="513"/>
      <c r="AE34" s="514"/>
    </row>
    <row r="35" spans="2:36" ht="15" customHeight="1" x14ac:dyDescent="0.25">
      <c r="B35" s="511">
        <v>25</v>
      </c>
      <c r="C35" s="512">
        <f>BEGINBLAD!C28</f>
        <v>0</v>
      </c>
      <c r="D35" s="513"/>
      <c r="E35" s="513"/>
      <c r="F35" s="513"/>
      <c r="G35" s="514"/>
      <c r="H35" s="1076" t="str">
        <f>$G$3</f>
        <v>rekenen</v>
      </c>
      <c r="I35" s="1076"/>
      <c r="J35" s="1076"/>
      <c r="K35" s="1076"/>
      <c r="L35" s="1076"/>
      <c r="N35" s="511">
        <v>25</v>
      </c>
      <c r="O35" s="512">
        <f>BEGINBLAD!C28</f>
        <v>0</v>
      </c>
      <c r="P35" s="513"/>
      <c r="Q35" s="513"/>
      <c r="R35" s="513"/>
      <c r="S35" s="514"/>
      <c r="T35" s="1076" t="str">
        <f>$G$3</f>
        <v>rekenen</v>
      </c>
      <c r="U35" s="1076"/>
      <c r="V35" s="1076"/>
      <c r="W35" s="1076"/>
      <c r="X35" s="1076"/>
      <c r="Z35" s="511">
        <v>25</v>
      </c>
      <c r="AA35" s="512">
        <f>BEGINBLAD!C28</f>
        <v>0</v>
      </c>
      <c r="AB35" s="513"/>
      <c r="AC35" s="513"/>
      <c r="AD35" s="513"/>
      <c r="AE35" s="514"/>
      <c r="AF35" s="1076" t="str">
        <f>$G$3</f>
        <v>rekenen</v>
      </c>
      <c r="AG35" s="1076"/>
      <c r="AH35" s="1076"/>
      <c r="AI35" s="1076"/>
      <c r="AJ35" s="1076"/>
    </row>
    <row r="36" spans="2:36" ht="15" customHeight="1" x14ac:dyDescent="0.25">
      <c r="B36" s="511">
        <v>26</v>
      </c>
      <c r="C36" s="512">
        <f>BEGINBLAD!C29</f>
        <v>0</v>
      </c>
      <c r="D36" s="513"/>
      <c r="E36" s="513"/>
      <c r="F36" s="513"/>
      <c r="G36" s="514"/>
      <c r="N36" s="511">
        <v>26</v>
      </c>
      <c r="O36" s="512">
        <f>BEGINBLAD!C29</f>
        <v>0</v>
      </c>
      <c r="P36" s="513"/>
      <c r="Q36" s="513"/>
      <c r="R36" s="513"/>
      <c r="S36" s="514"/>
      <c r="Z36" s="511">
        <v>26</v>
      </c>
      <c r="AA36" s="512">
        <f>BEGINBLAD!C29</f>
        <v>0</v>
      </c>
      <c r="AB36" s="513"/>
      <c r="AC36" s="513"/>
      <c r="AD36" s="513"/>
      <c r="AE36" s="514"/>
    </row>
    <row r="37" spans="2:36" ht="15" customHeight="1" x14ac:dyDescent="0.25">
      <c r="B37" s="511">
        <v>27</v>
      </c>
      <c r="C37" s="512">
        <f>BEGINBLAD!C30</f>
        <v>0</v>
      </c>
      <c r="D37" s="513"/>
      <c r="E37" s="513"/>
      <c r="F37" s="513"/>
      <c r="G37" s="514"/>
      <c r="N37" s="511">
        <v>27</v>
      </c>
      <c r="O37" s="512">
        <f>BEGINBLAD!C30</f>
        <v>0</v>
      </c>
      <c r="P37" s="513"/>
      <c r="Q37" s="513"/>
      <c r="R37" s="513"/>
      <c r="S37" s="514"/>
      <c r="Z37" s="511">
        <v>27</v>
      </c>
      <c r="AA37" s="512">
        <f>BEGINBLAD!C30</f>
        <v>0</v>
      </c>
      <c r="AB37" s="513"/>
      <c r="AC37" s="513"/>
      <c r="AD37" s="513"/>
      <c r="AE37" s="514"/>
    </row>
    <row r="38" spans="2:36" ht="15" customHeight="1" x14ac:dyDescent="0.25">
      <c r="B38" s="511">
        <v>28</v>
      </c>
      <c r="C38" s="512">
        <f>BEGINBLAD!C31</f>
        <v>0</v>
      </c>
      <c r="D38" s="513"/>
      <c r="E38" s="513"/>
      <c r="F38" s="513"/>
      <c r="G38" s="514"/>
      <c r="N38" s="511">
        <v>28</v>
      </c>
      <c r="O38" s="512">
        <f>BEGINBLAD!C31</f>
        <v>0</v>
      </c>
      <c r="P38" s="513"/>
      <c r="Q38" s="513"/>
      <c r="R38" s="513"/>
      <c r="S38" s="514"/>
      <c r="Z38" s="511">
        <v>28</v>
      </c>
      <c r="AA38" s="512">
        <f>BEGINBLAD!C31</f>
        <v>0</v>
      </c>
      <c r="AB38" s="513"/>
      <c r="AC38" s="513"/>
      <c r="AD38" s="513"/>
      <c r="AE38" s="514"/>
    </row>
    <row r="39" spans="2:36" ht="15" customHeight="1" x14ac:dyDescent="0.25">
      <c r="B39" s="511">
        <v>29</v>
      </c>
      <c r="C39" s="512">
        <f>BEGINBLAD!C32</f>
        <v>0</v>
      </c>
      <c r="D39" s="513"/>
      <c r="E39" s="513"/>
      <c r="F39" s="513"/>
      <c r="G39" s="514"/>
      <c r="N39" s="511">
        <v>29</v>
      </c>
      <c r="O39" s="512">
        <f>BEGINBLAD!C32</f>
        <v>0</v>
      </c>
      <c r="P39" s="513"/>
      <c r="Q39" s="513"/>
      <c r="R39" s="513"/>
      <c r="S39" s="514"/>
      <c r="Z39" s="511">
        <v>29</v>
      </c>
      <c r="AA39" s="512">
        <f>BEGINBLAD!C32</f>
        <v>0</v>
      </c>
      <c r="AB39" s="513"/>
      <c r="AC39" s="513"/>
      <c r="AD39" s="513"/>
      <c r="AE39" s="514"/>
    </row>
    <row r="40" spans="2:36" ht="15" customHeight="1" x14ac:dyDescent="0.25">
      <c r="B40" s="511">
        <v>30</v>
      </c>
      <c r="C40" s="512">
        <f>BEGINBLAD!C33</f>
        <v>0</v>
      </c>
      <c r="D40" s="513"/>
      <c r="E40" s="513"/>
      <c r="F40" s="513"/>
      <c r="G40" s="514"/>
      <c r="N40" s="511">
        <v>30</v>
      </c>
      <c r="O40" s="512">
        <f>BEGINBLAD!C33</f>
        <v>0</v>
      </c>
      <c r="P40" s="513"/>
      <c r="Q40" s="513"/>
      <c r="R40" s="513"/>
      <c r="S40" s="514"/>
      <c r="Z40" s="511">
        <v>30</v>
      </c>
      <c r="AA40" s="512">
        <f>BEGINBLAD!C33</f>
        <v>0</v>
      </c>
      <c r="AB40" s="513"/>
      <c r="AC40" s="513"/>
      <c r="AD40" s="513"/>
      <c r="AE40" s="514"/>
    </row>
    <row r="41" spans="2:36" ht="15" customHeight="1" x14ac:dyDescent="0.25">
      <c r="B41" s="511">
        <v>31</v>
      </c>
      <c r="C41" s="512">
        <f>BEGINBLAD!C34</f>
        <v>0</v>
      </c>
      <c r="D41" s="513"/>
      <c r="E41" s="513"/>
      <c r="F41" s="513"/>
      <c r="G41" s="514"/>
      <c r="N41" s="511">
        <v>31</v>
      </c>
      <c r="O41" s="512">
        <f>BEGINBLAD!C34</f>
        <v>0</v>
      </c>
      <c r="P41" s="513"/>
      <c r="Q41" s="513"/>
      <c r="R41" s="513"/>
      <c r="S41" s="514"/>
      <c r="Z41" s="511">
        <v>31</v>
      </c>
      <c r="AA41" s="512">
        <f>BEGINBLAD!C34</f>
        <v>0</v>
      </c>
      <c r="AB41" s="513"/>
      <c r="AC41" s="513"/>
      <c r="AD41" s="513"/>
      <c r="AE41" s="514"/>
    </row>
    <row r="42" spans="2:36" ht="15" customHeight="1" x14ac:dyDescent="0.25">
      <c r="B42" s="511">
        <v>32</v>
      </c>
      <c r="C42" s="512">
        <f>BEGINBLAD!C35</f>
        <v>0</v>
      </c>
      <c r="D42" s="513"/>
      <c r="E42" s="513"/>
      <c r="F42" s="513"/>
      <c r="G42" s="514"/>
      <c r="N42" s="511">
        <v>32</v>
      </c>
      <c r="O42" s="512">
        <f>BEGINBLAD!C35</f>
        <v>0</v>
      </c>
      <c r="P42" s="513"/>
      <c r="Q42" s="513"/>
      <c r="R42" s="513"/>
      <c r="S42" s="514"/>
      <c r="Z42" s="511">
        <v>32</v>
      </c>
      <c r="AA42" s="512">
        <f>BEGINBLAD!C35</f>
        <v>0</v>
      </c>
      <c r="AB42" s="513"/>
      <c r="AC42" s="513"/>
      <c r="AD42" s="513"/>
      <c r="AE42" s="514"/>
    </row>
    <row r="43" spans="2:36" ht="15" customHeight="1" x14ac:dyDescent="0.25">
      <c r="B43" s="511">
        <v>33</v>
      </c>
      <c r="C43" s="512">
        <f>BEGINBLAD!C36</f>
        <v>0</v>
      </c>
      <c r="D43" s="513"/>
      <c r="E43" s="513"/>
      <c r="F43" s="513"/>
      <c r="G43" s="514"/>
      <c r="N43" s="511">
        <v>33</v>
      </c>
      <c r="O43" s="512">
        <f>BEGINBLAD!C36</f>
        <v>0</v>
      </c>
      <c r="P43" s="513"/>
      <c r="Q43" s="513"/>
      <c r="R43" s="513"/>
      <c r="S43" s="514"/>
      <c r="Z43" s="511">
        <v>33</v>
      </c>
      <c r="AA43" s="512">
        <f>BEGINBLAD!C36</f>
        <v>0</v>
      </c>
      <c r="AB43" s="513"/>
      <c r="AC43" s="513"/>
      <c r="AD43" s="513"/>
      <c r="AE43" s="514"/>
    </row>
    <row r="44" spans="2:36" ht="15" customHeight="1" x14ac:dyDescent="0.25">
      <c r="B44" s="511">
        <v>34</v>
      </c>
      <c r="C44" s="512">
        <f>BEGINBLAD!C37</f>
        <v>0</v>
      </c>
      <c r="D44" s="513"/>
      <c r="E44" s="513"/>
      <c r="F44" s="513"/>
      <c r="G44" s="514"/>
      <c r="N44" s="511">
        <v>34</v>
      </c>
      <c r="O44" s="512">
        <f>BEGINBLAD!C37</f>
        <v>0</v>
      </c>
      <c r="P44" s="513"/>
      <c r="Q44" s="513"/>
      <c r="R44" s="513"/>
      <c r="S44" s="514"/>
      <c r="Z44" s="511">
        <v>34</v>
      </c>
      <c r="AA44" s="512">
        <f>BEGINBLAD!C37</f>
        <v>0</v>
      </c>
      <c r="AB44" s="513"/>
      <c r="AC44" s="513"/>
      <c r="AD44" s="513"/>
      <c r="AE44" s="514"/>
    </row>
    <row r="45" spans="2:36" ht="15" customHeight="1" x14ac:dyDescent="0.25">
      <c r="B45" s="511">
        <v>35</v>
      </c>
      <c r="C45" s="512">
        <f>BEGINBLAD!C38</f>
        <v>0</v>
      </c>
      <c r="D45" s="513"/>
      <c r="E45" s="513"/>
      <c r="F45" s="513"/>
      <c r="G45" s="514"/>
      <c r="N45" s="511">
        <v>35</v>
      </c>
      <c r="O45" s="512">
        <f>BEGINBLAD!C38</f>
        <v>0</v>
      </c>
      <c r="P45" s="513"/>
      <c r="Q45" s="513"/>
      <c r="R45" s="513"/>
      <c r="S45" s="514"/>
      <c r="Z45" s="511">
        <v>35</v>
      </c>
      <c r="AA45" s="512">
        <f>BEGINBLAD!C38</f>
        <v>0</v>
      </c>
      <c r="AB45" s="513"/>
      <c r="AC45" s="513"/>
      <c r="AD45" s="513"/>
      <c r="AE45" s="514"/>
    </row>
    <row r="46" spans="2:36" ht="15" customHeight="1" thickBot="1" x14ac:dyDescent="0.3">
      <c r="B46" s="515">
        <v>36</v>
      </c>
      <c r="C46" s="516">
        <f>BEGINBLAD!C39</f>
        <v>0</v>
      </c>
      <c r="D46" s="517"/>
      <c r="E46" s="517"/>
      <c r="F46" s="517"/>
      <c r="G46" s="518"/>
      <c r="N46" s="515">
        <v>36</v>
      </c>
      <c r="O46" s="516">
        <f>BEGINBLAD!C39</f>
        <v>0</v>
      </c>
      <c r="P46" s="517"/>
      <c r="Q46" s="517"/>
      <c r="R46" s="517"/>
      <c r="S46" s="518"/>
      <c r="Z46" s="515">
        <v>36</v>
      </c>
      <c r="AA46" s="702">
        <f>BEGINBLAD!C39</f>
        <v>0</v>
      </c>
      <c r="AB46" s="517"/>
      <c r="AC46" s="517"/>
      <c r="AD46" s="517"/>
      <c r="AE46" s="518"/>
    </row>
    <row r="47" spans="2:36" ht="15" customHeight="1" thickTop="1" thickBot="1" x14ac:dyDescent="0.3">
      <c r="C47" s="141">
        <f>SUM(D47:G47)</f>
        <v>32</v>
      </c>
      <c r="D47" s="149">
        <f>COUNTA(D11:D46)</f>
        <v>8</v>
      </c>
      <c r="E47" s="149">
        <f t="shared" ref="E47:G47" si="0">COUNTA(E11:E46)</f>
        <v>8</v>
      </c>
      <c r="F47" s="149">
        <f t="shared" si="0"/>
        <v>8</v>
      </c>
      <c r="G47" s="149">
        <f t="shared" si="0"/>
        <v>8</v>
      </c>
      <c r="H47" s="53" t="s">
        <v>192</v>
      </c>
      <c r="I47" s="1076" t="s">
        <v>193</v>
      </c>
      <c r="J47" s="1076"/>
      <c r="K47" s="53" t="s">
        <v>194</v>
      </c>
      <c r="O47" s="141">
        <f>SUM(P47:S47)</f>
        <v>32</v>
      </c>
      <c r="P47" s="149">
        <f>COUNTA(P11:P46)</f>
        <v>8</v>
      </c>
      <c r="Q47" s="149">
        <f t="shared" ref="Q47:S47" si="1">COUNTA(Q11:Q46)</f>
        <v>8</v>
      </c>
      <c r="R47" s="149">
        <f t="shared" si="1"/>
        <v>8</v>
      </c>
      <c r="S47" s="149">
        <f t="shared" si="1"/>
        <v>8</v>
      </c>
      <c r="T47" s="53" t="s">
        <v>192</v>
      </c>
      <c r="U47" s="1076" t="s">
        <v>193</v>
      </c>
      <c r="V47" s="1076"/>
      <c r="W47" s="53" t="s">
        <v>194</v>
      </c>
      <c r="AA47" s="141">
        <f>SUM(AB47:AE47)</f>
        <v>0</v>
      </c>
      <c r="AB47" s="149">
        <f>COUNTA(AB11:AB46)</f>
        <v>0</v>
      </c>
      <c r="AC47" s="149">
        <f t="shared" ref="AC47:AE47" si="2">COUNTA(AC11:AC46)</f>
        <v>0</v>
      </c>
      <c r="AD47" s="149">
        <f t="shared" si="2"/>
        <v>0</v>
      </c>
      <c r="AE47" s="149">
        <f t="shared" si="2"/>
        <v>0</v>
      </c>
      <c r="AF47" s="53" t="s">
        <v>192</v>
      </c>
      <c r="AG47" s="1076" t="s">
        <v>193</v>
      </c>
      <c r="AH47" s="1076"/>
      <c r="AI47" s="53" t="s">
        <v>194</v>
      </c>
    </row>
    <row r="48" spans="2:36" ht="15" customHeight="1" thickTop="1" x14ac:dyDescent="0.25">
      <c r="B48" s="519" t="s">
        <v>190</v>
      </c>
      <c r="C48" s="520" t="s">
        <v>185</v>
      </c>
      <c r="D48" s="521">
        <f>COUNTIF($D$11:$D$46,4)</f>
        <v>5</v>
      </c>
      <c r="E48" s="522">
        <f>COUNTIF($E$11:$E$46,4)</f>
        <v>2</v>
      </c>
      <c r="F48" s="522">
        <f>COUNTIF($F$11:$F$46,4)</f>
        <v>4</v>
      </c>
      <c r="G48" s="522">
        <f>COUNTIF($G$11:$G$46,4)</f>
        <v>4</v>
      </c>
      <c r="H48" s="523">
        <f>IF(SUM(D48:G48)=0,"",IF(SUM(D48:G48)&gt;0,SUM(D48:G48)/$C$47))</f>
        <v>0.46875</v>
      </c>
      <c r="I48" s="1081" t="s">
        <v>195</v>
      </c>
      <c r="J48" s="1081"/>
      <c r="K48" s="1082" t="s">
        <v>196</v>
      </c>
      <c r="N48" s="519" t="s">
        <v>190</v>
      </c>
      <c r="O48" s="520" t="s">
        <v>185</v>
      </c>
      <c r="P48" s="521">
        <f>COUNTIF($P$11:$P$46,4)</f>
        <v>4</v>
      </c>
      <c r="Q48" s="522">
        <f>COUNTIF($Q$11:$Q$46,4)</f>
        <v>0</v>
      </c>
      <c r="R48" s="522">
        <f>COUNTIF($R$11:$R$46,4)</f>
        <v>3</v>
      </c>
      <c r="S48" s="522">
        <f>COUNTIF($S$11:$S$46,4)</f>
        <v>1</v>
      </c>
      <c r="T48" s="523">
        <f>IF(SUM(P48:S48)=0,"",IF(SUM(P48:S48)&gt;0,SUM(P48:S48)/$C$47))</f>
        <v>0.25</v>
      </c>
      <c r="U48" s="1081" t="s">
        <v>195</v>
      </c>
      <c r="V48" s="1081"/>
      <c r="W48" s="1082" t="s">
        <v>196</v>
      </c>
      <c r="Z48" s="519" t="s">
        <v>190</v>
      </c>
      <c r="AA48" s="520" t="s">
        <v>185</v>
      </c>
      <c r="AB48" s="521">
        <f>COUNTIF($AB$11:$AB$46,4)</f>
        <v>0</v>
      </c>
      <c r="AC48" s="522">
        <f>COUNTIF($AC$11:$AC$46,4)</f>
        <v>0</v>
      </c>
      <c r="AD48" s="522">
        <f>COUNTIF($AD$11:$AD$46,4)</f>
        <v>0</v>
      </c>
      <c r="AE48" s="522">
        <f>COUNTIF($AE$11:$AE$46,4)</f>
        <v>0</v>
      </c>
      <c r="AF48" s="523" t="str">
        <f>IF(SUM(AB48:AE48)=0,"",IF(SUM(AB48:AE48)&gt;0,SUM(AB48:AE48)/$C$47))</f>
        <v/>
      </c>
      <c r="AG48" s="1081" t="s">
        <v>195</v>
      </c>
      <c r="AH48" s="1081"/>
      <c r="AI48" s="1082" t="s">
        <v>196</v>
      </c>
    </row>
    <row r="49" spans="2:35" ht="15" customHeight="1" x14ac:dyDescent="0.25">
      <c r="B49" s="524" t="s">
        <v>188</v>
      </c>
      <c r="C49" s="525" t="s">
        <v>187</v>
      </c>
      <c r="D49" s="526">
        <f>COUNTIF($D$11:$D$46,3)</f>
        <v>2</v>
      </c>
      <c r="E49" s="53">
        <f>COUNTIF($E$11:$E$46,3)</f>
        <v>5</v>
      </c>
      <c r="F49" s="53">
        <f>COUNTIF($F$11:$F$46,3)</f>
        <v>4</v>
      </c>
      <c r="G49" s="527">
        <f>COUNTIF($G$11:$G$46,3)</f>
        <v>4</v>
      </c>
      <c r="H49" s="528">
        <f t="shared" ref="H49:H51" si="3">IF(SUM(D49:G49)=0,"",IF(SUM(D49:G49)&gt;0,SUM(D49:G49)/$C$47))</f>
        <v>0.46875</v>
      </c>
      <c r="I49" s="1085" t="s">
        <v>197</v>
      </c>
      <c r="J49" s="1086"/>
      <c r="K49" s="1083"/>
      <c r="N49" s="524" t="s">
        <v>188</v>
      </c>
      <c r="O49" s="525" t="s">
        <v>187</v>
      </c>
      <c r="P49" s="526">
        <f>COUNTIF($P$11:$P$46,3)</f>
        <v>3</v>
      </c>
      <c r="Q49" s="53">
        <f>COUNTIF($Q$11:$Q$46,3)</f>
        <v>7</v>
      </c>
      <c r="R49" s="53">
        <f>COUNTIF($R$11:$R$46,3)</f>
        <v>4</v>
      </c>
      <c r="S49" s="527">
        <f>COUNTIF($S$11:$S$46,3)</f>
        <v>6</v>
      </c>
      <c r="T49" s="528">
        <f t="shared" ref="T49:T51" si="4">IF(SUM(P49:S49)=0,"",IF(SUM(P49:S49)&gt;0,SUM(P49:S49)/$C$47))</f>
        <v>0.625</v>
      </c>
      <c r="U49" s="1085" t="s">
        <v>197</v>
      </c>
      <c r="V49" s="1086"/>
      <c r="W49" s="1083"/>
      <c r="Z49" s="524" t="s">
        <v>188</v>
      </c>
      <c r="AA49" s="525" t="s">
        <v>187</v>
      </c>
      <c r="AB49" s="526">
        <f>COUNTIF($AB$11:$AB$46,3)</f>
        <v>0</v>
      </c>
      <c r="AC49" s="53">
        <f>COUNTIF($AC$11:$AC$46,3)</f>
        <v>0</v>
      </c>
      <c r="AD49" s="53">
        <f>COUNTIF($AD$11:$AD$46,3)</f>
        <v>0</v>
      </c>
      <c r="AE49" s="527">
        <f>COUNTIF($AE$11:$AE$46,3)</f>
        <v>0</v>
      </c>
      <c r="AF49" s="528" t="str">
        <f t="shared" ref="AF49:AF51" si="5">IF(SUM(AB49:AE49)=0,"",IF(SUM(AB49:AE49)&gt;0,SUM(AB49:AE49)/$C$47))</f>
        <v/>
      </c>
      <c r="AG49" s="1085" t="s">
        <v>197</v>
      </c>
      <c r="AH49" s="1086"/>
      <c r="AI49" s="1083"/>
    </row>
    <row r="50" spans="2:35" ht="15" customHeight="1" x14ac:dyDescent="0.25">
      <c r="B50" s="524" t="s">
        <v>186</v>
      </c>
      <c r="C50" s="529" t="s">
        <v>189</v>
      </c>
      <c r="D50" s="526">
        <f>COUNTIF($D$11:$D$46,2)</f>
        <v>0</v>
      </c>
      <c r="E50" s="53">
        <f>COUNTIF($E$11:$E$46,2)</f>
        <v>0</v>
      </c>
      <c r="F50" s="53">
        <f>COUNTIF($F$11:$F$46,2)</f>
        <v>0</v>
      </c>
      <c r="G50" s="53">
        <f>COUNTIF($G$11:$G$46,2)</f>
        <v>0</v>
      </c>
      <c r="H50" s="530" t="str">
        <f t="shared" si="3"/>
        <v/>
      </c>
      <c r="I50" s="1086" t="s">
        <v>198</v>
      </c>
      <c r="J50" s="1086"/>
      <c r="K50" s="1083"/>
      <c r="N50" s="524" t="s">
        <v>186</v>
      </c>
      <c r="O50" s="529" t="s">
        <v>189</v>
      </c>
      <c r="P50" s="526">
        <f>COUNTIF($P$11:$P$46,2)</f>
        <v>0</v>
      </c>
      <c r="Q50" s="53">
        <f>COUNTIF($Q$11:$Q$46,2)</f>
        <v>0</v>
      </c>
      <c r="R50" s="53">
        <f>COUNTIF($R$11:$R$46,2)</f>
        <v>0</v>
      </c>
      <c r="S50" s="53">
        <f>COUNTIF($S$11:$S$46,2)</f>
        <v>0</v>
      </c>
      <c r="T50" s="530" t="str">
        <f t="shared" si="4"/>
        <v/>
      </c>
      <c r="U50" s="1086" t="s">
        <v>198</v>
      </c>
      <c r="V50" s="1086"/>
      <c r="W50" s="1083"/>
      <c r="Z50" s="524" t="s">
        <v>186</v>
      </c>
      <c r="AA50" s="529" t="s">
        <v>189</v>
      </c>
      <c r="AB50" s="526">
        <f>COUNTIF($AB$11:$AB$46,2)</f>
        <v>0</v>
      </c>
      <c r="AC50" s="53">
        <f>COUNTIF($AC$11:$AC$46,2)</f>
        <v>0</v>
      </c>
      <c r="AD50" s="53">
        <f>COUNTIF($AD$11:$AD$46,2)</f>
        <v>0</v>
      </c>
      <c r="AE50" s="53">
        <f>COUNTIF($AE$11:$AE$46,2)</f>
        <v>0</v>
      </c>
      <c r="AF50" s="530" t="str">
        <f t="shared" si="5"/>
        <v/>
      </c>
      <c r="AG50" s="1086" t="s">
        <v>198</v>
      </c>
      <c r="AH50" s="1086"/>
      <c r="AI50" s="1083"/>
    </row>
    <row r="51" spans="2:35" ht="15" customHeight="1" thickBot="1" x14ac:dyDescent="0.3">
      <c r="B51" s="531" t="s">
        <v>184</v>
      </c>
      <c r="C51" s="532" t="s">
        <v>191</v>
      </c>
      <c r="D51" s="533">
        <f>COUNTIF($D$11:$D$46,1)</f>
        <v>1</v>
      </c>
      <c r="E51" s="534">
        <f>COUNTIF($E$11:$E$46,1)</f>
        <v>1</v>
      </c>
      <c r="F51" s="534">
        <f>COUNTIF($F$11:$F$46,1)</f>
        <v>0</v>
      </c>
      <c r="G51" s="535">
        <f>COUNTIF($G$11:$G$46,1)</f>
        <v>0</v>
      </c>
      <c r="H51" s="536">
        <f t="shared" si="3"/>
        <v>6.25E-2</v>
      </c>
      <c r="I51" s="1087" t="s">
        <v>199</v>
      </c>
      <c r="J51" s="1088"/>
      <c r="K51" s="1084"/>
      <c r="N51" s="531" t="s">
        <v>184</v>
      </c>
      <c r="O51" s="532" t="s">
        <v>191</v>
      </c>
      <c r="P51" s="533">
        <f>COUNTIF($P$11:$P$46,1)</f>
        <v>1</v>
      </c>
      <c r="Q51" s="534">
        <f>COUNTIF($Q$11:$Q$46,1)</f>
        <v>1</v>
      </c>
      <c r="R51" s="534">
        <f>COUNTIF($R$11:$R$46,1)</f>
        <v>1</v>
      </c>
      <c r="S51" s="535">
        <f>COUNTIF($S$11:$S$46,1)</f>
        <v>1</v>
      </c>
      <c r="T51" s="536">
        <f t="shared" si="4"/>
        <v>0.125</v>
      </c>
      <c r="U51" s="1087" t="s">
        <v>199</v>
      </c>
      <c r="V51" s="1088"/>
      <c r="W51" s="1084"/>
      <c r="Z51" s="531" t="s">
        <v>184</v>
      </c>
      <c r="AA51" s="532" t="s">
        <v>191</v>
      </c>
      <c r="AB51" s="533">
        <f>COUNTIF($AB$11:$AB$46,1)</f>
        <v>0</v>
      </c>
      <c r="AC51" s="534">
        <f>COUNTIF($AC$11:$AC$46,1)</f>
        <v>0</v>
      </c>
      <c r="AD51" s="534">
        <f>COUNTIF($AD$11:$AD$46,1)</f>
        <v>0</v>
      </c>
      <c r="AE51" s="535">
        <f>COUNTIF($AE$11:$AE$46,1)</f>
        <v>0</v>
      </c>
      <c r="AF51" s="536" t="str">
        <f t="shared" si="5"/>
        <v/>
      </c>
      <c r="AG51" s="1087" t="s">
        <v>199</v>
      </c>
      <c r="AH51" s="1088"/>
      <c r="AI51" s="1084"/>
    </row>
    <row r="52" spans="2:35" ht="13" thickTop="1" x14ac:dyDescent="0.25"/>
  </sheetData>
  <sheetProtection sheet="1" objects="1" scenarios="1"/>
  <mergeCells count="57">
    <mergeCell ref="C1:G1"/>
    <mergeCell ref="N1:S1"/>
    <mergeCell ref="T2:X2"/>
    <mergeCell ref="S3:S8"/>
    <mergeCell ref="N9:O9"/>
    <mergeCell ref="P9:S9"/>
    <mergeCell ref="P3:P8"/>
    <mergeCell ref="Q3:Q8"/>
    <mergeCell ref="R3:R8"/>
    <mergeCell ref="N2:O2"/>
    <mergeCell ref="P2:S2"/>
    <mergeCell ref="T13:X13"/>
    <mergeCell ref="T24:X24"/>
    <mergeCell ref="T35:X35"/>
    <mergeCell ref="U47:V47"/>
    <mergeCell ref="U48:V48"/>
    <mergeCell ref="W48:W51"/>
    <mergeCell ref="U49:V49"/>
    <mergeCell ref="U50:V50"/>
    <mergeCell ref="U51:V51"/>
    <mergeCell ref="I48:J48"/>
    <mergeCell ref="K48:K51"/>
    <mergeCell ref="I49:J49"/>
    <mergeCell ref="I50:J50"/>
    <mergeCell ref="I51:J51"/>
    <mergeCell ref="I47:J47"/>
    <mergeCell ref="B2:C2"/>
    <mergeCell ref="D2:G2"/>
    <mergeCell ref="H2:L2"/>
    <mergeCell ref="D3:D8"/>
    <mergeCell ref="E3:E8"/>
    <mergeCell ref="F3:F8"/>
    <mergeCell ref="G3:G8"/>
    <mergeCell ref="B9:C9"/>
    <mergeCell ref="D9:G9"/>
    <mergeCell ref="H13:L13"/>
    <mergeCell ref="H24:L24"/>
    <mergeCell ref="H35:L35"/>
    <mergeCell ref="Z1:AE1"/>
    <mergeCell ref="Z2:AA2"/>
    <mergeCell ref="AB2:AE2"/>
    <mergeCell ref="AB3:AB8"/>
    <mergeCell ref="AC3:AC8"/>
    <mergeCell ref="AD3:AD8"/>
    <mergeCell ref="AE3:AE8"/>
    <mergeCell ref="AG47:AH47"/>
    <mergeCell ref="AG48:AH48"/>
    <mergeCell ref="AI48:AI51"/>
    <mergeCell ref="AG49:AH49"/>
    <mergeCell ref="AG50:AH50"/>
    <mergeCell ref="AG51:AH51"/>
    <mergeCell ref="AF2:AJ2"/>
    <mergeCell ref="AF13:AJ13"/>
    <mergeCell ref="AF24:AJ24"/>
    <mergeCell ref="AF35:AJ35"/>
    <mergeCell ref="Z9:AA9"/>
    <mergeCell ref="AB9:AE9"/>
  </mergeCells>
  <conditionalFormatting sqref="C11:C13 C15:C25 C27:C37 C40:C46">
    <cfRule type="expression" priority="33" stopIfTrue="1">
      <formula>$L11=""</formula>
    </cfRule>
    <cfRule type="expression" dxfId="1268" priority="34" stopIfTrue="1">
      <formula>$L11&gt;9</formula>
    </cfRule>
    <cfRule type="expression" dxfId="1267" priority="35" stopIfTrue="1">
      <formula>$L11&lt;0</formula>
    </cfRule>
  </conditionalFormatting>
  <conditionalFormatting sqref="C14 C26 C38:C39">
    <cfRule type="expression" priority="36" stopIfTrue="1">
      <formula>#REF!=""</formula>
    </cfRule>
    <cfRule type="expression" dxfId="1266" priority="37" stopIfTrue="1">
      <formula>#REF!&gt;9</formula>
    </cfRule>
    <cfRule type="expression" dxfId="1265" priority="38" stopIfTrue="1">
      <formula>#REF!&lt;0</formula>
    </cfRule>
  </conditionalFormatting>
  <conditionalFormatting sqref="D11:G46">
    <cfRule type="cellIs" dxfId="1264" priority="29" operator="equal">
      <formula>4</formula>
    </cfRule>
    <cfRule type="cellIs" dxfId="1263" priority="30" operator="equal">
      <formula>3</formula>
    </cfRule>
    <cfRule type="cellIs" dxfId="1262" priority="31" operator="equal">
      <formula>2</formula>
    </cfRule>
    <cfRule type="cellIs" dxfId="1261" priority="32" operator="equal">
      <formula>1</formula>
    </cfRule>
  </conditionalFormatting>
  <conditionalFormatting sqref="O11:O13 O15:O25 O27:O37 O40:O46">
    <cfRule type="expression" priority="23" stopIfTrue="1">
      <formula>$L11=""</formula>
    </cfRule>
    <cfRule type="expression" dxfId="1260" priority="24" stopIfTrue="1">
      <formula>$L11&gt;9</formula>
    </cfRule>
    <cfRule type="expression" dxfId="1259" priority="25" stopIfTrue="1">
      <formula>$L11&lt;0</formula>
    </cfRule>
  </conditionalFormatting>
  <conditionalFormatting sqref="O14 O26 O38:O39">
    <cfRule type="expression" priority="26" stopIfTrue="1">
      <formula>#REF!=""</formula>
    </cfRule>
    <cfRule type="expression" dxfId="1258" priority="27" stopIfTrue="1">
      <formula>#REF!&gt;9</formula>
    </cfRule>
    <cfRule type="expression" dxfId="1257" priority="28" stopIfTrue="1">
      <formula>#REF!&lt;0</formula>
    </cfRule>
  </conditionalFormatting>
  <conditionalFormatting sqref="P11:S46">
    <cfRule type="cellIs" dxfId="1256" priority="5" operator="equal">
      <formula>4</formula>
    </cfRule>
    <cfRule type="cellIs" dxfId="1255" priority="6" operator="equal">
      <formula>3</formula>
    </cfRule>
    <cfRule type="cellIs" dxfId="1254" priority="7" operator="equal">
      <formula>2</formula>
    </cfRule>
    <cfRule type="cellIs" dxfId="1253" priority="8" operator="equal">
      <formula>1</formula>
    </cfRule>
  </conditionalFormatting>
  <conditionalFormatting sqref="AA11:AA46">
    <cfRule type="expression" priority="13" stopIfTrue="1">
      <formula>$L11=""</formula>
    </cfRule>
    <cfRule type="expression" dxfId="1252" priority="14" stopIfTrue="1">
      <formula>$L11&gt;9</formula>
    </cfRule>
    <cfRule type="expression" dxfId="1251" priority="15" stopIfTrue="1">
      <formula>$L11&lt;0</formula>
    </cfRule>
  </conditionalFormatting>
  <conditionalFormatting sqref="AB11:AE46">
    <cfRule type="cellIs" dxfId="1250" priority="1" operator="equal">
      <formula>4</formula>
    </cfRule>
    <cfRule type="cellIs" dxfId="1249" priority="2" operator="equal">
      <formula>3</formula>
    </cfRule>
    <cfRule type="cellIs" dxfId="1248" priority="3" operator="equal">
      <formula>2</formula>
    </cfRule>
    <cfRule type="cellIs" dxfId="1247" priority="4" operator="equal">
      <formula>1</formula>
    </cfRule>
  </conditionalFormatting>
  <dataValidations xWindow="661" yWindow="640" count="1">
    <dataValidation type="list" allowBlank="1" showInputMessage="1" showErrorMessage="1" promptTitle="Voer de cijfers 1-2-3-4 in." prompt="_x000a_1 = makkie _x000a_2 = voldoende gemotiveerd_x000a_3 = stress_x000a_4 = weinig gemotiveerd" sqref="D11:G46 P11:S46 AB11:AE46" xr:uid="{DFFA0A98-84BA-40E0-970D-0A5C49A4165A}">
      <formula1>"1,2,3,4,"</formula1>
    </dataValidation>
  </dataValidations>
  <pageMargins left="0.70866141732283472" right="0.70866141732283472" top="0.74803149606299213" bottom="0.74803149606299213" header="0.31496062992125984" footer="0.31496062992125984"/>
  <pageSetup paperSize="9" scale="99" orientation="portrait" horizontalDpi="4294967293" r:id="rId1"/>
  <headerFooter>
    <oddHeader>&amp;CLijV-meter (meet betrokkenheid)</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B27-6D7F-4AA9-9BF9-2DDC681A3714}">
  <sheetPr>
    <tabColor rgb="FFFF0000"/>
  </sheetPr>
  <dimension ref="A1:D36"/>
  <sheetViews>
    <sheetView showGridLines="0" showRowColHeaders="0" zoomScaleNormal="100" workbookViewId="0">
      <selection activeCell="B2" sqref="B2:C2"/>
    </sheetView>
  </sheetViews>
  <sheetFormatPr defaultColWidth="9.1796875" defaultRowHeight="18.5" x14ac:dyDescent="0.45"/>
  <cols>
    <col min="1" max="1" width="9.1796875" style="27"/>
    <col min="2" max="3" width="5.81640625" style="27" customWidth="1"/>
    <col min="4" max="4" width="124.1796875" style="27" customWidth="1"/>
    <col min="5" max="16384" width="9.1796875" style="27"/>
  </cols>
  <sheetData>
    <row r="1" spans="1:4" ht="19.5" customHeight="1" x14ac:dyDescent="0.45"/>
    <row r="2" spans="1:4" s="28" customFormat="1" ht="19.5" customHeight="1" x14ac:dyDescent="0.25">
      <c r="A2" s="47"/>
      <c r="B2" s="1103" t="str">
        <f>BEGINBLAD!$I$2</f>
        <v>groep 6</v>
      </c>
      <c r="C2" s="1104"/>
      <c r="D2" s="28" t="s">
        <v>200</v>
      </c>
    </row>
    <row r="3" spans="1:4" ht="19.5" customHeight="1" thickBot="1" x14ac:dyDescent="0.5">
      <c r="D3" s="29"/>
    </row>
    <row r="4" spans="1:4" ht="19.5" customHeight="1" x14ac:dyDescent="0.45">
      <c r="C4" s="1100" t="s">
        <v>201</v>
      </c>
      <c r="D4" s="44"/>
    </row>
    <row r="5" spans="1:4" ht="19.5" customHeight="1" x14ac:dyDescent="0.45">
      <c r="C5" s="1101"/>
      <c r="D5" s="45"/>
    </row>
    <row r="6" spans="1:4" ht="19.5" customHeight="1" x14ac:dyDescent="0.45">
      <c r="C6" s="1101"/>
      <c r="D6" s="45"/>
    </row>
    <row r="7" spans="1:4" ht="19.5" customHeight="1" x14ac:dyDescent="0.45">
      <c r="C7" s="1101"/>
      <c r="D7" s="45"/>
    </row>
    <row r="8" spans="1:4" ht="19.5" customHeight="1" x14ac:dyDescent="0.45">
      <c r="C8" s="1101"/>
      <c r="D8" s="45"/>
    </row>
    <row r="9" spans="1:4" ht="19.5" customHeight="1" x14ac:dyDescent="0.45">
      <c r="C9" s="1101"/>
      <c r="D9" s="45"/>
    </row>
    <row r="10" spans="1:4" ht="19.5" customHeight="1" x14ac:dyDescent="0.45">
      <c r="C10" s="1101"/>
      <c r="D10" s="45"/>
    </row>
    <row r="11" spans="1:4" ht="19.5" customHeight="1" x14ac:dyDescent="0.45">
      <c r="C11" s="1101"/>
      <c r="D11" s="45"/>
    </row>
    <row r="12" spans="1:4" ht="19.5" customHeight="1" x14ac:dyDescent="0.45">
      <c r="C12" s="1101"/>
      <c r="D12" s="45"/>
    </row>
    <row r="13" spans="1:4" ht="19.5" customHeight="1" x14ac:dyDescent="0.45">
      <c r="C13" s="1101"/>
      <c r="D13" s="45"/>
    </row>
    <row r="14" spans="1:4" ht="19.5" customHeight="1" thickBot="1" x14ac:dyDescent="0.5">
      <c r="C14" s="1102"/>
      <c r="D14" s="46"/>
    </row>
    <row r="15" spans="1:4" ht="19.5" customHeight="1" thickBot="1" x14ac:dyDescent="0.5">
      <c r="C15" s="43"/>
      <c r="D15" s="42"/>
    </row>
    <row r="16" spans="1:4" ht="19.5" customHeight="1" x14ac:dyDescent="0.45">
      <c r="C16" s="1100" t="s">
        <v>201</v>
      </c>
      <c r="D16" s="44"/>
    </row>
    <row r="17" spans="3:4" ht="19.5" customHeight="1" x14ac:dyDescent="0.45">
      <c r="C17" s="1101"/>
      <c r="D17" s="45"/>
    </row>
    <row r="18" spans="3:4" ht="19.5" customHeight="1" x14ac:dyDescent="0.45">
      <c r="C18" s="1101"/>
      <c r="D18" s="45"/>
    </row>
    <row r="19" spans="3:4" ht="19.5" customHeight="1" x14ac:dyDescent="0.45">
      <c r="C19" s="1101"/>
      <c r="D19" s="45"/>
    </row>
    <row r="20" spans="3:4" ht="19.5" customHeight="1" x14ac:dyDescent="0.45">
      <c r="C20" s="1101"/>
      <c r="D20" s="45"/>
    </row>
    <row r="21" spans="3:4" ht="19.5" customHeight="1" x14ac:dyDescent="0.45">
      <c r="C21" s="1101"/>
      <c r="D21" s="45"/>
    </row>
    <row r="22" spans="3:4" ht="19.5" customHeight="1" x14ac:dyDescent="0.45">
      <c r="C22" s="1101"/>
      <c r="D22" s="45"/>
    </row>
    <row r="23" spans="3:4" ht="19.5" customHeight="1" x14ac:dyDescent="0.45">
      <c r="C23" s="1101"/>
      <c r="D23" s="45"/>
    </row>
    <row r="24" spans="3:4" ht="19.5" customHeight="1" x14ac:dyDescent="0.45">
      <c r="C24" s="1101"/>
      <c r="D24" s="45"/>
    </row>
    <row r="25" spans="3:4" ht="19.5" customHeight="1" x14ac:dyDescent="0.45">
      <c r="C25" s="1101"/>
      <c r="D25" s="45"/>
    </row>
    <row r="26" spans="3:4" ht="19.5" customHeight="1" thickBot="1" x14ac:dyDescent="0.5">
      <c r="C26" s="1102"/>
      <c r="D26" s="46"/>
    </row>
    <row r="27" spans="3:4" ht="19.5" customHeight="1" x14ac:dyDescent="0.45"/>
    <row r="28" spans="3:4" ht="19.5" customHeight="1" x14ac:dyDescent="0.45">
      <c r="C28" s="47"/>
      <c r="D28" s="47"/>
    </row>
    <row r="29" spans="3:4" ht="19.5" customHeight="1" x14ac:dyDescent="0.45">
      <c r="C29" s="42"/>
      <c r="D29" s="42"/>
    </row>
    <row r="30" spans="3:4" ht="19.5" customHeight="1" x14ac:dyDescent="0.45">
      <c r="C30" s="42"/>
      <c r="D30" s="42"/>
    </row>
    <row r="31" spans="3:4" ht="19.5" customHeight="1" x14ac:dyDescent="0.45">
      <c r="C31" s="42"/>
      <c r="D31" s="42"/>
    </row>
    <row r="32" spans="3:4" ht="19.5" customHeight="1" x14ac:dyDescent="0.45">
      <c r="C32" s="42"/>
      <c r="D32" s="42"/>
    </row>
    <row r="33" spans="3:4" ht="19.5" customHeight="1" x14ac:dyDescent="0.45">
      <c r="C33" s="42"/>
      <c r="D33" s="42"/>
    </row>
    <row r="34" spans="3:4" ht="19.5" customHeight="1" x14ac:dyDescent="0.45">
      <c r="C34" s="42"/>
      <c r="D34" s="42"/>
    </row>
    <row r="35" spans="3:4" ht="19.5" customHeight="1" x14ac:dyDescent="0.45">
      <c r="C35" s="42"/>
      <c r="D35" s="42"/>
    </row>
    <row r="36" spans="3:4" ht="19.5" customHeight="1" x14ac:dyDescent="0.45">
      <c r="C36" s="42"/>
      <c r="D36" s="42"/>
    </row>
  </sheetData>
  <sheetProtection sheet="1" objects="1" scenarios="1"/>
  <mergeCells count="3">
    <mergeCell ref="C4:C14"/>
    <mergeCell ref="C16:C26"/>
    <mergeCell ref="B2:C2"/>
  </mergeCells>
  <pageMargins left="0.7" right="0.7" top="0.75" bottom="0.75" header="0.3" footer="0.3"/>
  <pageSetup paperSize="9"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4"/>
  <dimension ref="A1"/>
  <sheetViews>
    <sheetView showGridLines="0" showRowColHeaders="0" zoomScale="125" zoomScaleNormal="125" workbookViewId="0">
      <selection activeCell="V14" sqref="V14"/>
    </sheetView>
  </sheetViews>
  <sheetFormatPr defaultRowHeight="12.5" x14ac:dyDescent="0.25"/>
  <sheetData/>
  <sheetProtection sheet="1" objects="1" scenario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D36"/>
  <sheetViews>
    <sheetView showGridLines="0" showRowColHeaders="0" zoomScaleNormal="100" workbookViewId="0"/>
  </sheetViews>
  <sheetFormatPr defaultColWidth="9.1796875" defaultRowHeight="18.5" x14ac:dyDescent="0.45"/>
  <cols>
    <col min="1" max="1" width="9.1796875" style="27"/>
    <col min="2" max="3" width="5.81640625" style="27" customWidth="1"/>
    <col min="4" max="4" width="124.1796875" style="27" customWidth="1"/>
    <col min="5" max="16384" width="9.1796875" style="27"/>
  </cols>
  <sheetData>
    <row r="1" spans="1:4" ht="19.5" customHeight="1" x14ac:dyDescent="0.45"/>
    <row r="2" spans="1:4" s="28" customFormat="1" ht="19.5" customHeight="1" x14ac:dyDescent="0.25">
      <c r="A2" s="47"/>
      <c r="B2" s="1103" t="str">
        <f>BEGINBLAD!$I$2</f>
        <v>groep 6</v>
      </c>
      <c r="C2" s="1104"/>
      <c r="D2" s="28" t="s">
        <v>202</v>
      </c>
    </row>
    <row r="3" spans="1:4" ht="19.5" customHeight="1" thickBot="1" x14ac:dyDescent="0.5">
      <c r="D3" s="29"/>
    </row>
    <row r="4" spans="1:4" ht="19.5" customHeight="1" x14ac:dyDescent="0.45">
      <c r="C4" s="1100" t="s">
        <v>203</v>
      </c>
      <c r="D4" s="44"/>
    </row>
    <row r="5" spans="1:4" ht="19.5" customHeight="1" x14ac:dyDescent="0.45">
      <c r="C5" s="1101"/>
      <c r="D5" s="45"/>
    </row>
    <row r="6" spans="1:4" ht="19.5" customHeight="1" x14ac:dyDescent="0.45">
      <c r="C6" s="1101"/>
      <c r="D6" s="45"/>
    </row>
    <row r="7" spans="1:4" ht="19.5" customHeight="1" x14ac:dyDescent="0.45">
      <c r="C7" s="1101"/>
      <c r="D7" s="45"/>
    </row>
    <row r="8" spans="1:4" ht="19.5" customHeight="1" x14ac:dyDescent="0.45">
      <c r="C8" s="1101"/>
      <c r="D8" s="45"/>
    </row>
    <row r="9" spans="1:4" ht="19.5" customHeight="1" x14ac:dyDescent="0.45">
      <c r="C9" s="1101"/>
      <c r="D9" s="45"/>
    </row>
    <row r="10" spans="1:4" ht="19.5" customHeight="1" x14ac:dyDescent="0.45">
      <c r="C10" s="1101"/>
      <c r="D10" s="45"/>
    </row>
    <row r="11" spans="1:4" ht="19.5" customHeight="1" x14ac:dyDescent="0.45">
      <c r="C11" s="1101"/>
      <c r="D11" s="45"/>
    </row>
    <row r="12" spans="1:4" ht="19.5" customHeight="1" x14ac:dyDescent="0.45">
      <c r="C12" s="1101"/>
      <c r="D12" s="45"/>
    </row>
    <row r="13" spans="1:4" ht="19.5" customHeight="1" x14ac:dyDescent="0.45">
      <c r="C13" s="1101"/>
      <c r="D13" s="45"/>
    </row>
    <row r="14" spans="1:4" ht="19.5" customHeight="1" thickBot="1" x14ac:dyDescent="0.5">
      <c r="C14" s="1102"/>
      <c r="D14" s="46"/>
    </row>
    <row r="15" spans="1:4" ht="19.5" customHeight="1" thickBot="1" x14ac:dyDescent="0.5">
      <c r="C15" s="43"/>
      <c r="D15" s="42"/>
    </row>
    <row r="16" spans="1:4" ht="19.5" customHeight="1" x14ac:dyDescent="0.45">
      <c r="C16" s="1100" t="s">
        <v>203</v>
      </c>
      <c r="D16" s="44"/>
    </row>
    <row r="17" spans="3:4" ht="19.5" customHeight="1" x14ac:dyDescent="0.45">
      <c r="C17" s="1101"/>
      <c r="D17" s="45"/>
    </row>
    <row r="18" spans="3:4" ht="19.5" customHeight="1" x14ac:dyDescent="0.45">
      <c r="C18" s="1101"/>
      <c r="D18" s="45"/>
    </row>
    <row r="19" spans="3:4" ht="19.5" customHeight="1" x14ac:dyDescent="0.45">
      <c r="C19" s="1101"/>
      <c r="D19" s="45"/>
    </row>
    <row r="20" spans="3:4" ht="19.5" customHeight="1" x14ac:dyDescent="0.45">
      <c r="C20" s="1101"/>
      <c r="D20" s="45"/>
    </row>
    <row r="21" spans="3:4" ht="19.5" customHeight="1" x14ac:dyDescent="0.45">
      <c r="C21" s="1101"/>
      <c r="D21" s="45"/>
    </row>
    <row r="22" spans="3:4" ht="19.5" customHeight="1" x14ac:dyDescent="0.45">
      <c r="C22" s="1101"/>
      <c r="D22" s="45"/>
    </row>
    <row r="23" spans="3:4" ht="19.5" customHeight="1" x14ac:dyDescent="0.45">
      <c r="C23" s="1101"/>
      <c r="D23" s="45"/>
    </row>
    <row r="24" spans="3:4" ht="19.5" customHeight="1" x14ac:dyDescent="0.45">
      <c r="C24" s="1101"/>
      <c r="D24" s="45"/>
    </row>
    <row r="25" spans="3:4" ht="19.5" customHeight="1" x14ac:dyDescent="0.45">
      <c r="C25" s="1101"/>
      <c r="D25" s="45"/>
    </row>
    <row r="26" spans="3:4" ht="19.5" customHeight="1" thickBot="1" x14ac:dyDescent="0.5">
      <c r="C26" s="1102"/>
      <c r="D26" s="46"/>
    </row>
    <row r="27" spans="3:4" ht="19.5" customHeight="1" x14ac:dyDescent="0.45"/>
    <row r="28" spans="3:4" ht="19.5" customHeight="1" x14ac:dyDescent="0.45">
      <c r="C28" s="47"/>
      <c r="D28" s="47"/>
    </row>
    <row r="29" spans="3:4" ht="19.5" customHeight="1" x14ac:dyDescent="0.45">
      <c r="C29" s="42"/>
      <c r="D29" s="42"/>
    </row>
    <row r="30" spans="3:4" ht="19.5" customHeight="1" x14ac:dyDescent="0.45">
      <c r="C30" s="42"/>
      <c r="D30" s="42"/>
    </row>
    <row r="31" spans="3:4" ht="19.5" customHeight="1" x14ac:dyDescent="0.45">
      <c r="C31" s="42"/>
      <c r="D31" s="42"/>
    </row>
    <row r="32" spans="3:4" ht="19.5" customHeight="1" x14ac:dyDescent="0.45">
      <c r="C32" s="42"/>
      <c r="D32" s="42"/>
    </row>
    <row r="33" spans="3:4" ht="19.5" customHeight="1" x14ac:dyDescent="0.45">
      <c r="C33" s="42"/>
      <c r="D33" s="42"/>
    </row>
    <row r="34" spans="3:4" ht="19.5" customHeight="1" x14ac:dyDescent="0.45">
      <c r="C34" s="42"/>
      <c r="D34" s="42"/>
    </row>
    <row r="35" spans="3:4" ht="19.5" customHeight="1" x14ac:dyDescent="0.45">
      <c r="C35" s="42"/>
      <c r="D35" s="42"/>
    </row>
    <row r="36" spans="3:4" ht="19.5" customHeight="1" x14ac:dyDescent="0.45">
      <c r="C36" s="42"/>
      <c r="D36" s="42"/>
    </row>
  </sheetData>
  <sheetProtection sheet="1" objects="1" scenarios="1"/>
  <mergeCells count="3">
    <mergeCell ref="C4:C14"/>
    <mergeCell ref="C16:C26"/>
    <mergeCell ref="B2:C2"/>
  </mergeCells>
  <pageMargins left="0.7" right="0.7" top="0.75" bottom="0.75" header="0.3" footer="0.3"/>
  <pageSetup paperSize="9" scale="98" orientation="landscape" r:id="rId1"/>
  <colBreaks count="1" manualBreakCount="1">
    <brk id="1" min="1" max="2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B2:I23"/>
  <sheetViews>
    <sheetView showGridLines="0" showRowColHeaders="0" zoomScale="80" zoomScaleNormal="80" zoomScaleSheetLayoutView="50" workbookViewId="0"/>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204</v>
      </c>
      <c r="C2" s="1108"/>
      <c r="D2" s="1108"/>
      <c r="E2" s="1108"/>
      <c r="F2" s="1108"/>
      <c r="G2" s="1108"/>
      <c r="H2" s="1108"/>
      <c r="I2" s="1108"/>
    </row>
    <row r="3" spans="2:9" ht="13" thickBot="1" x14ac:dyDescent="0.3"/>
    <row r="4" spans="2:9" ht="16" thickBot="1" x14ac:dyDescent="0.5">
      <c r="B4" s="1109" t="s">
        <v>205</v>
      </c>
      <c r="C4" s="1110"/>
      <c r="D4" s="138"/>
      <c r="E4" s="1109" t="s">
        <v>206</v>
      </c>
      <c r="F4" s="1110"/>
      <c r="G4" s="138"/>
      <c r="H4" s="1109" t="s">
        <v>207</v>
      </c>
      <c r="I4" s="1110"/>
    </row>
    <row r="5" spans="2:9" ht="13" thickBot="1" x14ac:dyDescent="0.3"/>
    <row r="6" spans="2:9" ht="19.5" customHeight="1" x14ac:dyDescent="0.25">
      <c r="B6" s="1111" t="s">
        <v>208</v>
      </c>
      <c r="C6" s="1113" t="s">
        <v>209</v>
      </c>
      <c r="E6" s="1111" t="s">
        <v>208</v>
      </c>
      <c r="F6" s="1113"/>
      <c r="H6" s="1111" t="s">
        <v>208</v>
      </c>
      <c r="I6" s="1113"/>
    </row>
    <row r="7" spans="2:9" ht="19.5" customHeight="1" x14ac:dyDescent="0.25">
      <c r="B7" s="1112"/>
      <c r="C7" s="1114"/>
      <c r="E7" s="1112"/>
      <c r="F7" s="1115"/>
      <c r="H7" s="1112"/>
      <c r="I7" s="1114"/>
    </row>
    <row r="8" spans="2:9" ht="19.5" customHeight="1" x14ac:dyDescent="0.25">
      <c r="B8" s="1112" t="s">
        <v>210</v>
      </c>
      <c r="C8" s="1105" t="s">
        <v>586</v>
      </c>
      <c r="E8" s="1112" t="s">
        <v>210</v>
      </c>
      <c r="F8" s="1105" t="s">
        <v>588</v>
      </c>
      <c r="H8" s="1112" t="s">
        <v>210</v>
      </c>
      <c r="I8" s="1105"/>
    </row>
    <row r="9" spans="2:9" ht="19.5" customHeight="1" x14ac:dyDescent="0.25">
      <c r="B9" s="1112"/>
      <c r="C9" s="1106"/>
      <c r="E9" s="1112"/>
      <c r="F9" s="1117"/>
      <c r="H9" s="1112"/>
      <c r="I9" s="1106"/>
    </row>
    <row r="10" spans="2:9" ht="19.5" customHeight="1" x14ac:dyDescent="0.25">
      <c r="B10" s="1112"/>
      <c r="C10" s="1106"/>
      <c r="E10" s="1112"/>
      <c r="F10" s="1117"/>
      <c r="H10" s="1112"/>
      <c r="I10" s="1106"/>
    </row>
    <row r="11" spans="2:9" ht="19.5" customHeight="1" x14ac:dyDescent="0.25">
      <c r="B11" s="1112"/>
      <c r="C11" s="1106"/>
      <c r="E11" s="1112"/>
      <c r="F11" s="1117"/>
      <c r="H11" s="1112"/>
      <c r="I11" s="1106"/>
    </row>
    <row r="12" spans="2:9" ht="19.5" customHeight="1" thickBot="1" x14ac:dyDescent="0.3">
      <c r="B12" s="1116"/>
      <c r="C12" s="1107"/>
      <c r="E12" s="1116"/>
      <c r="F12" s="1118"/>
      <c r="H12" s="1116"/>
      <c r="I12" s="1107"/>
    </row>
    <row r="14" spans="2:9" ht="13" thickBot="1" x14ac:dyDescent="0.3"/>
    <row r="15" spans="2:9" ht="16" thickBot="1" x14ac:dyDescent="0.5">
      <c r="B15" s="1109" t="s">
        <v>211</v>
      </c>
      <c r="C15" s="1110"/>
      <c r="D15" s="138"/>
      <c r="E15" s="1109" t="s">
        <v>212</v>
      </c>
      <c r="F15" s="1110"/>
      <c r="G15" s="138"/>
      <c r="H15" s="138"/>
      <c r="I15" s="138"/>
    </row>
    <row r="16" spans="2:9" ht="13" thickBot="1" x14ac:dyDescent="0.3"/>
    <row r="17" spans="2:9" ht="19.5" customHeight="1" x14ac:dyDescent="0.25">
      <c r="B17" s="1111" t="s">
        <v>208</v>
      </c>
      <c r="C17" s="1113" t="s">
        <v>587</v>
      </c>
      <c r="E17" s="1111" t="s">
        <v>208</v>
      </c>
      <c r="F17" s="1113" t="s">
        <v>213</v>
      </c>
      <c r="H17" s="139"/>
      <c r="I17" s="130"/>
    </row>
    <row r="18" spans="2:9" ht="19.5" customHeight="1" x14ac:dyDescent="0.25">
      <c r="B18" s="1112"/>
      <c r="C18" s="1114"/>
      <c r="E18" s="1112"/>
      <c r="F18" s="1114"/>
      <c r="H18" s="139"/>
      <c r="I18" s="140"/>
    </row>
    <row r="19" spans="2:9" ht="19.5" customHeight="1" x14ac:dyDescent="0.25">
      <c r="B19" s="1112" t="s">
        <v>210</v>
      </c>
      <c r="C19" s="1105" t="s">
        <v>590</v>
      </c>
      <c r="E19" s="1112" t="s">
        <v>210</v>
      </c>
      <c r="F19" s="1105" t="s">
        <v>214</v>
      </c>
      <c r="H19" s="139"/>
      <c r="I19" s="130"/>
    </row>
    <row r="20" spans="2:9" ht="19.5" customHeight="1" x14ac:dyDescent="0.25">
      <c r="B20" s="1112"/>
      <c r="C20" s="1106"/>
      <c r="E20" s="1112"/>
      <c r="F20" s="1106"/>
      <c r="H20" s="139"/>
      <c r="I20" s="130"/>
    </row>
    <row r="21" spans="2:9" ht="19.5" customHeight="1" x14ac:dyDescent="0.25">
      <c r="B21" s="1112"/>
      <c r="C21" s="1106"/>
      <c r="E21" s="1112"/>
      <c r="F21" s="1106"/>
      <c r="H21" s="139"/>
      <c r="I21" s="130"/>
    </row>
    <row r="22" spans="2:9" ht="19.5" customHeight="1" x14ac:dyDescent="0.25">
      <c r="B22" s="1112"/>
      <c r="C22" s="1106"/>
      <c r="E22" s="1112"/>
      <c r="F22" s="1106"/>
      <c r="H22" s="139"/>
      <c r="I22" s="130"/>
    </row>
    <row r="23" spans="2:9" ht="19.5" customHeight="1" thickBot="1" x14ac:dyDescent="0.3">
      <c r="B23" s="1116"/>
      <c r="C23" s="1107"/>
      <c r="E23" s="1116"/>
      <c r="F23" s="1107"/>
      <c r="H23" s="139"/>
      <c r="I23" s="130"/>
    </row>
  </sheetData>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I17:I19 C8 F6:F8 C17:C23 I6:I8 C6 F17:F23" xr:uid="{00000000-0002-0000-1900-000000000000}"/>
  </dataValidations>
  <hyperlinks>
    <hyperlink ref="B4" location="'TECHNISCH LEZEN'!A1" display="TECHNISCH LEZEN - klik hier" xr:uid="{00000000-0004-0000-1900-000000000000}"/>
    <hyperlink ref="E4" location="'TECHNISCH LEZEN'!A1" display="TECHNISCH LEZEN - klik hier" xr:uid="{00000000-0004-0000-1900-000001000000}"/>
    <hyperlink ref="H4" location="'TECHNISCH LEZEN'!A1" display="TECHNISCH LEZEN - klik hier" xr:uid="{00000000-0004-0000-1900-000002000000}"/>
    <hyperlink ref="B15" location="'TECHNISCH LEZEN'!A1" display="TECHNISCH LEZEN - klik hier" xr:uid="{00000000-0004-0000-1900-000003000000}"/>
    <hyperlink ref="E15" location="'TECHNISCH LEZEN'!A1" display="TECHNISCH LEZEN - klik hier" xr:uid="{00000000-0004-0000-1900-000004000000}"/>
    <hyperlink ref="E4:F4" location="'BEGRIJPEND LEZEN - 1e periode'!A1" display="BEGRIJPEND LEZEN - klik hier" xr:uid="{00000000-0004-0000-1900-000005000000}"/>
    <hyperlink ref="H4:I4" location="'HOOFDREKENEN - 1e periode'!A1" display="HOOFDREKENEN - klik hier" xr:uid="{00000000-0004-0000-1900-000006000000}"/>
    <hyperlink ref="B15:C15" location="'SPELLEN - 1e periode'!A1" display="SPELLEN - klik hier" xr:uid="{00000000-0004-0000-1900-000007000000}"/>
    <hyperlink ref="E15:F15" location="'REKENEN - 1e periode'!A1" display="REKENEN &amp; WISKUNDE - klik hier" xr:uid="{00000000-0004-0000-1900-000008000000}"/>
    <hyperlink ref="B4:C4" location="'TECHNISCH LEZEN - 1e periode'!A1" display="TECHNISCH LEZEN - klik hier" xr:uid="{00000000-0004-0000-1900-000009000000}"/>
  </hyperlinks>
  <pageMargins left="0.70866141732283472" right="0.70866141732283472" top="0.74803149606299213" bottom="0.74803149606299213" header="0.31496062992125984" footer="0.31496062992125984"/>
  <pageSetup paperSize="9" scale="63" orientation="landscape" horizontalDpi="4294967293"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B2:I27"/>
  <sheetViews>
    <sheetView showGridLines="0" showRowColHeaders="0" zoomScale="80" zoomScaleNormal="80" zoomScaleSheetLayoutView="50" workbookViewId="0">
      <selection activeCell="H4" sqref="H4:I4"/>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215</v>
      </c>
      <c r="C2" s="1108"/>
      <c r="D2" s="1108"/>
      <c r="E2" s="1108"/>
      <c r="F2" s="1108"/>
      <c r="G2" s="1108"/>
      <c r="H2" s="1108"/>
      <c r="I2" s="1108"/>
    </row>
    <row r="3" spans="2:9" ht="13" thickBot="1" x14ac:dyDescent="0.3"/>
    <row r="4" spans="2:9" ht="16" thickBot="1" x14ac:dyDescent="0.5">
      <c r="B4" s="1109" t="s">
        <v>216</v>
      </c>
      <c r="C4" s="1110"/>
      <c r="D4" s="138"/>
      <c r="E4" s="1109" t="s">
        <v>217</v>
      </c>
      <c r="F4" s="1110"/>
      <c r="G4" s="138"/>
      <c r="H4" s="1109" t="s">
        <v>207</v>
      </c>
      <c r="I4" s="1110"/>
    </row>
    <row r="5" spans="2:9" ht="13" thickBot="1" x14ac:dyDescent="0.3"/>
    <row r="6" spans="2:9" ht="19.5" customHeight="1" x14ac:dyDescent="0.25">
      <c r="B6" s="1111" t="s">
        <v>208</v>
      </c>
      <c r="C6" s="1122"/>
      <c r="E6" s="1111" t="s">
        <v>208</v>
      </c>
      <c r="F6" s="1122"/>
      <c r="H6" s="1111" t="s">
        <v>208</v>
      </c>
      <c r="I6" s="1122"/>
    </row>
    <row r="7" spans="2:9" ht="19.5" customHeight="1" x14ac:dyDescent="0.25">
      <c r="B7" s="1112"/>
      <c r="C7" s="1123"/>
      <c r="E7" s="1112"/>
      <c r="F7" s="1124"/>
      <c r="H7" s="1112"/>
      <c r="I7" s="1123"/>
    </row>
    <row r="8" spans="2:9" ht="19.5" customHeight="1" x14ac:dyDescent="0.25">
      <c r="B8" s="1112" t="s">
        <v>210</v>
      </c>
      <c r="C8" s="1119"/>
      <c r="E8" s="1112" t="s">
        <v>210</v>
      </c>
      <c r="F8" s="1119"/>
      <c r="H8" s="1112" t="s">
        <v>210</v>
      </c>
      <c r="I8" s="1119"/>
    </row>
    <row r="9" spans="2:9" ht="19.5" customHeight="1" x14ac:dyDescent="0.25">
      <c r="B9" s="1112"/>
      <c r="C9" s="1120"/>
      <c r="E9" s="1112"/>
      <c r="F9" s="1125"/>
      <c r="H9" s="1112"/>
      <c r="I9" s="1120"/>
    </row>
    <row r="10" spans="2:9" ht="19.5" customHeight="1" x14ac:dyDescent="0.25">
      <c r="B10" s="1112"/>
      <c r="C10" s="1120"/>
      <c r="E10" s="1112"/>
      <c r="F10" s="1125"/>
      <c r="H10" s="1112"/>
      <c r="I10" s="1120"/>
    </row>
    <row r="11" spans="2:9" ht="19.5" customHeight="1" x14ac:dyDescent="0.25">
      <c r="B11" s="1112"/>
      <c r="C11" s="1120"/>
      <c r="E11" s="1112"/>
      <c r="F11" s="1125"/>
      <c r="H11" s="1112"/>
      <c r="I11" s="1120"/>
    </row>
    <row r="12" spans="2:9" ht="19.5" customHeight="1" thickBot="1" x14ac:dyDescent="0.3">
      <c r="B12" s="1116"/>
      <c r="C12" s="1121"/>
      <c r="E12" s="1116"/>
      <c r="F12" s="1126"/>
      <c r="H12" s="1116"/>
      <c r="I12" s="1121"/>
    </row>
    <row r="14" spans="2:9" ht="13" thickBot="1" x14ac:dyDescent="0.3"/>
    <row r="15" spans="2:9" ht="16" thickBot="1" x14ac:dyDescent="0.5">
      <c r="B15" s="1109" t="s">
        <v>211</v>
      </c>
      <c r="C15" s="1110"/>
      <c r="D15" s="138"/>
      <c r="E15" s="1109" t="s">
        <v>212</v>
      </c>
      <c r="F15" s="1110"/>
      <c r="G15" s="138"/>
      <c r="H15" s="138"/>
      <c r="I15" s="138"/>
    </row>
    <row r="16" spans="2:9" ht="13" thickBot="1" x14ac:dyDescent="0.3"/>
    <row r="17" spans="2:9" ht="19.5" customHeight="1" x14ac:dyDescent="0.25">
      <c r="B17" s="1111" t="s">
        <v>208</v>
      </c>
      <c r="C17" s="1122"/>
      <c r="E17" s="1111" t="s">
        <v>208</v>
      </c>
      <c r="F17" s="1122"/>
      <c r="H17" s="139"/>
      <c r="I17" s="130"/>
    </row>
    <row r="18" spans="2:9" ht="19.5" customHeight="1" x14ac:dyDescent="0.25">
      <c r="B18" s="1112"/>
      <c r="C18" s="1123"/>
      <c r="E18" s="1112"/>
      <c r="F18" s="1123"/>
      <c r="H18" s="139"/>
      <c r="I18" s="140"/>
    </row>
    <row r="19" spans="2:9" ht="19.5" customHeight="1" x14ac:dyDescent="0.25">
      <c r="B19" s="1112" t="s">
        <v>210</v>
      </c>
      <c r="C19" s="1119"/>
      <c r="E19" s="1112" t="s">
        <v>210</v>
      </c>
      <c r="F19" s="1119"/>
      <c r="H19" s="139"/>
      <c r="I19" s="130"/>
    </row>
    <row r="20" spans="2:9" ht="19.5" customHeight="1" x14ac:dyDescent="0.25">
      <c r="B20" s="1112"/>
      <c r="C20" s="1120"/>
      <c r="E20" s="1112"/>
      <c r="F20" s="1120"/>
      <c r="H20" s="139"/>
      <c r="I20" s="130"/>
    </row>
    <row r="21" spans="2:9" ht="19.5" customHeight="1" x14ac:dyDescent="0.25">
      <c r="B21" s="1112"/>
      <c r="C21" s="1120"/>
      <c r="E21" s="1112"/>
      <c r="F21" s="1120"/>
      <c r="H21" s="139"/>
      <c r="I21" s="130"/>
    </row>
    <row r="22" spans="2:9" ht="19.5" customHeight="1" x14ac:dyDescent="0.25">
      <c r="B22" s="1112"/>
      <c r="C22" s="1120"/>
      <c r="E22" s="1112"/>
      <c r="F22" s="1120"/>
      <c r="H22" s="139"/>
      <c r="I22" s="130"/>
    </row>
    <row r="23" spans="2:9" ht="19.5" customHeight="1" thickBot="1" x14ac:dyDescent="0.3">
      <c r="B23" s="1116"/>
      <c r="C23" s="1121"/>
      <c r="E23" s="1116"/>
      <c r="F23" s="1121"/>
      <c r="H23" s="139"/>
      <c r="I23" s="130"/>
    </row>
    <row r="25" spans="2:9" x14ac:dyDescent="0.25">
      <c r="H25" s="270" t="s">
        <v>218</v>
      </c>
      <c r="I25" s="271"/>
    </row>
    <row r="26" spans="2:9" ht="13" x14ac:dyDescent="0.3">
      <c r="H26" s="272" t="s">
        <v>219</v>
      </c>
      <c r="I26" s="273"/>
    </row>
    <row r="27" spans="2:9" ht="13" x14ac:dyDescent="0.3">
      <c r="H27" s="274" t="s">
        <v>220</v>
      </c>
      <c r="I27" s="275"/>
    </row>
  </sheetData>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I17:I19 C8 F6:F8 C17:C23 I6:I8 C6 F17:F23" xr:uid="{00000000-0002-0000-1A00-000000000000}"/>
  </dataValidations>
  <hyperlinks>
    <hyperlink ref="B4" location="'TECHNISCH LEZEN'!A1" display="TECHNISCH LEZEN - klik hier" xr:uid="{00000000-0004-0000-1A00-000000000000}"/>
    <hyperlink ref="E4" location="'TECHNISCH LEZEN'!A1" display="TECHNISCH LEZEN - klik hier" xr:uid="{00000000-0004-0000-1A00-000001000000}"/>
    <hyperlink ref="H4" location="'TECHNISCH LEZEN'!A1" display="TECHNISCH LEZEN - klik hier" xr:uid="{00000000-0004-0000-1A00-000002000000}"/>
    <hyperlink ref="B15" location="'TECHNISCH LEZEN'!A1" display="TECHNISCH LEZEN - klik hier" xr:uid="{00000000-0004-0000-1A00-000003000000}"/>
    <hyperlink ref="E15" location="'TECHNISCH LEZEN'!A1" display="TECHNISCH LEZEN - klik hier" xr:uid="{00000000-0004-0000-1A00-000004000000}"/>
    <hyperlink ref="E4:F4" location="'BEGRIJPEND LEZEN - 2e periode'!A1" display="BEGRIJPEND LEZEN - klik hier" xr:uid="{00000000-0004-0000-1A00-000005000000}"/>
    <hyperlink ref="H4:I4" location="'HOOFDREKENEN - 2e periode'!A1" display="HOOFDREKENEN - klik hier" xr:uid="{00000000-0004-0000-1A00-000006000000}"/>
    <hyperlink ref="B15:C15" location="'SPELLEN - 2e periode'!A1" display="SPELLEN - klik hier" xr:uid="{00000000-0004-0000-1A00-000007000000}"/>
    <hyperlink ref="E15:F15" location="'REKENEN - 2e periode'!A1" display="REKENEN &amp; WISKUNDE - klik hier" xr:uid="{00000000-0004-0000-1A00-000008000000}"/>
    <hyperlink ref="B4:C4" location="'TECHNISCH LEZEN - 2e periode'!A1" display="TECHNISCH LEZEN - klik hier" xr:uid="{00000000-0004-0000-1A00-000009000000}"/>
  </hyperlinks>
  <pageMargins left="0.7" right="0.7" top="0.75" bottom="0.75" header="0.3" footer="0.3"/>
  <pageSetup paperSize="9" scale="94" orientation="landscape" horizontalDpi="4294967293" verticalDpi="300" r:id="rId1"/>
  <colBreaks count="1" manualBreakCount="1">
    <brk id="6" min="2" max="22"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CCFF"/>
  </sheetPr>
  <dimension ref="B2:I23"/>
  <sheetViews>
    <sheetView showGridLines="0" showRowColHeaders="0" zoomScale="80" zoomScaleNormal="80" zoomScaleSheetLayoutView="50" workbookViewId="0">
      <selection activeCell="B4" sqref="B4:C4"/>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221</v>
      </c>
      <c r="C2" s="1108"/>
      <c r="D2" s="1108"/>
      <c r="E2" s="1108"/>
      <c r="F2" s="1108"/>
      <c r="G2" s="1108"/>
      <c r="H2" s="1108"/>
      <c r="I2" s="1108"/>
    </row>
    <row r="3" spans="2:9" ht="13" thickBot="1" x14ac:dyDescent="0.3"/>
    <row r="4" spans="2:9" ht="16" thickBot="1" x14ac:dyDescent="0.5">
      <c r="B4" s="1109" t="s">
        <v>205</v>
      </c>
      <c r="C4" s="1110"/>
      <c r="D4" s="138"/>
      <c r="E4" s="1109" t="s">
        <v>206</v>
      </c>
      <c r="F4" s="1110"/>
      <c r="G4" s="138"/>
      <c r="H4" s="1109" t="s">
        <v>207</v>
      </c>
      <c r="I4" s="1110"/>
    </row>
    <row r="5" spans="2:9" ht="13" thickBot="1" x14ac:dyDescent="0.3"/>
    <row r="6" spans="2:9" ht="19.5" customHeight="1" x14ac:dyDescent="0.25">
      <c r="B6" s="1111" t="s">
        <v>208</v>
      </c>
      <c r="C6" s="1113" t="s">
        <v>209</v>
      </c>
      <c r="E6" s="1111" t="s">
        <v>208</v>
      </c>
      <c r="F6" s="1113" t="s">
        <v>222</v>
      </c>
      <c r="H6" s="1111" t="s">
        <v>208</v>
      </c>
      <c r="I6" s="1113" t="s">
        <v>223</v>
      </c>
    </row>
    <row r="7" spans="2:9" ht="19.5" customHeight="1" x14ac:dyDescent="0.25">
      <c r="B7" s="1112"/>
      <c r="C7" s="1115"/>
      <c r="E7" s="1112"/>
      <c r="F7" s="1114"/>
      <c r="H7" s="1112"/>
      <c r="I7" s="1114"/>
    </row>
    <row r="8" spans="2:9" ht="19.5" customHeight="1" x14ac:dyDescent="0.25">
      <c r="B8" s="1112" t="s">
        <v>210</v>
      </c>
      <c r="C8" s="1105" t="s">
        <v>570</v>
      </c>
      <c r="E8" s="1112" t="s">
        <v>210</v>
      </c>
      <c r="F8" s="1105" t="s">
        <v>571</v>
      </c>
      <c r="H8" s="1112" t="s">
        <v>210</v>
      </c>
      <c r="I8" s="1105" t="s">
        <v>572</v>
      </c>
    </row>
    <row r="9" spans="2:9" ht="19.5" customHeight="1" x14ac:dyDescent="0.25">
      <c r="B9" s="1112"/>
      <c r="C9" s="1117"/>
      <c r="E9" s="1112"/>
      <c r="F9" s="1106"/>
      <c r="H9" s="1112"/>
      <c r="I9" s="1106"/>
    </row>
    <row r="10" spans="2:9" ht="19.5" customHeight="1" x14ac:dyDescent="0.25">
      <c r="B10" s="1112"/>
      <c r="C10" s="1117"/>
      <c r="E10" s="1112"/>
      <c r="F10" s="1106"/>
      <c r="H10" s="1112"/>
      <c r="I10" s="1106"/>
    </row>
    <row r="11" spans="2:9" ht="19.5" customHeight="1" x14ac:dyDescent="0.25">
      <c r="B11" s="1112"/>
      <c r="C11" s="1117"/>
      <c r="E11" s="1112"/>
      <c r="F11" s="1106"/>
      <c r="H11" s="1112"/>
      <c r="I11" s="1106"/>
    </row>
    <row r="12" spans="2:9" ht="19.5" customHeight="1" thickBot="1" x14ac:dyDescent="0.3">
      <c r="B12" s="1116"/>
      <c r="C12" s="1118"/>
      <c r="E12" s="1116"/>
      <c r="F12" s="1107"/>
      <c r="H12" s="1116"/>
      <c r="I12" s="1107"/>
    </row>
    <row r="14" spans="2:9" ht="13" thickBot="1" x14ac:dyDescent="0.3"/>
    <row r="15" spans="2:9" ht="16" thickBot="1" x14ac:dyDescent="0.5">
      <c r="B15" s="1109" t="s">
        <v>211</v>
      </c>
      <c r="C15" s="1110"/>
      <c r="D15" s="138"/>
      <c r="E15" s="1109" t="s">
        <v>212</v>
      </c>
      <c r="F15" s="1110"/>
      <c r="G15" s="138"/>
      <c r="H15" s="138"/>
      <c r="I15" s="138"/>
    </row>
    <row r="16" spans="2:9" ht="13" thickBot="1" x14ac:dyDescent="0.3"/>
    <row r="17" spans="2:9" ht="19.5" customHeight="1" x14ac:dyDescent="0.25">
      <c r="B17" s="1111" t="s">
        <v>208</v>
      </c>
      <c r="C17" s="1113" t="s">
        <v>224</v>
      </c>
      <c r="E17" s="1111" t="s">
        <v>208</v>
      </c>
      <c r="F17" s="1113" t="s">
        <v>213</v>
      </c>
      <c r="H17" s="139"/>
      <c r="I17" s="130"/>
    </row>
    <row r="18" spans="2:9" ht="19.5" customHeight="1" x14ac:dyDescent="0.25">
      <c r="B18" s="1112"/>
      <c r="C18" s="1114"/>
      <c r="E18" s="1112"/>
      <c r="F18" s="1114"/>
      <c r="H18" s="139"/>
      <c r="I18" s="140"/>
    </row>
    <row r="19" spans="2:9" ht="19.5" customHeight="1" x14ac:dyDescent="0.25">
      <c r="B19" s="1112" t="s">
        <v>210</v>
      </c>
      <c r="C19" s="1105" t="s">
        <v>573</v>
      </c>
      <c r="E19" s="1112" t="s">
        <v>210</v>
      </c>
      <c r="F19" s="1105" t="s">
        <v>225</v>
      </c>
      <c r="H19" s="139"/>
      <c r="I19" s="130"/>
    </row>
    <row r="20" spans="2:9" ht="19.5" customHeight="1" x14ac:dyDescent="0.25">
      <c r="B20" s="1112"/>
      <c r="C20" s="1106"/>
      <c r="E20" s="1112"/>
      <c r="F20" s="1106"/>
      <c r="H20" s="139"/>
      <c r="I20" s="130"/>
    </row>
    <row r="21" spans="2:9" ht="19.5" customHeight="1" x14ac:dyDescent="0.25">
      <c r="B21" s="1112"/>
      <c r="C21" s="1106"/>
      <c r="E21" s="1112"/>
      <c r="F21" s="1106"/>
      <c r="H21" s="139"/>
      <c r="I21" s="130"/>
    </row>
    <row r="22" spans="2:9" ht="19.5" customHeight="1" x14ac:dyDescent="0.25">
      <c r="B22" s="1112"/>
      <c r="C22" s="1106"/>
      <c r="E22" s="1112"/>
      <c r="F22" s="1106"/>
      <c r="H22" s="139"/>
      <c r="I22" s="130"/>
    </row>
    <row r="23" spans="2:9" ht="19.5" customHeight="1" thickBot="1" x14ac:dyDescent="0.3">
      <c r="B23" s="1116"/>
      <c r="C23" s="1107"/>
      <c r="E23" s="1116"/>
      <c r="F23" s="1107"/>
      <c r="H23" s="139"/>
      <c r="I23" s="130"/>
    </row>
  </sheetData>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C6:C8 C17:C19 F6:F8 F17:F19 I6:I8 I17:I19" xr:uid="{00000000-0002-0000-1B00-000000000000}"/>
  </dataValidations>
  <hyperlinks>
    <hyperlink ref="B4" location="'TECHNISCH LEZEN'!A1" display="TECHNISCH LEZEN - klik hier" xr:uid="{00000000-0004-0000-1B00-000000000000}"/>
    <hyperlink ref="E4" location="'TECHNISCH LEZEN'!A1" display="TECHNISCH LEZEN - klik hier" xr:uid="{00000000-0004-0000-1B00-000001000000}"/>
    <hyperlink ref="H4" location="'TECHNISCH LEZEN'!A1" display="TECHNISCH LEZEN - klik hier" xr:uid="{00000000-0004-0000-1B00-000002000000}"/>
    <hyperlink ref="B15" location="'TECHNISCH LEZEN'!A1" display="TECHNISCH LEZEN - klik hier" xr:uid="{00000000-0004-0000-1B00-000003000000}"/>
    <hyperlink ref="E15" location="'TECHNISCH LEZEN'!A1" display="TECHNISCH LEZEN - klik hier" xr:uid="{00000000-0004-0000-1B00-000004000000}"/>
    <hyperlink ref="E4:F4" location="'BEGRIJPEND LEZEN - 1e periode'!A1" display="BEGRIJPEND LEZEN - klik hier" xr:uid="{00000000-0004-0000-1B00-000005000000}"/>
    <hyperlink ref="H4:I4" location="'HOOFDREKENEN - 1e periode'!A1" display="HOOFDREKENEN - klik hier" xr:uid="{00000000-0004-0000-1B00-000006000000}"/>
    <hyperlink ref="B15:C15" location="'SPELLEN - 1e periode'!A1" display="SPELLEN - klik hier" xr:uid="{00000000-0004-0000-1B00-000007000000}"/>
    <hyperlink ref="E15:F15" location="'REKENEN - 1e periode'!A1" display="REKENEN &amp; WISKUNDE - klik hier" xr:uid="{00000000-0004-0000-1B00-000008000000}"/>
    <hyperlink ref="B4:C4" location="'TECHNISCH LEZEN - 1e periode'!A1" display="TECHNISCH LEZEN - klik hier" xr:uid="{00000000-0004-0000-1B00-000009000000}"/>
  </hyperlinks>
  <pageMargins left="0.70866141732283472" right="0.70866141732283472" top="0.74803149606299213" bottom="0.74803149606299213" header="0.31496062992125984" footer="0.31496062992125984"/>
  <pageSetup paperSize="9" scale="62" orientation="landscape" horizontalDpi="4294967293" verticalDpi="300" r:id="rId1"/>
  <colBreaks count="1" manualBreakCount="1">
    <brk id="9" min="2" max="22"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CCFF"/>
  </sheetPr>
  <dimension ref="B2:I27"/>
  <sheetViews>
    <sheetView showGridLines="0" showRowColHeaders="0" zoomScale="80" zoomScaleNormal="80" zoomScaleSheetLayoutView="50" workbookViewId="0">
      <selection activeCell="C6" sqref="C6:C7"/>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226</v>
      </c>
      <c r="C2" s="1108"/>
      <c r="D2" s="1108"/>
      <c r="E2" s="1108"/>
      <c r="F2" s="1108"/>
      <c r="G2" s="1108"/>
      <c r="H2" s="1108"/>
      <c r="I2" s="1108"/>
    </row>
    <row r="3" spans="2:9" ht="13" thickBot="1" x14ac:dyDescent="0.3"/>
    <row r="4" spans="2:9" ht="16" thickBot="1" x14ac:dyDescent="0.5">
      <c r="B4" s="1109" t="s">
        <v>227</v>
      </c>
      <c r="C4" s="1110"/>
      <c r="D4" s="138"/>
      <c r="E4" s="1109" t="s">
        <v>228</v>
      </c>
      <c r="F4" s="1110"/>
      <c r="G4" s="138"/>
      <c r="H4" s="1109" t="s">
        <v>207</v>
      </c>
      <c r="I4" s="1110"/>
    </row>
    <row r="6" spans="2:9" ht="19.5" customHeight="1" x14ac:dyDescent="0.25">
      <c r="B6" s="1111" t="s">
        <v>208</v>
      </c>
      <c r="C6" s="1113"/>
      <c r="E6" s="1111" t="s">
        <v>208</v>
      </c>
      <c r="F6" s="1113"/>
      <c r="H6" s="1111" t="s">
        <v>208</v>
      </c>
      <c r="I6" s="1113"/>
    </row>
    <row r="7" spans="2:9" ht="19.5" customHeight="1" x14ac:dyDescent="0.25">
      <c r="B7" s="1112"/>
      <c r="C7" s="1115"/>
      <c r="E7" s="1112"/>
      <c r="F7" s="1114"/>
      <c r="H7" s="1112"/>
      <c r="I7" s="1114"/>
    </row>
    <row r="8" spans="2:9" ht="19.5" customHeight="1" x14ac:dyDescent="0.25">
      <c r="B8" s="1112" t="s">
        <v>210</v>
      </c>
      <c r="C8" s="1105"/>
      <c r="E8" s="1112" t="s">
        <v>210</v>
      </c>
      <c r="F8" s="1105"/>
      <c r="H8" s="1112" t="s">
        <v>210</v>
      </c>
      <c r="I8" s="1105"/>
    </row>
    <row r="9" spans="2:9" ht="19.5" customHeight="1" x14ac:dyDescent="0.25">
      <c r="B9" s="1112"/>
      <c r="C9" s="1117"/>
      <c r="E9" s="1112"/>
      <c r="F9" s="1106"/>
      <c r="H9" s="1112"/>
      <c r="I9" s="1106"/>
    </row>
    <row r="10" spans="2:9" ht="19.5" customHeight="1" x14ac:dyDescent="0.25">
      <c r="B10" s="1112"/>
      <c r="C10" s="1117"/>
      <c r="E10" s="1112"/>
      <c r="F10" s="1106"/>
      <c r="H10" s="1112"/>
      <c r="I10" s="1106"/>
    </row>
    <row r="11" spans="2:9" ht="19.5" customHeight="1" x14ac:dyDescent="0.25">
      <c r="B11" s="1112"/>
      <c r="C11" s="1117"/>
      <c r="E11" s="1112"/>
      <c r="F11" s="1106"/>
      <c r="H11" s="1112"/>
      <c r="I11" s="1106"/>
    </row>
    <row r="12" spans="2:9" ht="19.5" customHeight="1" x14ac:dyDescent="0.25">
      <c r="B12" s="1116"/>
      <c r="C12" s="1118"/>
      <c r="E12" s="1116"/>
      <c r="F12" s="1107"/>
      <c r="H12" s="1116"/>
      <c r="I12" s="1107"/>
    </row>
    <row r="14" spans="2:9" ht="13" thickBot="1" x14ac:dyDescent="0.3"/>
    <row r="15" spans="2:9" ht="16" thickBot="1" x14ac:dyDescent="0.5">
      <c r="B15" s="1109" t="s">
        <v>211</v>
      </c>
      <c r="C15" s="1110"/>
      <c r="D15" s="138"/>
      <c r="E15" s="1109" t="s">
        <v>212</v>
      </c>
      <c r="F15" s="1110"/>
      <c r="G15" s="138"/>
      <c r="H15" s="138"/>
      <c r="I15" s="138"/>
    </row>
    <row r="17" spans="2:9" ht="19.5" customHeight="1" x14ac:dyDescent="0.25">
      <c r="B17" s="1111" t="s">
        <v>208</v>
      </c>
      <c r="C17" s="1113"/>
      <c r="E17" s="1111" t="s">
        <v>208</v>
      </c>
      <c r="F17" s="1113"/>
      <c r="H17" s="139"/>
      <c r="I17" s="130"/>
    </row>
    <row r="18" spans="2:9" ht="19.5" customHeight="1" x14ac:dyDescent="0.25">
      <c r="B18" s="1112"/>
      <c r="C18" s="1114"/>
      <c r="E18" s="1112"/>
      <c r="F18" s="1114"/>
      <c r="H18" s="139"/>
      <c r="I18" s="140"/>
    </row>
    <row r="19" spans="2:9" ht="19.5" customHeight="1" x14ac:dyDescent="0.25">
      <c r="B19" s="1112" t="s">
        <v>210</v>
      </c>
      <c r="C19" s="1105"/>
      <c r="E19" s="1112" t="s">
        <v>210</v>
      </c>
      <c r="F19" s="1105"/>
      <c r="H19" s="139"/>
      <c r="I19" s="130"/>
    </row>
    <row r="20" spans="2:9" ht="19.5" customHeight="1" x14ac:dyDescent="0.25">
      <c r="B20" s="1112"/>
      <c r="C20" s="1106"/>
      <c r="E20" s="1112"/>
      <c r="F20" s="1106"/>
      <c r="H20" s="139"/>
      <c r="I20" s="130"/>
    </row>
    <row r="21" spans="2:9" ht="19.5" customHeight="1" x14ac:dyDescent="0.25">
      <c r="B21" s="1112"/>
      <c r="C21" s="1106"/>
      <c r="E21" s="1112"/>
      <c r="F21" s="1106"/>
      <c r="H21" s="139"/>
      <c r="I21" s="130"/>
    </row>
    <row r="22" spans="2:9" ht="19.5" customHeight="1" x14ac:dyDescent="0.25">
      <c r="B22" s="1112"/>
      <c r="C22" s="1106"/>
      <c r="E22" s="1112"/>
      <c r="F22" s="1106"/>
      <c r="H22" s="139"/>
      <c r="I22" s="130"/>
    </row>
    <row r="23" spans="2:9" ht="19.5" customHeight="1" x14ac:dyDescent="0.25">
      <c r="B23" s="1116"/>
      <c r="C23" s="1107"/>
      <c r="E23" s="1116"/>
      <c r="F23" s="1107"/>
      <c r="H23" s="139"/>
      <c r="I23" s="130"/>
    </row>
    <row r="25" spans="2:9" x14ac:dyDescent="0.25">
      <c r="H25" s="270" t="s">
        <v>218</v>
      </c>
      <c r="I25" s="271"/>
    </row>
    <row r="26" spans="2:9" ht="13" x14ac:dyDescent="0.3">
      <c r="H26" s="272" t="s">
        <v>219</v>
      </c>
      <c r="I26" s="273"/>
    </row>
    <row r="27" spans="2:9" ht="13" x14ac:dyDescent="0.3">
      <c r="H27" s="274" t="s">
        <v>220</v>
      </c>
      <c r="I27" s="275"/>
    </row>
  </sheetData>
  <sheetProtection sheet="1" objects="1" scenarios="1"/>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C6:C8 C17:C19 F6:F8 F17:F19 I6:I8 I17:I19" xr:uid="{00000000-0002-0000-1C00-000000000000}"/>
  </dataValidations>
  <hyperlinks>
    <hyperlink ref="B4" location="'TECHNISCH LEZEN'!A1" display="TECHNISCH LEZEN - klik hier" xr:uid="{00000000-0004-0000-1C00-000000000000}"/>
    <hyperlink ref="E4" location="'TECHNISCH LEZEN'!A1" display="TECHNISCH LEZEN - klik hier" xr:uid="{00000000-0004-0000-1C00-000001000000}"/>
    <hyperlink ref="H4" location="'TECHNISCH LEZEN'!A1" display="TECHNISCH LEZEN - klik hier" xr:uid="{00000000-0004-0000-1C00-000002000000}"/>
    <hyperlink ref="B15" location="'TECHNISCH LEZEN'!A1" display="TECHNISCH LEZEN - klik hier" xr:uid="{00000000-0004-0000-1C00-000003000000}"/>
    <hyperlink ref="E15" location="'TECHNISCH LEZEN'!A1" display="TECHNISCH LEZEN - klik hier" xr:uid="{00000000-0004-0000-1C00-000004000000}"/>
    <hyperlink ref="E4:F4" location="'BEGRIJPEND LEZEN - 2e periode'!A1" display="BEGRIJPEND LEZEN - klik hier" xr:uid="{00000000-0004-0000-1C00-000005000000}"/>
    <hyperlink ref="H4:I4" location="'HOOFDREKENEN - 2e periode'!A1" display="HOOFDREKENEN - klik hier" xr:uid="{00000000-0004-0000-1C00-000006000000}"/>
    <hyperlink ref="B15:C15" location="'SPELLEN - 2e periode'!A1" display="SPELLEN - klik hier" xr:uid="{00000000-0004-0000-1C00-000007000000}"/>
    <hyperlink ref="E15:F15" location="'REKENEN - 2e periode'!A1" display="REKENEN &amp; WISKUNDE - klik hier" xr:uid="{00000000-0004-0000-1C00-000008000000}"/>
    <hyperlink ref="B4:C4" location="'TECHNISCH LEZEN - 2e periode'!A1" display="TECHNISCH LEZEN - klik hier" xr:uid="{00000000-0004-0000-1C00-000009000000}"/>
  </hyperlinks>
  <pageMargins left="0.7" right="0.7" top="0.75" bottom="0.75" header="0.3" footer="0.3"/>
  <pageSetup paperSize="9" scale="130" orientation="landscape" horizontalDpi="4294967293" verticalDpi="300" r:id="rId1"/>
  <colBreaks count="2" manualBreakCount="2">
    <brk id="3" min="2" max="22" man="1"/>
    <brk id="6" min="2" max="22"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B2:I23"/>
  <sheetViews>
    <sheetView showGridLines="0" showRowColHeaders="0" topLeftCell="A3" zoomScale="80" zoomScaleNormal="80" zoomScaleSheetLayoutView="50" workbookViewId="0">
      <selection activeCell="F19" sqref="F19:F23"/>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229</v>
      </c>
      <c r="C2" s="1108"/>
      <c r="D2" s="1108"/>
      <c r="E2" s="1108"/>
      <c r="F2" s="1108"/>
      <c r="G2" s="1108"/>
      <c r="H2" s="1108"/>
      <c r="I2" s="1108"/>
    </row>
    <row r="3" spans="2:9" ht="13" thickBot="1" x14ac:dyDescent="0.3"/>
    <row r="4" spans="2:9" ht="16" thickBot="1" x14ac:dyDescent="0.5">
      <c r="B4" s="1109" t="s">
        <v>230</v>
      </c>
      <c r="C4" s="1110"/>
      <c r="D4" s="138"/>
      <c r="E4" s="1109" t="s">
        <v>231</v>
      </c>
      <c r="F4" s="1110"/>
      <c r="G4" s="138"/>
      <c r="H4" s="1109" t="s">
        <v>207</v>
      </c>
      <c r="I4" s="1110"/>
    </row>
    <row r="5" spans="2:9" ht="13" thickBot="1" x14ac:dyDescent="0.3"/>
    <row r="6" spans="2:9" ht="19.5" customHeight="1" x14ac:dyDescent="0.25">
      <c r="B6" s="1111" t="s">
        <v>208</v>
      </c>
      <c r="C6" s="1113"/>
      <c r="E6" s="1111" t="s">
        <v>208</v>
      </c>
      <c r="F6" s="1113" t="s">
        <v>232</v>
      </c>
      <c r="H6" s="1111" t="s">
        <v>208</v>
      </c>
      <c r="I6" s="1113"/>
    </row>
    <row r="7" spans="2:9" ht="19.5" customHeight="1" x14ac:dyDescent="0.25">
      <c r="B7" s="1112"/>
      <c r="C7" s="1114"/>
      <c r="E7" s="1112"/>
      <c r="F7" s="1114"/>
      <c r="H7" s="1112"/>
      <c r="I7" s="1114"/>
    </row>
    <row r="8" spans="2:9" ht="19.5" customHeight="1" x14ac:dyDescent="0.25">
      <c r="B8" s="1112" t="s">
        <v>210</v>
      </c>
      <c r="C8" s="1105"/>
      <c r="E8" s="1112" t="s">
        <v>210</v>
      </c>
      <c r="F8" s="1105" t="s">
        <v>233</v>
      </c>
      <c r="H8" s="1112" t="s">
        <v>210</v>
      </c>
      <c r="I8" s="1105"/>
    </row>
    <row r="9" spans="2:9" ht="19.5" customHeight="1" x14ac:dyDescent="0.25">
      <c r="B9" s="1112"/>
      <c r="C9" s="1106"/>
      <c r="E9" s="1112"/>
      <c r="F9" s="1106"/>
      <c r="H9" s="1112"/>
      <c r="I9" s="1106"/>
    </row>
    <row r="10" spans="2:9" ht="19.5" customHeight="1" x14ac:dyDescent="0.25">
      <c r="B10" s="1112"/>
      <c r="C10" s="1106"/>
      <c r="E10" s="1112"/>
      <c r="F10" s="1106"/>
      <c r="H10" s="1112"/>
      <c r="I10" s="1106"/>
    </row>
    <row r="11" spans="2:9" ht="19.5" customHeight="1" x14ac:dyDescent="0.25">
      <c r="B11" s="1112"/>
      <c r="C11" s="1106"/>
      <c r="E11" s="1112"/>
      <c r="F11" s="1106"/>
      <c r="H11" s="1112"/>
      <c r="I11" s="1106"/>
    </row>
    <row r="12" spans="2:9" ht="19.5" customHeight="1" thickBot="1" x14ac:dyDescent="0.3">
      <c r="B12" s="1116"/>
      <c r="C12" s="1107"/>
      <c r="E12" s="1116"/>
      <c r="F12" s="1107"/>
      <c r="H12" s="1116"/>
      <c r="I12" s="1107"/>
    </row>
    <row r="14" spans="2:9" ht="13" thickBot="1" x14ac:dyDescent="0.3"/>
    <row r="15" spans="2:9" ht="16" thickBot="1" x14ac:dyDescent="0.5">
      <c r="B15" s="1109" t="s">
        <v>211</v>
      </c>
      <c r="C15" s="1110"/>
      <c r="D15" s="138"/>
      <c r="E15" s="1109" t="s">
        <v>212</v>
      </c>
      <c r="F15" s="1110"/>
      <c r="G15" s="138"/>
      <c r="H15" s="138"/>
      <c r="I15" s="138"/>
    </row>
    <row r="16" spans="2:9" ht="13" thickBot="1" x14ac:dyDescent="0.3"/>
    <row r="17" spans="2:9" ht="19.5" customHeight="1" x14ac:dyDescent="0.25">
      <c r="B17" s="1111" t="s">
        <v>208</v>
      </c>
      <c r="C17" s="1113"/>
      <c r="E17" s="1111" t="s">
        <v>208</v>
      </c>
      <c r="F17" s="1122" t="s">
        <v>232</v>
      </c>
      <c r="H17" s="139"/>
      <c r="I17" s="130"/>
    </row>
    <row r="18" spans="2:9" ht="19.5" customHeight="1" x14ac:dyDescent="0.25">
      <c r="B18" s="1112"/>
      <c r="C18" s="1114"/>
      <c r="E18" s="1112"/>
      <c r="F18" s="1123"/>
      <c r="H18" s="139"/>
      <c r="I18" s="140"/>
    </row>
    <row r="19" spans="2:9" ht="19.5" customHeight="1" x14ac:dyDescent="0.25">
      <c r="B19" s="1112" t="s">
        <v>210</v>
      </c>
      <c r="C19" s="1105"/>
      <c r="E19" s="1112" t="s">
        <v>210</v>
      </c>
      <c r="F19" s="1119" t="s">
        <v>589</v>
      </c>
      <c r="H19" s="139"/>
      <c r="I19" s="130" t="s">
        <v>234</v>
      </c>
    </row>
    <row r="20" spans="2:9" ht="19.5" customHeight="1" x14ac:dyDescent="0.25">
      <c r="B20" s="1112"/>
      <c r="C20" s="1106"/>
      <c r="E20" s="1112"/>
      <c r="F20" s="1120"/>
      <c r="H20" s="139"/>
      <c r="I20" s="130"/>
    </row>
    <row r="21" spans="2:9" ht="19.5" customHeight="1" x14ac:dyDescent="0.25">
      <c r="B21" s="1112"/>
      <c r="C21" s="1106"/>
      <c r="E21" s="1112"/>
      <c r="F21" s="1120"/>
      <c r="H21" s="139"/>
      <c r="I21" s="130"/>
    </row>
    <row r="22" spans="2:9" ht="19.5" customHeight="1" x14ac:dyDescent="0.25">
      <c r="B22" s="1112"/>
      <c r="C22" s="1106"/>
      <c r="E22" s="1112"/>
      <c r="F22" s="1120"/>
      <c r="H22" s="139"/>
      <c r="I22" s="130"/>
    </row>
    <row r="23" spans="2:9" ht="19.5" customHeight="1" thickBot="1" x14ac:dyDescent="0.3">
      <c r="B23" s="1116"/>
      <c r="C23" s="1107"/>
      <c r="E23" s="1116"/>
      <c r="F23" s="1121"/>
      <c r="H23" s="139"/>
      <c r="I23" s="130"/>
    </row>
  </sheetData>
  <sheetProtection sheet="1" objects="1" scenarios="1"/>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C6:C8 I6:I12 C17:C23 I17:I19 F6:F12 F17:F23" xr:uid="{00000000-0002-0000-1D00-000000000000}"/>
  </dataValidations>
  <hyperlinks>
    <hyperlink ref="B4" location="'TECHNISCH LEZEN'!A1" display="TECHNISCH LEZEN - klik hier" xr:uid="{00000000-0004-0000-1D00-000000000000}"/>
    <hyperlink ref="E4" location="'TECHNISCH LEZEN'!A1" display="TECHNISCH LEZEN - klik hier" xr:uid="{00000000-0004-0000-1D00-000001000000}"/>
    <hyperlink ref="H4" location="'TECHNISCH LEZEN'!A1" display="TECHNISCH LEZEN - klik hier" xr:uid="{00000000-0004-0000-1D00-000002000000}"/>
    <hyperlink ref="B15" location="'TECHNISCH LEZEN'!A1" display="TECHNISCH LEZEN - klik hier" xr:uid="{00000000-0004-0000-1D00-000003000000}"/>
    <hyperlink ref="E15" location="'TECHNISCH LEZEN'!A1" display="TECHNISCH LEZEN - klik hier" xr:uid="{00000000-0004-0000-1D00-000004000000}"/>
    <hyperlink ref="E4:F4" location="'BEGRIJPEND LEZEN - 1e periode'!A1" display="1e periode - BEGRIJPEND LEZEN - klik hier" xr:uid="{00000000-0004-0000-1D00-000005000000}"/>
    <hyperlink ref="H4:I4" location="'HOOFDREKENEN - 1e periode'!A1" display="HOOFDREKENEN - klik hier" xr:uid="{00000000-0004-0000-1D00-000006000000}"/>
    <hyperlink ref="B15:C15" location="'SPELLEN - 1e periode'!A1" display="SPELLEN - klik hier" xr:uid="{00000000-0004-0000-1D00-000007000000}"/>
    <hyperlink ref="E15:F15" location="'REKENEN - 1e periode'!A1" display="REKENEN &amp; WISKUNDE - klik hier" xr:uid="{00000000-0004-0000-1D00-000008000000}"/>
    <hyperlink ref="B4:C4" location="'TECHNISCH LEZEN - 1e periode'!A1" display="TECHNISCH LEZEN - klik hier" xr:uid="{00000000-0004-0000-1D00-000009000000}"/>
  </hyperlinks>
  <pageMargins left="0.7" right="0.7" top="0.75" bottom="0.75" header="0.3" footer="0.3"/>
  <pageSetup paperSize="9" scale="62" orientation="landscape" horizontalDpi="4294967293" verticalDpi="300" r:id="rId1"/>
  <colBreaks count="1" manualBreakCount="1">
    <brk id="9" min="2" max="22"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B2:I27"/>
  <sheetViews>
    <sheetView showGridLines="0" showRowColHeaders="0" zoomScale="80" zoomScaleNormal="80" zoomScaleSheetLayoutView="50" workbookViewId="0"/>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235</v>
      </c>
      <c r="C2" s="1108"/>
      <c r="D2" s="1108"/>
      <c r="E2" s="1108"/>
      <c r="F2" s="1108"/>
      <c r="G2" s="1108"/>
      <c r="H2" s="1108"/>
      <c r="I2" s="1108"/>
    </row>
    <row r="3" spans="2:9" ht="13" thickBot="1" x14ac:dyDescent="0.3"/>
    <row r="4" spans="2:9" ht="16" thickBot="1" x14ac:dyDescent="0.5">
      <c r="B4" s="1109" t="s">
        <v>227</v>
      </c>
      <c r="C4" s="1110"/>
      <c r="D4" s="138"/>
      <c r="E4" s="1109" t="s">
        <v>228</v>
      </c>
      <c r="F4" s="1110"/>
      <c r="G4" s="138"/>
      <c r="H4" s="1109" t="s">
        <v>207</v>
      </c>
      <c r="I4" s="1110"/>
    </row>
    <row r="5" spans="2:9" ht="13" thickBot="1" x14ac:dyDescent="0.3"/>
    <row r="6" spans="2:9" ht="19.5" customHeight="1" x14ac:dyDescent="0.25">
      <c r="B6" s="1111" t="s">
        <v>208</v>
      </c>
      <c r="C6" s="1122"/>
      <c r="E6" s="1111" t="s">
        <v>208</v>
      </c>
      <c r="F6" s="1122"/>
      <c r="H6" s="1111" t="s">
        <v>208</v>
      </c>
      <c r="I6" s="1122"/>
    </row>
    <row r="7" spans="2:9" ht="19.5" customHeight="1" x14ac:dyDescent="0.25">
      <c r="B7" s="1112"/>
      <c r="C7" s="1123"/>
      <c r="E7" s="1112"/>
      <c r="F7" s="1124"/>
      <c r="H7" s="1112"/>
      <c r="I7" s="1123"/>
    </row>
    <row r="8" spans="2:9" ht="19.5" customHeight="1" x14ac:dyDescent="0.25">
      <c r="B8" s="1112" t="s">
        <v>210</v>
      </c>
      <c r="C8" s="1127"/>
      <c r="E8" s="1112" t="s">
        <v>210</v>
      </c>
      <c r="F8" s="1119"/>
      <c r="H8" s="1112" t="s">
        <v>210</v>
      </c>
      <c r="I8" s="1119"/>
    </row>
    <row r="9" spans="2:9" ht="19.5" customHeight="1" x14ac:dyDescent="0.25">
      <c r="B9" s="1112"/>
      <c r="C9" s="1120"/>
      <c r="E9" s="1112"/>
      <c r="F9" s="1125"/>
      <c r="H9" s="1112"/>
      <c r="I9" s="1120"/>
    </row>
    <row r="10" spans="2:9" ht="19.5" customHeight="1" x14ac:dyDescent="0.25">
      <c r="B10" s="1112"/>
      <c r="C10" s="1120"/>
      <c r="E10" s="1112"/>
      <c r="F10" s="1125"/>
      <c r="H10" s="1112"/>
      <c r="I10" s="1120"/>
    </row>
    <row r="11" spans="2:9" ht="19.5" customHeight="1" x14ac:dyDescent="0.25">
      <c r="B11" s="1112"/>
      <c r="C11" s="1120"/>
      <c r="E11" s="1112"/>
      <c r="F11" s="1125"/>
      <c r="H11" s="1112"/>
      <c r="I11" s="1120"/>
    </row>
    <row r="12" spans="2:9" ht="19.5" customHeight="1" thickBot="1" x14ac:dyDescent="0.3">
      <c r="B12" s="1116"/>
      <c r="C12" s="1121"/>
      <c r="E12" s="1116"/>
      <c r="F12" s="1126"/>
      <c r="H12" s="1116"/>
      <c r="I12" s="1121"/>
    </row>
    <row r="14" spans="2:9" ht="13" thickBot="1" x14ac:dyDescent="0.3"/>
    <row r="15" spans="2:9" ht="16" thickBot="1" x14ac:dyDescent="0.5">
      <c r="B15" s="1109" t="s">
        <v>211</v>
      </c>
      <c r="C15" s="1110"/>
      <c r="D15" s="138"/>
      <c r="E15" s="1109" t="s">
        <v>212</v>
      </c>
      <c r="F15" s="1110"/>
      <c r="G15" s="138"/>
      <c r="H15" s="138"/>
      <c r="I15" s="138"/>
    </row>
    <row r="16" spans="2:9" ht="13" thickBot="1" x14ac:dyDescent="0.3"/>
    <row r="17" spans="2:9" ht="19.5" customHeight="1" x14ac:dyDescent="0.25">
      <c r="B17" s="1111" t="s">
        <v>208</v>
      </c>
      <c r="C17" s="1122"/>
      <c r="E17" s="1111" t="s">
        <v>208</v>
      </c>
      <c r="F17" s="1122"/>
      <c r="H17" s="139"/>
      <c r="I17" s="130"/>
    </row>
    <row r="18" spans="2:9" ht="19.5" customHeight="1" x14ac:dyDescent="0.25">
      <c r="B18" s="1112"/>
      <c r="C18" s="1123"/>
      <c r="E18" s="1112"/>
      <c r="F18" s="1123"/>
      <c r="H18" s="139"/>
      <c r="I18" s="140"/>
    </row>
    <row r="19" spans="2:9" ht="19.5" customHeight="1" x14ac:dyDescent="0.25">
      <c r="B19" s="1112" t="s">
        <v>210</v>
      </c>
      <c r="C19" s="1119"/>
      <c r="E19" s="1112" t="s">
        <v>210</v>
      </c>
      <c r="F19" s="1119"/>
      <c r="H19" s="139"/>
      <c r="I19" s="130"/>
    </row>
    <row r="20" spans="2:9" ht="19.5" customHeight="1" x14ac:dyDescent="0.25">
      <c r="B20" s="1112"/>
      <c r="C20" s="1120"/>
      <c r="E20" s="1112"/>
      <c r="F20" s="1120"/>
      <c r="H20" s="139"/>
      <c r="I20" s="130"/>
    </row>
    <row r="21" spans="2:9" ht="19.5" customHeight="1" x14ac:dyDescent="0.25">
      <c r="B21" s="1112"/>
      <c r="C21" s="1120"/>
      <c r="E21" s="1112"/>
      <c r="F21" s="1120"/>
      <c r="H21" s="139"/>
      <c r="I21" s="130"/>
    </row>
    <row r="22" spans="2:9" ht="19.5" customHeight="1" x14ac:dyDescent="0.25">
      <c r="B22" s="1112"/>
      <c r="C22" s="1120"/>
      <c r="E22" s="1112"/>
      <c r="F22" s="1120"/>
      <c r="H22" s="139"/>
      <c r="I22" s="130"/>
    </row>
    <row r="23" spans="2:9" ht="19.5" customHeight="1" thickBot="1" x14ac:dyDescent="0.3">
      <c r="B23" s="1116"/>
      <c r="C23" s="1121"/>
      <c r="E23" s="1116"/>
      <c r="F23" s="1121"/>
      <c r="H23" s="139"/>
      <c r="I23" s="130"/>
    </row>
    <row r="25" spans="2:9" x14ac:dyDescent="0.25">
      <c r="H25" s="270" t="s">
        <v>218</v>
      </c>
      <c r="I25" s="271"/>
    </row>
    <row r="26" spans="2:9" ht="13" x14ac:dyDescent="0.3">
      <c r="H26" s="272" t="s">
        <v>219</v>
      </c>
      <c r="I26" s="273"/>
    </row>
    <row r="27" spans="2:9" ht="13" x14ac:dyDescent="0.3">
      <c r="H27" s="274" t="s">
        <v>220</v>
      </c>
      <c r="I27" s="275"/>
    </row>
  </sheetData>
  <sheetProtection sheet="1" objects="1" scenarios="1"/>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C17:C19 F17:F23 C6:C12 I17:I19 I6:I8 F6:F8" xr:uid="{00000000-0002-0000-1E00-000000000000}"/>
  </dataValidations>
  <hyperlinks>
    <hyperlink ref="B4" location="'TECHNISCH LEZEN'!A1" display="TECHNISCH LEZEN - klik hier" xr:uid="{00000000-0004-0000-1E00-000000000000}"/>
    <hyperlink ref="E4" location="'TECHNISCH LEZEN'!A1" display="TECHNISCH LEZEN - klik hier" xr:uid="{00000000-0004-0000-1E00-000001000000}"/>
    <hyperlink ref="H4" location="'TECHNISCH LEZEN'!A1" display="TECHNISCH LEZEN - klik hier" xr:uid="{00000000-0004-0000-1E00-000002000000}"/>
    <hyperlink ref="B15" location="'TECHNISCH LEZEN'!A1" display="TECHNISCH LEZEN - klik hier" xr:uid="{00000000-0004-0000-1E00-000003000000}"/>
    <hyperlink ref="E15" location="'TECHNISCH LEZEN'!A1" display="TECHNISCH LEZEN - klik hier" xr:uid="{00000000-0004-0000-1E00-000004000000}"/>
    <hyperlink ref="E4:F4" location="'BEGRIJPEND LEZEN - 2e periode'!A1" display="2e periode - BEGRIJPEND LEZEN - klik hier" xr:uid="{00000000-0004-0000-1E00-000005000000}"/>
    <hyperlink ref="H4:I4" location="'HOOFDREKENEN - 2e periode'!A1" display="HOOFDREKENEN - klik hier" xr:uid="{00000000-0004-0000-1E00-000006000000}"/>
    <hyperlink ref="B15:C15" location="'SPELLEN - 2e periode'!A1" display="SPELLEN - klik hier" xr:uid="{00000000-0004-0000-1E00-000007000000}"/>
    <hyperlink ref="E15:F15" location="'REKENEN - 2e periode'!A1" display="REKENEN &amp; WISKUNDE - klik hier" xr:uid="{00000000-0004-0000-1E00-000008000000}"/>
    <hyperlink ref="B4:C4" location="'TECHNISCH LEZEN - 2e periode'!A1" display="2e periode - TECHNISCH LEZEN - klik hier" xr:uid="{00000000-0004-0000-1E00-000009000000}"/>
  </hyperlinks>
  <pageMargins left="0.7" right="0.7" top="0.75" bottom="0.75" header="0.3" footer="0.3"/>
  <pageSetup paperSize="9" scale="130" orientation="landscape" horizontalDpi="4294967293" verticalDpi="300" r:id="rId1"/>
  <colBreaks count="2" manualBreakCount="2">
    <brk id="3" min="2" max="22" man="1"/>
    <brk id="6" min="2" max="22"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26">
    <tabColor rgb="FFCCCCFF"/>
    <pageSetUpPr fitToPage="1"/>
  </sheetPr>
  <dimension ref="B1:V40"/>
  <sheetViews>
    <sheetView showGridLines="0" showRowColHeaders="0" zoomScale="80" zoomScaleNormal="80" zoomScaleSheetLayoutView="100" workbookViewId="0"/>
  </sheetViews>
  <sheetFormatPr defaultRowHeight="12.5" x14ac:dyDescent="0.25"/>
  <cols>
    <col min="1" max="1" width="3.1796875" customWidth="1"/>
    <col min="2" max="2" width="4" style="5" bestFit="1" customWidth="1"/>
    <col min="3" max="3" width="25.81640625" style="4" customWidth="1"/>
    <col min="4" max="4" width="5.81640625" style="9" customWidth="1"/>
    <col min="5" max="5" width="9.81640625" style="9" bestFit="1" customWidth="1"/>
    <col min="6" max="6" width="5.81640625" style="9" customWidth="1"/>
    <col min="7" max="7" width="6.81640625" style="9" customWidth="1"/>
    <col min="8" max="8" width="9.1796875" customWidth="1"/>
    <col min="9" max="22" width="8.54296875" customWidth="1"/>
  </cols>
  <sheetData>
    <row r="1" spans="2:22" ht="21.5" x14ac:dyDescent="0.6">
      <c r="B1" s="537"/>
      <c r="C1" s="41"/>
      <c r="N1" s="1130" t="s">
        <v>236</v>
      </c>
      <c r="O1" s="1130"/>
      <c r="P1" s="1130"/>
      <c r="Q1" s="1130"/>
      <c r="S1" s="1130" t="s">
        <v>180</v>
      </c>
      <c r="T1" s="1130"/>
      <c r="U1" s="1130"/>
      <c r="V1" s="1130"/>
    </row>
    <row r="2" spans="2:22" ht="21" customHeight="1" x14ac:dyDescent="0.25">
      <c r="B2" s="546"/>
      <c r="C2" s="547" t="s">
        <v>63</v>
      </c>
      <c r="D2" s="178" t="s">
        <v>62</v>
      </c>
      <c r="E2" s="178" t="s">
        <v>237</v>
      </c>
      <c r="F2" s="178" t="s">
        <v>238</v>
      </c>
      <c r="G2" s="178" t="s">
        <v>239</v>
      </c>
      <c r="I2" s="1131" t="s">
        <v>585</v>
      </c>
      <c r="J2" s="1128"/>
      <c r="K2" s="1128"/>
      <c r="L2" s="1129"/>
      <c r="N2" s="266" t="s">
        <v>240</v>
      </c>
      <c r="O2" s="267" t="s">
        <v>241</v>
      </c>
      <c r="P2" s="1128">
        <v>2024</v>
      </c>
      <c r="Q2" s="1129"/>
      <c r="R2" s="9"/>
      <c r="S2" s="266" t="s">
        <v>242</v>
      </c>
      <c r="T2" s="267" t="s">
        <v>243</v>
      </c>
      <c r="U2" s="1128">
        <v>2025</v>
      </c>
      <c r="V2" s="1129"/>
    </row>
    <row r="3" spans="2:22" ht="32.25" hidden="1" customHeight="1" x14ac:dyDescent="0.8">
      <c r="B3" s="546"/>
      <c r="C3" s="548"/>
      <c r="D3" s="462"/>
      <c r="E3" s="244">
        <v>41362</v>
      </c>
      <c r="F3" s="30">
        <f t="shared" ref="F3:F39" ca="1" si="0">IF($E3="","",IF($E3&gt;0,DATEDIF($E3,TODAY(),"y")))</f>
        <v>12</v>
      </c>
      <c r="G3" s="30">
        <f t="shared" ref="G3:G39" ca="1" si="1">IF($E3="","",IF($E3&gt;0,DATEDIF($E3,TODAY(),"ym")))</f>
        <v>0</v>
      </c>
      <c r="H3" s="118"/>
      <c r="I3" s="118"/>
      <c r="J3" s="118"/>
      <c r="K3" s="118"/>
      <c r="L3" s="118"/>
      <c r="N3" s="1"/>
    </row>
    <row r="4" spans="2:22" x14ac:dyDescent="0.25">
      <c r="B4" s="318">
        <v>1</v>
      </c>
      <c r="C4" s="715" t="s">
        <v>577</v>
      </c>
      <c r="D4" s="644">
        <v>6</v>
      </c>
      <c r="E4" s="499">
        <v>42186</v>
      </c>
      <c r="F4" s="30">
        <f t="shared" ca="1" si="0"/>
        <v>9</v>
      </c>
      <c r="G4" s="30">
        <f t="shared" ca="1" si="1"/>
        <v>9</v>
      </c>
    </row>
    <row r="5" spans="2:22" x14ac:dyDescent="0.25">
      <c r="B5" s="318">
        <v>2</v>
      </c>
      <c r="C5" s="715" t="s">
        <v>578</v>
      </c>
      <c r="D5" s="644">
        <v>6</v>
      </c>
      <c r="E5" s="499">
        <v>42167</v>
      </c>
      <c r="F5" s="30">
        <f t="shared" ca="1" si="0"/>
        <v>9</v>
      </c>
      <c r="G5" s="30">
        <f t="shared" ca="1" si="1"/>
        <v>9</v>
      </c>
    </row>
    <row r="6" spans="2:22" ht="12.75" customHeight="1" x14ac:dyDescent="0.6">
      <c r="B6" s="318">
        <v>3</v>
      </c>
      <c r="C6" s="715" t="s">
        <v>579</v>
      </c>
      <c r="D6" s="644">
        <v>6</v>
      </c>
      <c r="E6" s="499">
        <v>42139</v>
      </c>
      <c r="F6" s="30">
        <f t="shared" ca="1" si="0"/>
        <v>9</v>
      </c>
      <c r="G6" s="30">
        <f t="shared" ca="1" si="1"/>
        <v>10</v>
      </c>
      <c r="H6" s="176"/>
      <c r="I6" s="33"/>
    </row>
    <row r="7" spans="2:22" ht="12.75" customHeight="1" x14ac:dyDescent="0.25">
      <c r="B7" s="318">
        <v>4</v>
      </c>
      <c r="C7" s="715" t="s">
        <v>580</v>
      </c>
      <c r="D7" s="644">
        <v>6</v>
      </c>
      <c r="E7" s="499">
        <v>42047</v>
      </c>
      <c r="F7" s="30">
        <f t="shared" ca="1" si="0"/>
        <v>10</v>
      </c>
      <c r="G7" s="30">
        <f t="shared" ca="1" si="1"/>
        <v>1</v>
      </c>
      <c r="H7" s="119"/>
      <c r="I7" s="119"/>
      <c r="J7" s="119"/>
      <c r="K7" s="119"/>
      <c r="L7" s="119"/>
    </row>
    <row r="8" spans="2:22" ht="12.75" customHeight="1" x14ac:dyDescent="0.25">
      <c r="B8" s="318">
        <v>5</v>
      </c>
      <c r="C8" s="715" t="s">
        <v>581</v>
      </c>
      <c r="D8" s="644">
        <v>6</v>
      </c>
      <c r="E8" s="499">
        <v>41862</v>
      </c>
      <c r="F8" s="30">
        <f t="shared" ca="1" si="0"/>
        <v>10</v>
      </c>
      <c r="G8" s="30">
        <f t="shared" ca="1" si="1"/>
        <v>8</v>
      </c>
      <c r="H8" s="119"/>
      <c r="I8" s="119"/>
      <c r="J8" s="119"/>
      <c r="K8" s="119"/>
      <c r="L8" s="119"/>
    </row>
    <row r="9" spans="2:22" ht="12.75" customHeight="1" x14ac:dyDescent="0.25">
      <c r="B9" s="318">
        <v>6</v>
      </c>
      <c r="C9" s="715" t="s">
        <v>582</v>
      </c>
      <c r="D9" s="644">
        <v>6</v>
      </c>
      <c r="E9" s="499">
        <v>42263</v>
      </c>
      <c r="F9" s="30">
        <f t="shared" ca="1" si="0"/>
        <v>9</v>
      </c>
      <c r="G9" s="30">
        <f t="shared" ca="1" si="1"/>
        <v>6</v>
      </c>
      <c r="H9" s="119"/>
      <c r="I9" s="119"/>
      <c r="J9" s="119"/>
      <c r="K9" s="119"/>
      <c r="L9" s="119"/>
    </row>
    <row r="10" spans="2:22" ht="12.75" customHeight="1" x14ac:dyDescent="0.25">
      <c r="B10" s="318">
        <v>7</v>
      </c>
      <c r="C10" s="715" t="s">
        <v>583</v>
      </c>
      <c r="D10" s="644">
        <v>6</v>
      </c>
      <c r="E10" s="645">
        <v>42221</v>
      </c>
      <c r="F10" s="30">
        <f t="shared" ca="1" si="0"/>
        <v>9</v>
      </c>
      <c r="G10" s="30">
        <f t="shared" ca="1" si="1"/>
        <v>8</v>
      </c>
      <c r="H10" s="119"/>
      <c r="I10" s="119"/>
      <c r="J10" s="119"/>
      <c r="K10" s="119"/>
      <c r="L10" s="119"/>
    </row>
    <row r="11" spans="2:22" x14ac:dyDescent="0.25">
      <c r="B11" s="318">
        <v>8</v>
      </c>
      <c r="C11" s="714" t="s">
        <v>584</v>
      </c>
      <c r="D11" s="644">
        <v>6</v>
      </c>
      <c r="E11" s="499">
        <v>42303</v>
      </c>
      <c r="F11" s="30">
        <f t="shared" ca="1" si="0"/>
        <v>9</v>
      </c>
      <c r="G11" s="30">
        <f t="shared" ca="1" si="1"/>
        <v>5</v>
      </c>
    </row>
    <row r="12" spans="2:22" x14ac:dyDescent="0.25">
      <c r="B12" s="318">
        <v>9</v>
      </c>
      <c r="C12" s="268"/>
      <c r="D12" s="717"/>
      <c r="E12" s="499"/>
      <c r="F12" s="30" t="str">
        <f t="shared" ca="1" si="0"/>
        <v/>
      </c>
      <c r="G12" s="30" t="str">
        <f t="shared" ca="1" si="1"/>
        <v/>
      </c>
    </row>
    <row r="13" spans="2:22" x14ac:dyDescent="0.25">
      <c r="B13" s="318">
        <v>10</v>
      </c>
      <c r="C13" s="268"/>
      <c r="D13" s="717"/>
      <c r="E13" s="499"/>
      <c r="F13" s="30" t="str">
        <f t="shared" ca="1" si="0"/>
        <v/>
      </c>
      <c r="G13" s="30" t="str">
        <f t="shared" ca="1" si="1"/>
        <v/>
      </c>
    </row>
    <row r="14" spans="2:22" x14ac:dyDescent="0.25">
      <c r="B14" s="318">
        <v>11</v>
      </c>
      <c r="C14" s="268"/>
      <c r="D14" s="717"/>
      <c r="E14" s="499"/>
      <c r="F14" s="30" t="str">
        <f t="shared" ca="1" si="0"/>
        <v/>
      </c>
      <c r="G14" s="30" t="str">
        <f t="shared" ca="1" si="1"/>
        <v/>
      </c>
    </row>
    <row r="15" spans="2:22" x14ac:dyDescent="0.25">
      <c r="B15" s="318">
        <v>12</v>
      </c>
      <c r="C15" s="268"/>
      <c r="D15" s="644"/>
      <c r="E15" s="499"/>
      <c r="F15" s="30" t="str">
        <f t="shared" ca="1" si="0"/>
        <v/>
      </c>
      <c r="G15" s="30" t="str">
        <f t="shared" ca="1" si="1"/>
        <v/>
      </c>
    </row>
    <row r="16" spans="2:22" x14ac:dyDescent="0.25">
      <c r="B16" s="318">
        <v>13</v>
      </c>
      <c r="C16" s="716"/>
      <c r="D16" s="717"/>
      <c r="E16" s="499"/>
      <c r="F16" s="30" t="str">
        <f t="shared" ca="1" si="0"/>
        <v/>
      </c>
      <c r="G16" s="30" t="str">
        <f t="shared" ca="1" si="1"/>
        <v/>
      </c>
    </row>
    <row r="17" spans="2:7" x14ac:dyDescent="0.25">
      <c r="B17" s="318">
        <v>14</v>
      </c>
      <c r="C17" s="716"/>
      <c r="D17" s="717"/>
      <c r="E17" s="499"/>
      <c r="F17" s="30" t="str">
        <f t="shared" ca="1" si="0"/>
        <v/>
      </c>
      <c r="G17" s="30" t="str">
        <f t="shared" ca="1" si="1"/>
        <v/>
      </c>
    </row>
    <row r="18" spans="2:7" x14ac:dyDescent="0.25">
      <c r="B18" s="318">
        <v>15</v>
      </c>
      <c r="C18" s="716"/>
      <c r="D18" s="717"/>
      <c r="E18" s="499"/>
      <c r="F18" s="30" t="str">
        <f t="shared" ca="1" si="0"/>
        <v/>
      </c>
      <c r="G18" s="30" t="str">
        <f t="shared" ca="1" si="1"/>
        <v/>
      </c>
    </row>
    <row r="19" spans="2:7" x14ac:dyDescent="0.25">
      <c r="B19" s="318">
        <v>16</v>
      </c>
      <c r="C19" s="268"/>
      <c r="D19" s="644"/>
      <c r="E19" s="499"/>
      <c r="F19" s="30" t="str">
        <f t="shared" ca="1" si="0"/>
        <v/>
      </c>
      <c r="G19" s="30" t="str">
        <f t="shared" ca="1" si="1"/>
        <v/>
      </c>
    </row>
    <row r="20" spans="2:7" x14ac:dyDescent="0.25">
      <c r="B20" s="318">
        <v>17</v>
      </c>
      <c r="C20" s="268"/>
      <c r="D20" s="644"/>
      <c r="E20" s="499"/>
      <c r="F20" s="30" t="str">
        <f t="shared" ca="1" si="0"/>
        <v/>
      </c>
      <c r="G20" s="30" t="str">
        <f t="shared" ca="1" si="1"/>
        <v/>
      </c>
    </row>
    <row r="21" spans="2:7" x14ac:dyDescent="0.25">
      <c r="B21" s="318">
        <v>18</v>
      </c>
      <c r="C21" s="268"/>
      <c r="D21" s="644"/>
      <c r="E21" s="499"/>
      <c r="F21" s="30" t="str">
        <f t="shared" ca="1" si="0"/>
        <v/>
      </c>
      <c r="G21" s="30" t="str">
        <f t="shared" ca="1" si="1"/>
        <v/>
      </c>
    </row>
    <row r="22" spans="2:7" x14ac:dyDescent="0.25">
      <c r="B22" s="318">
        <v>19</v>
      </c>
      <c r="C22" s="268"/>
      <c r="D22" s="644"/>
      <c r="E22" s="499"/>
      <c r="F22" s="30" t="str">
        <f t="shared" ca="1" si="0"/>
        <v/>
      </c>
      <c r="G22" s="30" t="str">
        <f t="shared" ca="1" si="1"/>
        <v/>
      </c>
    </row>
    <row r="23" spans="2:7" x14ac:dyDescent="0.25">
      <c r="B23" s="318">
        <v>20</v>
      </c>
      <c r="C23" s="268"/>
      <c r="D23" s="644"/>
      <c r="E23" s="499"/>
      <c r="F23" s="30" t="str">
        <f t="shared" ca="1" si="0"/>
        <v/>
      </c>
      <c r="G23" s="30" t="str">
        <f t="shared" ca="1" si="1"/>
        <v/>
      </c>
    </row>
    <row r="24" spans="2:7" x14ac:dyDescent="0.25">
      <c r="B24" s="318">
        <v>21</v>
      </c>
      <c r="C24" s="268"/>
      <c r="D24" s="644"/>
      <c r="E24" s="499"/>
      <c r="F24" s="30" t="str">
        <f t="shared" ca="1" si="0"/>
        <v/>
      </c>
      <c r="G24" s="30" t="str">
        <f t="shared" ca="1" si="1"/>
        <v/>
      </c>
    </row>
    <row r="25" spans="2:7" x14ac:dyDescent="0.25">
      <c r="B25" s="318">
        <v>22</v>
      </c>
      <c r="C25" s="268"/>
      <c r="D25" s="644"/>
      <c r="E25" s="499"/>
      <c r="F25" s="30" t="str">
        <f t="shared" ca="1" si="0"/>
        <v/>
      </c>
      <c r="G25" s="30" t="str">
        <f t="shared" ca="1" si="1"/>
        <v/>
      </c>
    </row>
    <row r="26" spans="2:7" x14ac:dyDescent="0.25">
      <c r="B26" s="318">
        <v>23</v>
      </c>
      <c r="C26" s="268"/>
      <c r="D26" s="644"/>
      <c r="E26" s="499"/>
      <c r="F26" s="30" t="str">
        <f t="shared" ca="1" si="0"/>
        <v/>
      </c>
      <c r="G26" s="30" t="str">
        <f t="shared" ca="1" si="1"/>
        <v/>
      </c>
    </row>
    <row r="27" spans="2:7" x14ac:dyDescent="0.25">
      <c r="B27" s="318">
        <v>24</v>
      </c>
      <c r="C27" s="268"/>
      <c r="D27" s="644"/>
      <c r="E27" s="499"/>
      <c r="F27" s="30" t="str">
        <f t="shared" ca="1" si="0"/>
        <v/>
      </c>
      <c r="G27" s="30" t="str">
        <f t="shared" ca="1" si="1"/>
        <v/>
      </c>
    </row>
    <row r="28" spans="2:7" x14ac:dyDescent="0.25">
      <c r="B28" s="318">
        <v>25</v>
      </c>
      <c r="C28" s="268"/>
      <c r="D28" s="644"/>
      <c r="E28" s="499"/>
      <c r="F28" s="30" t="str">
        <f t="shared" ca="1" si="0"/>
        <v/>
      </c>
      <c r="G28" s="30" t="str">
        <f t="shared" ca="1" si="1"/>
        <v/>
      </c>
    </row>
    <row r="29" spans="2:7" x14ac:dyDescent="0.25">
      <c r="B29" s="318">
        <v>26</v>
      </c>
      <c r="C29" s="268"/>
      <c r="D29" s="644"/>
      <c r="E29" s="499"/>
      <c r="F29" s="30" t="str">
        <f t="shared" ca="1" si="0"/>
        <v/>
      </c>
      <c r="G29" s="30" t="str">
        <f t="shared" ca="1" si="1"/>
        <v/>
      </c>
    </row>
    <row r="30" spans="2:7" x14ac:dyDescent="0.25">
      <c r="B30" s="318">
        <v>27</v>
      </c>
      <c r="C30" s="268"/>
      <c r="D30" s="269"/>
      <c r="E30" s="461"/>
      <c r="F30" s="30" t="str">
        <f t="shared" ca="1" si="0"/>
        <v/>
      </c>
      <c r="G30" s="30" t="str">
        <f t="shared" ca="1" si="1"/>
        <v/>
      </c>
    </row>
    <row r="31" spans="2:7" x14ac:dyDescent="0.25">
      <c r="B31" s="318">
        <v>28</v>
      </c>
      <c r="C31" s="268"/>
      <c r="D31" s="269"/>
      <c r="E31" s="461"/>
      <c r="F31" s="30" t="str">
        <f t="shared" ca="1" si="0"/>
        <v/>
      </c>
      <c r="G31" s="30" t="str">
        <f t="shared" ca="1" si="1"/>
        <v/>
      </c>
    </row>
    <row r="32" spans="2:7" x14ac:dyDescent="0.25">
      <c r="B32" s="318">
        <v>29</v>
      </c>
      <c r="C32" s="268"/>
      <c r="D32" s="269"/>
      <c r="E32" s="461"/>
      <c r="F32" s="30" t="str">
        <f t="shared" ca="1" si="0"/>
        <v/>
      </c>
      <c r="G32" s="30" t="str">
        <f t="shared" ca="1" si="1"/>
        <v/>
      </c>
    </row>
    <row r="33" spans="2:7" x14ac:dyDescent="0.25">
      <c r="B33" s="318">
        <v>30</v>
      </c>
      <c r="C33" s="268"/>
      <c r="D33" s="269"/>
      <c r="E33" s="461"/>
      <c r="F33" s="30" t="str">
        <f t="shared" ca="1" si="0"/>
        <v/>
      </c>
      <c r="G33" s="30" t="str">
        <f t="shared" ca="1" si="1"/>
        <v/>
      </c>
    </row>
    <row r="34" spans="2:7" x14ac:dyDescent="0.25">
      <c r="B34" s="318">
        <v>31</v>
      </c>
      <c r="C34" s="268"/>
      <c r="D34" s="269"/>
      <c r="E34" s="461"/>
      <c r="F34" s="30" t="str">
        <f t="shared" ca="1" si="0"/>
        <v/>
      </c>
      <c r="G34" s="30" t="str">
        <f t="shared" ca="1" si="1"/>
        <v/>
      </c>
    </row>
    <row r="35" spans="2:7" x14ac:dyDescent="0.25">
      <c r="B35" s="318">
        <v>32</v>
      </c>
      <c r="C35" s="268"/>
      <c r="D35" s="269"/>
      <c r="E35" s="461"/>
      <c r="F35" s="30" t="str">
        <f t="shared" ca="1" si="0"/>
        <v/>
      </c>
      <c r="G35" s="30" t="str">
        <f t="shared" ca="1" si="1"/>
        <v/>
      </c>
    </row>
    <row r="36" spans="2:7" x14ac:dyDescent="0.25">
      <c r="B36" s="318">
        <v>33</v>
      </c>
      <c r="C36" s="268"/>
      <c r="D36" s="269"/>
      <c r="E36" s="461"/>
      <c r="F36" s="30" t="str">
        <f t="shared" ca="1" si="0"/>
        <v/>
      </c>
      <c r="G36" s="30" t="str">
        <f t="shared" ca="1" si="1"/>
        <v/>
      </c>
    </row>
    <row r="37" spans="2:7" x14ac:dyDescent="0.25">
      <c r="B37" s="318">
        <v>34</v>
      </c>
      <c r="C37" s="268"/>
      <c r="D37" s="269"/>
      <c r="E37" s="461"/>
      <c r="F37" s="30" t="str">
        <f t="shared" ca="1" si="0"/>
        <v/>
      </c>
      <c r="G37" s="30" t="str">
        <f t="shared" ca="1" si="1"/>
        <v/>
      </c>
    </row>
    <row r="38" spans="2:7" x14ac:dyDescent="0.25">
      <c r="B38" s="318">
        <v>35</v>
      </c>
      <c r="C38" s="268"/>
      <c r="D38" s="269"/>
      <c r="E38" s="461"/>
      <c r="F38" s="30" t="str">
        <f t="shared" ca="1" si="0"/>
        <v/>
      </c>
      <c r="G38" s="30" t="str">
        <f t="shared" ca="1" si="1"/>
        <v/>
      </c>
    </row>
    <row r="39" spans="2:7" x14ac:dyDescent="0.25">
      <c r="B39" s="538">
        <v>36</v>
      </c>
      <c r="C39" s="268"/>
      <c r="D39" s="269"/>
      <c r="E39" s="461"/>
      <c r="F39" s="30" t="str">
        <f t="shared" ca="1" si="0"/>
        <v/>
      </c>
      <c r="G39" s="30" t="str">
        <f t="shared" ca="1" si="1"/>
        <v/>
      </c>
    </row>
    <row r="40" spans="2:7" x14ac:dyDescent="0.25">
      <c r="B40" s="537"/>
      <c r="C40" s="41" t="s">
        <v>85</v>
      </c>
      <c r="D40" s="440">
        <f>COUNTA(C4:C39)</f>
        <v>8</v>
      </c>
      <c r="E40" s="440"/>
      <c r="F40" s="440"/>
      <c r="G40" s="440"/>
    </row>
  </sheetData>
  <sheetProtection sheet="1" objects="1" scenarios="1"/>
  <mergeCells count="5">
    <mergeCell ref="P2:Q2"/>
    <mergeCell ref="U2:V2"/>
    <mergeCell ref="N1:Q1"/>
    <mergeCell ref="S1:V1"/>
    <mergeCell ref="I2:L2"/>
  </mergeCells>
  <phoneticPr fontId="8" type="noConversion"/>
  <conditionalFormatting sqref="C4:C33">
    <cfRule type="expression" priority="4" stopIfTrue="1">
      <formula>$L4=""</formula>
    </cfRule>
    <cfRule type="expression" dxfId="1246" priority="5" stopIfTrue="1">
      <formula>$L4&gt;9</formula>
    </cfRule>
    <cfRule type="expression" dxfId="1245" priority="6" stopIfTrue="1">
      <formula>$L4&lt;0</formula>
    </cfRule>
  </conditionalFormatting>
  <conditionalFormatting sqref="C13:C14">
    <cfRule type="expression" priority="1" stopIfTrue="1">
      <formula>$L13=""</formula>
    </cfRule>
    <cfRule type="expression" dxfId="1244" priority="2" stopIfTrue="1">
      <formula>$L13&gt;9</formula>
    </cfRule>
    <cfRule type="expression" dxfId="1243" priority="3" stopIfTrue="1">
      <formula>$L13&lt;0</formula>
    </cfRule>
  </conditionalFormatting>
  <dataValidations count="5">
    <dataValidation type="list" allowBlank="1" showInputMessage="1" showErrorMessage="1" sqref="P2:Q2 U2:V2" xr:uid="{00000000-0002-0000-1F00-000000000000}">
      <formula1>"2018,2019,2020,2021,2022,2023,2024,2025,2026,2027,2028,2029,2030,"</formula1>
    </dataValidation>
    <dataValidation type="list" allowBlank="1" showInputMessage="1" showErrorMessage="1" sqref="O2 T2" xr:uid="{00000000-0002-0000-1F00-000001000000}">
      <formula1>"jan.,feb.,mrt.,apr.,mei.,jun.,jul.,aug.,sep.,okt.,nov.,dec.,"</formula1>
    </dataValidation>
    <dataValidation type="list" allowBlank="1" showInputMessage="1" showErrorMessage="1" sqref="H3:L3" xr:uid="{00000000-0002-0000-1F00-000002000000}">
      <formula1>"groep 4,groep 5,groep 6,groep 7,groep 8,"</formula1>
    </dataValidation>
    <dataValidation type="list" allowBlank="1" showInputMessage="1" showErrorMessage="1" sqref="N2 S2" xr:uid="{00000000-0002-0000-1F00-000003000000}">
      <formula1>"januari.,feb.,mrt.,apr.,mei.,jun.,jul.,aug.,sep.,okt.,nov.,dec.,"</formula1>
    </dataValidation>
    <dataValidation type="list" allowBlank="1" showInputMessage="1" showErrorMessage="1" sqref="I2:L2" xr:uid="{00000000-0002-0000-1F00-000004000000}">
      <formula1>"groep 3a,groep 3b-4a,groep 4b,groep 5a-6a,groep 5b-6b,groep 5c-6c,groep 7a-8a,groep 7b-8b,groep 7c-8c,groep 3,groep 4,groep 5,groep 6,groep 7,groep 8,groep 3-4-5,groep 6-7-8,"</formula1>
    </dataValidation>
  </dataValidations>
  <pageMargins left="0.74803149606299213" right="0.74803149606299213" top="0.98425196850393704" bottom="0.98425196850393704" header="0.51181102362204722" footer="0.51181102362204722"/>
  <pageSetup paperSize="9" scale="66" orientation="landscape" r:id="rId1"/>
  <headerFooter alignWithMargins="0">
    <oddFooter>&amp;R© www.meesterharrie.nl</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075" stopIfTrue="1" id="{00000000-000E-0000-2200-000097000000}">
            <xm:f>'info-16'!$E3=""</xm:f>
            <x14:dxf/>
          </x14:cfRule>
          <x14:cfRule type="expression" priority="3076" stopIfTrue="1" id="{00000000-000E-0000-2200-000098000000}">
            <xm:f>'info-16'!$E3&gt;9</xm:f>
            <x14:dxf>
              <fill>
                <patternFill>
                  <bgColor indexed="31"/>
                </patternFill>
              </fill>
            </x14:dxf>
          </x14:cfRule>
          <x14:cfRule type="expression" priority="3077" stopIfTrue="1" id="{00000000-000E-0000-2200-000099000000}">
            <xm:f>'info-16'!$E3&lt;0</xm:f>
            <x14:dxf>
              <fill>
                <patternFill>
                  <bgColor indexed="51"/>
                </patternFill>
              </fill>
            </x14:dxf>
          </x14:cfRule>
          <xm:sqref>C34</xm:sqref>
        </x14:conditionalFormatting>
        <x14:conditionalFormatting xmlns:xm="http://schemas.microsoft.com/office/excel/2006/main">
          <x14:cfRule type="expression" priority="3081" stopIfTrue="1" id="{00000000-000E-0000-2200-000097000000}">
            <xm:f>'info-16'!$E8=""</xm:f>
            <x14:dxf/>
          </x14:cfRule>
          <x14:cfRule type="expression" priority="3082" stopIfTrue="1" id="{00000000-000E-0000-2200-000098000000}">
            <xm:f>'info-16'!$E8&gt;9</xm:f>
            <x14:dxf>
              <fill>
                <patternFill>
                  <bgColor indexed="31"/>
                </patternFill>
              </fill>
            </x14:dxf>
          </x14:cfRule>
          <x14:cfRule type="expression" priority="3083" stopIfTrue="1" id="{00000000-000E-0000-2200-000099000000}">
            <xm:f>'info-16'!$E8&lt;0</xm:f>
            <x14:dxf>
              <fill>
                <patternFill>
                  <bgColor indexed="51"/>
                </patternFill>
              </fill>
            </x14:dxf>
          </x14:cfRule>
          <xm:sqref>C35:C38</xm:sqref>
        </x14:conditionalFormatting>
        <x14:conditionalFormatting xmlns:xm="http://schemas.microsoft.com/office/excel/2006/main">
          <x14:cfRule type="expression" priority="3084" stopIfTrue="1" id="{00000000-000E-0000-2200-000097000000}">
            <xm:f>'info-16'!#REF!=""</xm:f>
            <x14:dxf/>
          </x14:cfRule>
          <x14:cfRule type="expression" priority="3085" stopIfTrue="1" id="{00000000-000E-0000-2200-000098000000}">
            <xm:f>'info-16'!#REF!&gt;9</xm:f>
            <x14:dxf>
              <fill>
                <patternFill>
                  <bgColor indexed="31"/>
                </patternFill>
              </fill>
            </x14:dxf>
          </x14:cfRule>
          <x14:cfRule type="expression" priority="3086" stopIfTrue="1" id="{00000000-000E-0000-2200-000099000000}">
            <xm:f>'info-16'!#REF!&lt;0</xm:f>
            <x14:dxf>
              <fill>
                <patternFill>
                  <bgColor indexed="51"/>
                </patternFill>
              </fill>
            </x14:dxf>
          </x14:cfRule>
          <xm:sqref>C39</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CCFF"/>
  </sheetPr>
  <dimension ref="B3:AA43"/>
  <sheetViews>
    <sheetView showGridLines="0" showRowColHeaders="0" zoomScale="80" zoomScaleNormal="80" zoomScaleSheetLayoutView="100" workbookViewId="0">
      <pane xSplit="3" topLeftCell="D1" activePane="topRight" state="frozen"/>
      <selection pane="topRight"/>
    </sheetView>
  </sheetViews>
  <sheetFormatPr defaultRowHeight="12.5" x14ac:dyDescent="0.25"/>
  <cols>
    <col min="1" max="1" width="3.1796875" customWidth="1"/>
    <col min="2" max="2" width="4" style="5" bestFit="1" customWidth="1"/>
    <col min="3" max="3" width="23.1796875" style="4" customWidth="1"/>
    <col min="4" max="4" width="5.81640625" style="9" customWidth="1"/>
    <col min="5" max="5" width="21.81640625" style="9" customWidth="1"/>
    <col min="6" max="6" width="5.81640625" style="127" hidden="1" customWidth="1"/>
    <col min="7" max="7" width="3.81640625" customWidth="1"/>
    <col min="8" max="8" width="3.81640625" hidden="1" customWidth="1"/>
    <col min="9" max="9" width="21.81640625" style="9" customWidth="1"/>
    <col min="10" max="10" width="3.81640625" customWidth="1"/>
    <col min="11" max="11" width="3.81640625" hidden="1" customWidth="1"/>
    <col min="12" max="12" width="21.81640625" style="9" customWidth="1"/>
    <col min="13" max="13" width="5.81640625" style="9" customWidth="1"/>
    <col min="14" max="14" width="3.81640625" customWidth="1"/>
    <col min="15" max="15" width="3.81640625" hidden="1" customWidth="1"/>
    <col min="16" max="16" width="21.81640625" style="9" customWidth="1"/>
    <col min="17" max="17" width="5.81640625" style="9" customWidth="1"/>
    <col min="18" max="18" width="3.81640625" customWidth="1"/>
    <col min="19" max="19" width="3.81640625" hidden="1" customWidth="1"/>
    <col min="20" max="20" width="21.81640625" style="9" customWidth="1"/>
    <col min="21" max="21" width="5.81640625" style="9" customWidth="1"/>
    <col min="22" max="22" width="3.81640625" customWidth="1"/>
    <col min="23" max="23" width="3.81640625" hidden="1" customWidth="1"/>
    <col min="24" max="24" width="21.81640625" style="9" customWidth="1"/>
    <col min="25" max="25" width="5.81640625" style="9" customWidth="1"/>
    <col min="26" max="26" width="3.81640625" customWidth="1"/>
    <col min="27" max="27" width="3.81640625" hidden="1" customWidth="1"/>
  </cols>
  <sheetData>
    <row r="3" spans="2:27" x14ac:dyDescent="0.25">
      <c r="B3" s="537"/>
      <c r="C3" s="41"/>
      <c r="L3"/>
      <c r="M3"/>
      <c r="P3"/>
      <c r="Q3"/>
      <c r="S3" s="706"/>
      <c r="T3"/>
      <c r="U3"/>
      <c r="X3"/>
      <c r="Y3"/>
    </row>
    <row r="5" spans="2:27" x14ac:dyDescent="0.25">
      <c r="B5" s="537"/>
      <c r="C5" s="41"/>
      <c r="E5" s="447" t="s">
        <v>244</v>
      </c>
      <c r="F5" s="448"/>
      <c r="G5" s="708"/>
      <c r="I5" s="867" t="s">
        <v>244</v>
      </c>
      <c r="J5" s="708"/>
      <c r="L5" s="1132" t="s">
        <v>244</v>
      </c>
      <c r="M5" s="1133"/>
      <c r="N5" s="708"/>
      <c r="P5" s="1132" t="s">
        <v>244</v>
      </c>
      <c r="Q5" s="1133"/>
      <c r="R5" s="708"/>
      <c r="T5" s="1132" t="s">
        <v>244</v>
      </c>
      <c r="U5" s="1133"/>
      <c r="V5" s="708"/>
      <c r="X5" s="1132" t="s">
        <v>244</v>
      </c>
      <c r="Y5" s="1133"/>
      <c r="Z5" s="708"/>
    </row>
    <row r="6" spans="2:27" ht="32.25" customHeight="1" x14ac:dyDescent="0.25">
      <c r="B6" s="338"/>
      <c r="C6" s="549" t="s">
        <v>63</v>
      </c>
      <c r="D6" s="440" t="s">
        <v>62</v>
      </c>
      <c r="E6" s="449" t="s">
        <v>245</v>
      </c>
      <c r="G6" s="713"/>
      <c r="H6" s="703"/>
      <c r="I6" s="454" t="s">
        <v>246</v>
      </c>
      <c r="J6" s="713"/>
      <c r="K6" s="703"/>
      <c r="L6" s="455" t="s">
        <v>247</v>
      </c>
      <c r="M6" s="456" t="s">
        <v>248</v>
      </c>
      <c r="N6" s="709"/>
      <c r="O6" s="703"/>
      <c r="P6" s="455" t="s">
        <v>249</v>
      </c>
      <c r="Q6" s="456" t="s">
        <v>248</v>
      </c>
      <c r="R6" s="709"/>
      <c r="S6" s="703"/>
      <c r="T6" s="455" t="s">
        <v>250</v>
      </c>
      <c r="U6" s="456" t="s">
        <v>248</v>
      </c>
      <c r="V6" s="709"/>
      <c r="W6" s="703"/>
      <c r="X6" s="455" t="s">
        <v>251</v>
      </c>
      <c r="Y6" s="456" t="s">
        <v>248</v>
      </c>
      <c r="Z6" s="709"/>
      <c r="AA6" s="703"/>
    </row>
    <row r="7" spans="2:27" x14ac:dyDescent="0.25">
      <c r="B7" s="441">
        <v>1</v>
      </c>
      <c r="C7" s="442" t="str">
        <f>BEGINBLAD!C4</f>
        <v>leerling 1</v>
      </c>
      <c r="D7" s="443"/>
      <c r="E7" s="450" t="s">
        <v>574</v>
      </c>
      <c r="F7" s="444">
        <f>IF(E7="","",IF(E7="zeer goed",4.75,IF(E7="goed",4,IF(E7="boven gemiddeld",3.25,IF(E7="gemiddeld",2.5,IF(E7="beneden gemiddeld",1.75,IF(E7="zwak",1,IF(E7="zeer zwak",0.25))))))))</f>
        <v>3.25</v>
      </c>
      <c r="G7" s="711" t="str">
        <f t="shared" ref="G7:G40" si="0">IF(E7="","",IF(E7="zeer zwak","E-",IF(E7="zwak","E",IF(E7="beneden gemiddeld","D",IF(E7="gemiddeld","C",IF(E7="boven gemiddeld","B",IF(E7="goed","A",IF(E7="zeer goed","A+"))))))))</f>
        <v>B</v>
      </c>
      <c r="H7" s="704">
        <f>IF(G7="","",IF(G7="A+",5,IF(G7="A",5,IF(G7="B",4,IF(G7="C",3,IF(G7="D",2,IF(G7="E",1,IF(G7="E-",1))))))))</f>
        <v>4</v>
      </c>
      <c r="I7" s="880" t="str">
        <f>'SIGNALERING HB'!F$5</f>
        <v>boven gemiddeld</v>
      </c>
      <c r="J7" s="711" t="str">
        <f>IF(I7="","",IF(I7="zeer zwak","E-",IF(I7="zwak","E",IF(I7="beneden gemiddeld","D",IF(I7="gemiddeld","C",IF(I7="boven gemiddeld","B",IF(I7="goed","A",IF(I7="zeer goed","A+"))))))))</f>
        <v>B</v>
      </c>
      <c r="K7" s="704">
        <f>IF(J7="","",IF(J7="A+",5,IF(J7="A",5,IF(J7="B",4,IF(J7="C",3,IF(J7="D",2,IF(J7="E",1,IF(J7="E-",1))))))))</f>
        <v>4</v>
      </c>
      <c r="L7" s="450" t="s">
        <v>252</v>
      </c>
      <c r="M7" s="457">
        <v>113</v>
      </c>
      <c r="N7" s="710" t="str">
        <f t="shared" ref="N7:N27" si="1">IF(L7="","",IF(L7="zeer zwak","E-",IF(L7="zwak","E",IF(L7="beneden gemiddeld","D",IF(L7="gemiddeld","C",IF(L7="boven gemiddeld","B",IF(L7="goed","A",IF(L7="zeer goed","A+"))))))))</f>
        <v>A</v>
      </c>
      <c r="O7" s="704"/>
      <c r="P7" s="450" t="s">
        <v>574</v>
      </c>
      <c r="Q7" s="457">
        <v>105</v>
      </c>
      <c r="R7" s="711" t="str">
        <f>IF(P7="","",IF(P7="zeer zwak","E-",IF(P7="zwak","E",IF(P7="beneden gemiddeld","D",IF(P7="gemiddeld","C",IF(P7="boven gemiddeld","B",IF(P7="goed","A",IF(P7="zeer goed","A+"))))))))</f>
        <v>B</v>
      </c>
      <c r="S7" s="704">
        <f>IF(R7="","",IF(R7="A+",5,IF(R7="A",5,IF(R7="B",4,IF(R7="C",3,IF(R7="D",2,IF(R7="E",1,IF(R7="E-",1))))))))</f>
        <v>4</v>
      </c>
      <c r="T7" s="450"/>
      <c r="U7" s="457"/>
      <c r="V7" s="711" t="str">
        <f>IF(T7="","",IF(T7="zeer zwak","E-",IF(T7="zwak","E",IF(T7="beneden gemiddeld","D",IF(T7="gemiddeld","C",IF(T7="boven gemiddeld","B",IF(T7="goed","A",IF(T7="zeer goed","A+"))))))))</f>
        <v/>
      </c>
      <c r="W7" s="704" t="str">
        <f>IF(V7="","",IF(V7="A+",5,IF(V7="A",5,IF(V7="B",4,IF(V7="C",3,IF(V7="D",2,IF(V7="E",1,IF(V7="E-",1))))))))</f>
        <v/>
      </c>
      <c r="X7" s="450"/>
      <c r="Y7" s="457"/>
      <c r="Z7" s="711" t="str">
        <f>IF(X7="","",IF(X7="zeer zwak","E-",IF(X7="zwak","E",IF(X7="beneden gemiddeld","D",IF(X7="gemiddeld","C",IF(X7="boven gemiddeld","B",IF(X7="goed","A",IF(X7="zeer goed","A+"))))))))</f>
        <v/>
      </c>
      <c r="AA7" s="704" t="str">
        <f>IF(Z7="","",IF(Z7="A+",5,IF(Z7="A",5,IF(Z7="B",4,IF(Z7="C",3,IF(Z7="D",2,IF(Z7="E",1,IF(Z7="E-",1))))))))</f>
        <v/>
      </c>
    </row>
    <row r="8" spans="2:27" ht="12.75" customHeight="1" x14ac:dyDescent="0.25">
      <c r="B8" s="441">
        <v>2</v>
      </c>
      <c r="C8" s="445" t="str">
        <f>BEGINBLAD!C5</f>
        <v>leerling 2</v>
      </c>
      <c r="D8" s="446"/>
      <c r="E8" s="451" t="s">
        <v>252</v>
      </c>
      <c r="F8" s="444">
        <f t="shared" ref="F8:F42" si="2">IF(E8="","",IF(E8="zeer goed",4.75,IF(E8="goed",4,IF(E8="boven gemiddeld",3.25,IF(E8="gemiddeld",2.5,IF(E8="beneden gemiddeld",1.75,IF(E8="zwak",1,IF(E8="zeer zwak",0.25))))))))</f>
        <v>4</v>
      </c>
      <c r="G8" s="710" t="str">
        <f t="shared" si="0"/>
        <v>A</v>
      </c>
      <c r="H8" s="704">
        <f t="shared" ref="H8:H42" si="3">IF(G8="","",IF(G8="A+",5,IF(G8="A",5,IF(G8="B",4,IF(G8="C",3,IF(G8="D",2,IF(G8="E",1,IF(G8="E-",1))))))))</f>
        <v>5</v>
      </c>
      <c r="I8" s="881" t="str">
        <f>'SIGNALERING HB'!G$5</f>
        <v>goed</v>
      </c>
      <c r="J8" s="710" t="str">
        <f t="shared" ref="J8:J42" si="4">IF(I8="","",IF(I8="zeer zwak","E-",IF(I8="zwak","E",IF(I8="beneden gemiddeld","D",IF(I8="gemiddeld","C",IF(I8="boven gemiddeld","B",IF(I8="goed","A",IF(I8="zeer goed","A+"))))))))</f>
        <v>A</v>
      </c>
      <c r="K8" s="704">
        <f t="shared" ref="K8:K42" si="5">IF(J8="","",IF(J8="A+",5,IF(J8="A",5,IF(J8="B",4,IF(J8="C",3,IF(J8="D",2,IF(J8="E",1,IF(J8="E-",1))))))))</f>
        <v>5</v>
      </c>
      <c r="L8" s="451" t="s">
        <v>252</v>
      </c>
      <c r="M8" s="458">
        <v>117</v>
      </c>
      <c r="N8" s="710" t="str">
        <f t="shared" si="1"/>
        <v>A</v>
      </c>
      <c r="O8" s="704"/>
      <c r="P8" s="451" t="s">
        <v>252</v>
      </c>
      <c r="Q8" s="458">
        <v>126</v>
      </c>
      <c r="R8" s="710" t="str">
        <f t="shared" ref="R8" si="6">IF(P8="","",IF(P8="zeer zwak","E-",IF(P8="zwak","E",IF(P8="beneden gemiddeld","D",IF(P8="gemiddeld","C",IF(P8="boven gemiddeld","B",IF(P8="goed","A",IF(P8="zeer goed","A+"))))))))</f>
        <v>A</v>
      </c>
      <c r="S8" s="704">
        <f t="shared" ref="S8:S42" si="7">IF(R8="","",IF(R8="A+",5,IF(R8="A",5,IF(R8="B",4,IF(R8="C",3,IF(R8="D",2,IF(R8="E",1,IF(R8="E-",1))))))))</f>
        <v>5</v>
      </c>
      <c r="T8" s="451"/>
      <c r="U8" s="458"/>
      <c r="V8" s="710" t="str">
        <f t="shared" ref="V8" si="8">IF(T8="","",IF(T8="zeer zwak","E-",IF(T8="zwak","E",IF(T8="beneden gemiddeld","D",IF(T8="gemiddeld","C",IF(T8="boven gemiddeld","B",IF(T8="goed","A",IF(T8="zeer goed","A+"))))))))</f>
        <v/>
      </c>
      <c r="W8" s="704" t="str">
        <f t="shared" ref="W8:W42" si="9">IF(V8="","",IF(V8="A+",5,IF(V8="A",5,IF(V8="B",4,IF(V8="C",3,IF(V8="D",2,IF(V8="E",1,IF(V8="E-",1))))))))</f>
        <v/>
      </c>
      <c r="X8" s="451"/>
      <c r="Y8" s="458"/>
      <c r="Z8" s="710" t="str">
        <f t="shared" ref="Z8" si="10">IF(X8="","",IF(X8="zeer zwak","E-",IF(X8="zwak","E",IF(X8="beneden gemiddeld","D",IF(X8="gemiddeld","C",IF(X8="boven gemiddeld","B",IF(X8="goed","A",IF(X8="zeer goed","A+"))))))))</f>
        <v/>
      </c>
      <c r="AA8" s="704" t="str">
        <f t="shared" ref="AA8:AA42" si="11">IF(Z8="","",IF(Z8="A+",5,IF(Z8="A",5,IF(Z8="B",4,IF(Z8="C",3,IF(Z8="D",2,IF(Z8="E",1,IF(Z8="E-",1))))))))</f>
        <v/>
      </c>
    </row>
    <row r="9" spans="2:27" ht="12.75" customHeight="1" x14ac:dyDescent="0.25">
      <c r="B9" s="441">
        <v>3</v>
      </c>
      <c r="C9" s="442" t="str">
        <f>BEGINBLAD!C6</f>
        <v>leerling 3</v>
      </c>
      <c r="D9" s="443"/>
      <c r="E9" s="450" t="s">
        <v>252</v>
      </c>
      <c r="F9" s="444">
        <f t="shared" si="2"/>
        <v>4</v>
      </c>
      <c r="G9" s="711" t="str">
        <f t="shared" si="0"/>
        <v>A</v>
      </c>
      <c r="H9" s="704">
        <f t="shared" si="3"/>
        <v>5</v>
      </c>
      <c r="I9" s="880" t="str">
        <f>'SIGNALERING HB'!H$5</f>
        <v>goed</v>
      </c>
      <c r="J9" s="711" t="str">
        <f t="shared" si="4"/>
        <v>A</v>
      </c>
      <c r="K9" s="704">
        <f t="shared" si="5"/>
        <v>5</v>
      </c>
      <c r="L9" s="450" t="s">
        <v>252</v>
      </c>
      <c r="M9" s="459">
        <v>119</v>
      </c>
      <c r="N9" s="711" t="str">
        <f t="shared" si="1"/>
        <v>A</v>
      </c>
      <c r="O9" s="704"/>
      <c r="P9" s="450" t="s">
        <v>252</v>
      </c>
      <c r="Q9" s="459">
        <v>123</v>
      </c>
      <c r="R9" s="711" t="str">
        <f t="shared" ref="R9" si="12">IF(P9="","",IF(P9="zeer zwak","E-",IF(P9="zwak","E",IF(P9="beneden gemiddeld","D",IF(P9="gemiddeld","C",IF(P9="boven gemiddeld","B",IF(P9="goed","A",IF(P9="zeer goed","A+"))))))))</f>
        <v>A</v>
      </c>
      <c r="S9" s="704">
        <f t="shared" si="7"/>
        <v>5</v>
      </c>
      <c r="T9" s="450"/>
      <c r="U9" s="459"/>
      <c r="V9" s="711" t="str">
        <f t="shared" ref="V9" si="13">IF(T9="","",IF(T9="zeer zwak","E-",IF(T9="zwak","E",IF(T9="beneden gemiddeld","D",IF(T9="gemiddeld","C",IF(T9="boven gemiddeld","B",IF(T9="goed","A",IF(T9="zeer goed","A+"))))))))</f>
        <v/>
      </c>
      <c r="W9" s="704" t="str">
        <f t="shared" si="9"/>
        <v/>
      </c>
      <c r="X9" s="450"/>
      <c r="Y9" s="459"/>
      <c r="Z9" s="711" t="str">
        <f t="shared" ref="Z9" si="14">IF(X9="","",IF(X9="zeer zwak","E-",IF(X9="zwak","E",IF(X9="beneden gemiddeld","D",IF(X9="gemiddeld","C",IF(X9="boven gemiddeld","B",IF(X9="goed","A",IF(X9="zeer goed","A+"))))))))</f>
        <v/>
      </c>
      <c r="AA9" s="704" t="str">
        <f t="shared" si="11"/>
        <v/>
      </c>
    </row>
    <row r="10" spans="2:27" ht="12.75" customHeight="1" x14ac:dyDescent="0.25">
      <c r="B10" s="441">
        <v>4</v>
      </c>
      <c r="C10" s="445" t="str">
        <f>BEGINBLAD!C7</f>
        <v>leerling 4</v>
      </c>
      <c r="D10" s="446"/>
      <c r="E10" s="451" t="s">
        <v>252</v>
      </c>
      <c r="F10" s="444">
        <f t="shared" si="2"/>
        <v>4</v>
      </c>
      <c r="G10" s="710" t="str">
        <f t="shared" si="0"/>
        <v>A</v>
      </c>
      <c r="H10" s="704">
        <f t="shared" si="3"/>
        <v>5</v>
      </c>
      <c r="I10" s="881" t="str">
        <f>'SIGNALERING HB'!I$5</f>
        <v>goed</v>
      </c>
      <c r="J10" s="710" t="str">
        <f t="shared" si="4"/>
        <v>A</v>
      </c>
      <c r="K10" s="704">
        <f t="shared" si="5"/>
        <v>5</v>
      </c>
      <c r="L10" s="451" t="s">
        <v>126</v>
      </c>
      <c r="M10" s="458">
        <v>101</v>
      </c>
      <c r="N10" s="710" t="str">
        <f t="shared" si="1"/>
        <v>C</v>
      </c>
      <c r="O10" s="704"/>
      <c r="P10" s="451" t="s">
        <v>126</v>
      </c>
      <c r="Q10" s="458">
        <v>100</v>
      </c>
      <c r="R10" s="710" t="str">
        <f t="shared" ref="R10" si="15">IF(P10="","",IF(P10="zeer zwak","E-",IF(P10="zwak","E",IF(P10="beneden gemiddeld","D",IF(P10="gemiddeld","C",IF(P10="boven gemiddeld","B",IF(P10="goed","A",IF(P10="zeer goed","A+"))))))))</f>
        <v>C</v>
      </c>
      <c r="S10" s="704">
        <f t="shared" si="7"/>
        <v>3</v>
      </c>
      <c r="T10" s="451"/>
      <c r="U10" s="458"/>
      <c r="V10" s="710" t="str">
        <f t="shared" ref="V10" si="16">IF(T10="","",IF(T10="zeer zwak","E-",IF(T10="zwak","E",IF(T10="beneden gemiddeld","D",IF(T10="gemiddeld","C",IF(T10="boven gemiddeld","B",IF(T10="goed","A",IF(T10="zeer goed","A+"))))))))</f>
        <v/>
      </c>
      <c r="W10" s="704" t="str">
        <f t="shared" si="9"/>
        <v/>
      </c>
      <c r="X10" s="451"/>
      <c r="Y10" s="458"/>
      <c r="Z10" s="710" t="str">
        <f t="shared" ref="Z10" si="17">IF(X10="","",IF(X10="zeer zwak","E-",IF(X10="zwak","E",IF(X10="beneden gemiddeld","D",IF(X10="gemiddeld","C",IF(X10="boven gemiddeld","B",IF(X10="goed","A",IF(X10="zeer goed","A+"))))))))</f>
        <v/>
      </c>
      <c r="AA10" s="704" t="str">
        <f t="shared" si="11"/>
        <v/>
      </c>
    </row>
    <row r="11" spans="2:27" ht="12.75" customHeight="1" x14ac:dyDescent="0.25">
      <c r="B11" s="441">
        <v>5</v>
      </c>
      <c r="C11" s="442" t="str">
        <f>BEGINBLAD!C8</f>
        <v>leerling 5</v>
      </c>
      <c r="D11" s="443"/>
      <c r="E11" s="450" t="s">
        <v>252</v>
      </c>
      <c r="F11" s="444">
        <f t="shared" si="2"/>
        <v>4</v>
      </c>
      <c r="G11" s="711" t="str">
        <f t="shared" si="0"/>
        <v>A</v>
      </c>
      <c r="H11" s="704">
        <f t="shared" si="3"/>
        <v>5</v>
      </c>
      <c r="I11" s="880" t="str">
        <f>'SIGNALERING HB'!J$5</f>
        <v>goed</v>
      </c>
      <c r="J11" s="711" t="str">
        <f t="shared" si="4"/>
        <v>A</v>
      </c>
      <c r="K11" s="704">
        <f t="shared" si="5"/>
        <v>5</v>
      </c>
      <c r="L11" s="450" t="s">
        <v>253</v>
      </c>
      <c r="M11" s="459">
        <v>95</v>
      </c>
      <c r="N11" s="711" t="str">
        <f t="shared" si="1"/>
        <v>D</v>
      </c>
      <c r="O11" s="704"/>
      <c r="P11" s="450" t="s">
        <v>252</v>
      </c>
      <c r="Q11" s="459">
        <v>114</v>
      </c>
      <c r="R11" s="711" t="str">
        <f t="shared" ref="R11" si="18">IF(P11="","",IF(P11="zeer zwak","E-",IF(P11="zwak","E",IF(P11="beneden gemiddeld","D",IF(P11="gemiddeld","C",IF(P11="boven gemiddeld","B",IF(P11="goed","A",IF(P11="zeer goed","A+"))))))))</f>
        <v>A</v>
      </c>
      <c r="S11" s="704">
        <f t="shared" si="7"/>
        <v>5</v>
      </c>
      <c r="T11" s="450"/>
      <c r="U11" s="459"/>
      <c r="V11" s="711" t="str">
        <f t="shared" ref="V11" si="19">IF(T11="","",IF(T11="zeer zwak","E-",IF(T11="zwak","E",IF(T11="beneden gemiddeld","D",IF(T11="gemiddeld","C",IF(T11="boven gemiddeld","B",IF(T11="goed","A",IF(T11="zeer goed","A+"))))))))</f>
        <v/>
      </c>
      <c r="W11" s="704" t="str">
        <f t="shared" si="9"/>
        <v/>
      </c>
      <c r="X11" s="450"/>
      <c r="Y11" s="459"/>
      <c r="Z11" s="711" t="str">
        <f t="shared" ref="Z11" si="20">IF(X11="","",IF(X11="zeer zwak","E-",IF(X11="zwak","E",IF(X11="beneden gemiddeld","D",IF(X11="gemiddeld","C",IF(X11="boven gemiddeld","B",IF(X11="goed","A",IF(X11="zeer goed","A+"))))))))</f>
        <v/>
      </c>
      <c r="AA11" s="704" t="str">
        <f t="shared" si="11"/>
        <v/>
      </c>
    </row>
    <row r="12" spans="2:27" ht="12.75" customHeight="1" x14ac:dyDescent="0.25">
      <c r="B12" s="441">
        <v>6</v>
      </c>
      <c r="C12" s="445" t="str">
        <f>BEGINBLAD!C9</f>
        <v>leerling 6</v>
      </c>
      <c r="D12" s="446"/>
      <c r="E12" s="451" t="s">
        <v>126</v>
      </c>
      <c r="F12" s="444">
        <f t="shared" si="2"/>
        <v>2.5</v>
      </c>
      <c r="G12" s="710" t="str">
        <f t="shared" si="0"/>
        <v>C</v>
      </c>
      <c r="H12" s="704">
        <f t="shared" si="3"/>
        <v>3</v>
      </c>
      <c r="I12" s="881" t="str">
        <f>'SIGNALERING HB'!K$5</f>
        <v>gemiddeld</v>
      </c>
      <c r="J12" s="710" t="str">
        <f t="shared" si="4"/>
        <v>C</v>
      </c>
      <c r="K12" s="704">
        <f t="shared" si="5"/>
        <v>3</v>
      </c>
      <c r="L12" s="451" t="s">
        <v>253</v>
      </c>
      <c r="M12" s="458">
        <v>95</v>
      </c>
      <c r="N12" s="710" t="str">
        <f t="shared" si="1"/>
        <v>D</v>
      </c>
      <c r="O12" s="704"/>
      <c r="P12" s="451" t="s">
        <v>253</v>
      </c>
      <c r="Q12" s="458">
        <v>95</v>
      </c>
      <c r="R12" s="710" t="str">
        <f t="shared" ref="R12" si="21">IF(P12="","",IF(P12="zeer zwak","E-",IF(P12="zwak","E",IF(P12="beneden gemiddeld","D",IF(P12="gemiddeld","C",IF(P12="boven gemiddeld","B",IF(P12="goed","A",IF(P12="zeer goed","A+"))))))))</f>
        <v>D</v>
      </c>
      <c r="S12" s="704">
        <f t="shared" si="7"/>
        <v>2</v>
      </c>
      <c r="T12" s="451"/>
      <c r="U12" s="458"/>
      <c r="V12" s="710" t="str">
        <f t="shared" ref="V12" si="22">IF(T12="","",IF(T12="zeer zwak","E-",IF(T12="zwak","E",IF(T12="beneden gemiddeld","D",IF(T12="gemiddeld","C",IF(T12="boven gemiddeld","B",IF(T12="goed","A",IF(T12="zeer goed","A+"))))))))</f>
        <v/>
      </c>
      <c r="W12" s="704" t="str">
        <f t="shared" si="9"/>
        <v/>
      </c>
      <c r="X12" s="451"/>
      <c r="Y12" s="458"/>
      <c r="Z12" s="710" t="str">
        <f t="shared" ref="Z12" si="23">IF(X12="","",IF(X12="zeer zwak","E-",IF(X12="zwak","E",IF(X12="beneden gemiddeld","D",IF(X12="gemiddeld","C",IF(X12="boven gemiddeld","B",IF(X12="goed","A",IF(X12="zeer goed","A+"))))))))</f>
        <v/>
      </c>
      <c r="AA12" s="704" t="str">
        <f t="shared" si="11"/>
        <v/>
      </c>
    </row>
    <row r="13" spans="2:27" ht="12.75" customHeight="1" x14ac:dyDescent="0.25">
      <c r="B13" s="441">
        <v>7</v>
      </c>
      <c r="C13" s="442" t="str">
        <f>BEGINBLAD!C10</f>
        <v>leerling 7</v>
      </c>
      <c r="D13" s="443"/>
      <c r="E13" s="450" t="s">
        <v>253</v>
      </c>
      <c r="F13" s="444">
        <f t="shared" si="2"/>
        <v>1.75</v>
      </c>
      <c r="G13" s="711" t="str">
        <f t="shared" si="0"/>
        <v>D</v>
      </c>
      <c r="H13" s="704">
        <f t="shared" si="3"/>
        <v>2</v>
      </c>
      <c r="I13" s="880" t="str">
        <f>'SIGNALERING HB'!L$5</f>
        <v>beneden gemiddeld</v>
      </c>
      <c r="J13" s="711" t="str">
        <f t="shared" si="4"/>
        <v>D</v>
      </c>
      <c r="K13" s="704">
        <f t="shared" si="5"/>
        <v>2</v>
      </c>
      <c r="L13" s="450" t="s">
        <v>253</v>
      </c>
      <c r="M13" s="459">
        <v>88</v>
      </c>
      <c r="N13" s="711" t="str">
        <f t="shared" si="1"/>
        <v>D</v>
      </c>
      <c r="O13" s="704"/>
      <c r="P13" s="450" t="s">
        <v>253</v>
      </c>
      <c r="Q13" s="459">
        <v>95</v>
      </c>
      <c r="R13" s="711" t="str">
        <f t="shared" ref="R13" si="24">IF(P13="","",IF(P13="zeer zwak","E-",IF(P13="zwak","E",IF(P13="beneden gemiddeld","D",IF(P13="gemiddeld","C",IF(P13="boven gemiddeld","B",IF(P13="goed","A",IF(P13="zeer goed","A+"))))))))</f>
        <v>D</v>
      </c>
      <c r="S13" s="704">
        <f t="shared" si="7"/>
        <v>2</v>
      </c>
      <c r="T13" s="450"/>
      <c r="U13" s="459"/>
      <c r="V13" s="711" t="str">
        <f t="shared" ref="V13" si="25">IF(T13="","",IF(T13="zeer zwak","E-",IF(T13="zwak","E",IF(T13="beneden gemiddeld","D",IF(T13="gemiddeld","C",IF(T13="boven gemiddeld","B",IF(T13="goed","A",IF(T13="zeer goed","A+"))))))))</f>
        <v/>
      </c>
      <c r="W13" s="704" t="str">
        <f t="shared" si="9"/>
        <v/>
      </c>
      <c r="X13" s="450"/>
      <c r="Y13" s="459"/>
      <c r="Z13" s="711" t="str">
        <f t="shared" ref="Z13" si="26">IF(X13="","",IF(X13="zeer zwak","E-",IF(X13="zwak","E",IF(X13="beneden gemiddeld","D",IF(X13="gemiddeld","C",IF(X13="boven gemiddeld","B",IF(X13="goed","A",IF(X13="zeer goed","A+"))))))))</f>
        <v/>
      </c>
      <c r="AA13" s="704" t="str">
        <f t="shared" si="11"/>
        <v/>
      </c>
    </row>
    <row r="14" spans="2:27" x14ac:dyDescent="0.25">
      <c r="B14" s="441">
        <v>8</v>
      </c>
      <c r="C14" s="445" t="str">
        <f>BEGINBLAD!C11</f>
        <v>leerling 8</v>
      </c>
      <c r="D14" s="446"/>
      <c r="E14" s="451" t="s">
        <v>126</v>
      </c>
      <c r="F14" s="444">
        <f t="shared" si="2"/>
        <v>2.5</v>
      </c>
      <c r="G14" s="710" t="str">
        <f t="shared" si="0"/>
        <v>C</v>
      </c>
      <c r="H14" s="704">
        <f t="shared" si="3"/>
        <v>3</v>
      </c>
      <c r="I14" s="881" t="str">
        <f>'SIGNALERING HB'!M$5</f>
        <v>gemiddeld</v>
      </c>
      <c r="J14" s="710" t="str">
        <f t="shared" si="4"/>
        <v>C</v>
      </c>
      <c r="K14" s="704">
        <f t="shared" si="5"/>
        <v>3</v>
      </c>
      <c r="L14" s="451" t="s">
        <v>252</v>
      </c>
      <c r="M14" s="458">
        <v>121</v>
      </c>
      <c r="N14" s="710" t="str">
        <f t="shared" si="1"/>
        <v>A</v>
      </c>
      <c r="O14" s="704"/>
      <c r="P14" s="451" t="s">
        <v>253</v>
      </c>
      <c r="Q14" s="458">
        <v>95</v>
      </c>
      <c r="R14" s="710" t="str">
        <f t="shared" ref="R14" si="27">IF(P14="","",IF(P14="zeer zwak","E-",IF(P14="zwak","E",IF(P14="beneden gemiddeld","D",IF(P14="gemiddeld","C",IF(P14="boven gemiddeld","B",IF(P14="goed","A",IF(P14="zeer goed","A+"))))))))</f>
        <v>D</v>
      </c>
      <c r="S14" s="704">
        <f t="shared" si="7"/>
        <v>2</v>
      </c>
      <c r="T14" s="451"/>
      <c r="U14" s="458"/>
      <c r="V14" s="710" t="str">
        <f t="shared" ref="V14" si="28">IF(T14="","",IF(T14="zeer zwak","E-",IF(T14="zwak","E",IF(T14="beneden gemiddeld","D",IF(T14="gemiddeld","C",IF(T14="boven gemiddeld","B",IF(T14="goed","A",IF(T14="zeer goed","A+"))))))))</f>
        <v/>
      </c>
      <c r="W14" s="704" t="str">
        <f t="shared" si="9"/>
        <v/>
      </c>
      <c r="X14" s="451"/>
      <c r="Y14" s="458"/>
      <c r="Z14" s="710" t="str">
        <f t="shared" ref="Z14" si="29">IF(X14="","",IF(X14="zeer zwak","E-",IF(X14="zwak","E",IF(X14="beneden gemiddeld","D",IF(X14="gemiddeld","C",IF(X14="boven gemiddeld","B",IF(X14="goed","A",IF(X14="zeer goed","A+"))))))))</f>
        <v/>
      </c>
      <c r="AA14" s="704" t="str">
        <f t="shared" si="11"/>
        <v/>
      </c>
    </row>
    <row r="15" spans="2:27" x14ac:dyDescent="0.25">
      <c r="B15" s="441">
        <v>9</v>
      </c>
      <c r="C15" s="442">
        <f>BEGINBLAD!C12</f>
        <v>0</v>
      </c>
      <c r="D15" s="443"/>
      <c r="E15" s="450"/>
      <c r="F15" s="444" t="str">
        <f t="shared" si="2"/>
        <v/>
      </c>
      <c r="G15" s="711" t="str">
        <f t="shared" si="0"/>
        <v/>
      </c>
      <c r="H15" s="704" t="str">
        <f t="shared" si="3"/>
        <v/>
      </c>
      <c r="I15" s="880" t="str">
        <f>'SIGNALERING HB'!N$5</f>
        <v/>
      </c>
      <c r="J15" s="711" t="str">
        <f t="shared" si="4"/>
        <v/>
      </c>
      <c r="K15" s="704" t="str">
        <f t="shared" si="5"/>
        <v/>
      </c>
      <c r="L15" s="450"/>
      <c r="M15" s="459"/>
      <c r="N15" s="711" t="str">
        <f t="shared" si="1"/>
        <v/>
      </c>
      <c r="O15" s="704"/>
      <c r="P15" s="450"/>
      <c r="Q15" s="459"/>
      <c r="R15" s="711" t="str">
        <f t="shared" ref="R15" si="30">IF(P15="","",IF(P15="zeer zwak","E-",IF(P15="zwak","E",IF(P15="beneden gemiddeld","D",IF(P15="gemiddeld","C",IF(P15="boven gemiddeld","B",IF(P15="goed","A",IF(P15="zeer goed","A+"))))))))</f>
        <v/>
      </c>
      <c r="S15" s="704" t="str">
        <f t="shared" si="7"/>
        <v/>
      </c>
      <c r="T15" s="450"/>
      <c r="U15" s="459"/>
      <c r="V15" s="711" t="str">
        <f t="shared" ref="V15" si="31">IF(T15="","",IF(T15="zeer zwak","E-",IF(T15="zwak","E",IF(T15="beneden gemiddeld","D",IF(T15="gemiddeld","C",IF(T15="boven gemiddeld","B",IF(T15="goed","A",IF(T15="zeer goed","A+"))))))))</f>
        <v/>
      </c>
      <c r="W15" s="704" t="str">
        <f t="shared" si="9"/>
        <v/>
      </c>
      <c r="X15" s="450"/>
      <c r="Y15" s="459"/>
      <c r="Z15" s="711" t="str">
        <f t="shared" ref="Z15" si="32">IF(X15="","",IF(X15="zeer zwak","E-",IF(X15="zwak","E",IF(X15="beneden gemiddeld","D",IF(X15="gemiddeld","C",IF(X15="boven gemiddeld","B",IF(X15="goed","A",IF(X15="zeer goed","A+"))))))))</f>
        <v/>
      </c>
      <c r="AA15" s="704" t="str">
        <f t="shared" si="11"/>
        <v/>
      </c>
    </row>
    <row r="16" spans="2:27" x14ac:dyDescent="0.25">
      <c r="B16" s="441">
        <v>10</v>
      </c>
      <c r="C16" s="445">
        <f>BEGINBLAD!C13</f>
        <v>0</v>
      </c>
      <c r="D16" s="446"/>
      <c r="E16" s="451"/>
      <c r="F16" s="444" t="str">
        <f t="shared" si="2"/>
        <v/>
      </c>
      <c r="G16" s="710" t="str">
        <f t="shared" si="0"/>
        <v/>
      </c>
      <c r="H16" s="704" t="str">
        <f t="shared" si="3"/>
        <v/>
      </c>
      <c r="I16" s="881" t="str">
        <f>'SIGNALERING HB'!O$5</f>
        <v/>
      </c>
      <c r="J16" s="710" t="str">
        <f t="shared" si="4"/>
        <v/>
      </c>
      <c r="K16" s="704" t="str">
        <f t="shared" si="5"/>
        <v/>
      </c>
      <c r="L16" s="451"/>
      <c r="M16" s="458"/>
      <c r="N16" s="710" t="str">
        <f t="shared" si="1"/>
        <v/>
      </c>
      <c r="O16" s="704"/>
      <c r="P16" s="451"/>
      <c r="Q16" s="458"/>
      <c r="R16" s="710" t="str">
        <f t="shared" ref="R16" si="33">IF(P16="","",IF(P16="zeer zwak","E-",IF(P16="zwak","E",IF(P16="beneden gemiddeld","D",IF(P16="gemiddeld","C",IF(P16="boven gemiddeld","B",IF(P16="goed","A",IF(P16="zeer goed","A+"))))))))</f>
        <v/>
      </c>
      <c r="S16" s="704" t="str">
        <f t="shared" si="7"/>
        <v/>
      </c>
      <c r="T16" s="451"/>
      <c r="U16" s="458"/>
      <c r="V16" s="710" t="str">
        <f t="shared" ref="V16" si="34">IF(T16="","",IF(T16="zeer zwak","E-",IF(T16="zwak","E",IF(T16="beneden gemiddeld","D",IF(T16="gemiddeld","C",IF(T16="boven gemiddeld","B",IF(T16="goed","A",IF(T16="zeer goed","A+"))))))))</f>
        <v/>
      </c>
      <c r="W16" s="704" t="str">
        <f t="shared" si="9"/>
        <v/>
      </c>
      <c r="X16" s="451"/>
      <c r="Y16" s="458"/>
      <c r="Z16" s="710" t="str">
        <f t="shared" ref="Z16" si="35">IF(X16="","",IF(X16="zeer zwak","E-",IF(X16="zwak","E",IF(X16="beneden gemiddeld","D",IF(X16="gemiddeld","C",IF(X16="boven gemiddeld","B",IF(X16="goed","A",IF(X16="zeer goed","A+"))))))))</f>
        <v/>
      </c>
      <c r="AA16" s="704" t="str">
        <f t="shared" si="11"/>
        <v/>
      </c>
    </row>
    <row r="17" spans="2:27" x14ac:dyDescent="0.25">
      <c r="B17" s="441">
        <v>11</v>
      </c>
      <c r="C17" s="442">
        <f>BEGINBLAD!C14</f>
        <v>0</v>
      </c>
      <c r="D17" s="443"/>
      <c r="E17" s="450"/>
      <c r="F17" s="444" t="str">
        <f t="shared" si="2"/>
        <v/>
      </c>
      <c r="G17" s="711" t="str">
        <f t="shared" si="0"/>
        <v/>
      </c>
      <c r="H17" s="704" t="str">
        <f t="shared" si="3"/>
        <v/>
      </c>
      <c r="I17" s="880" t="str">
        <f>'SIGNALERING HB'!P$5</f>
        <v/>
      </c>
      <c r="J17" s="711" t="str">
        <f t="shared" si="4"/>
        <v/>
      </c>
      <c r="K17" s="704" t="str">
        <f t="shared" si="5"/>
        <v/>
      </c>
      <c r="L17" s="450"/>
      <c r="M17" s="459"/>
      <c r="N17" s="711" t="str">
        <f t="shared" si="1"/>
        <v/>
      </c>
      <c r="O17" s="704"/>
      <c r="P17" s="450"/>
      <c r="Q17" s="459"/>
      <c r="R17" s="711" t="str">
        <f t="shared" ref="R17" si="36">IF(P17="","",IF(P17="zeer zwak","E-",IF(P17="zwak","E",IF(P17="beneden gemiddeld","D",IF(P17="gemiddeld","C",IF(P17="boven gemiddeld","B",IF(P17="goed","A",IF(P17="zeer goed","A+"))))))))</f>
        <v/>
      </c>
      <c r="S17" s="704" t="str">
        <f t="shared" si="7"/>
        <v/>
      </c>
      <c r="T17" s="450"/>
      <c r="U17" s="459"/>
      <c r="V17" s="711" t="str">
        <f t="shared" ref="V17" si="37">IF(T17="","",IF(T17="zeer zwak","E-",IF(T17="zwak","E",IF(T17="beneden gemiddeld","D",IF(T17="gemiddeld","C",IF(T17="boven gemiddeld","B",IF(T17="goed","A",IF(T17="zeer goed","A+"))))))))</f>
        <v/>
      </c>
      <c r="W17" s="704" t="str">
        <f t="shared" si="9"/>
        <v/>
      </c>
      <c r="X17" s="450"/>
      <c r="Y17" s="459"/>
      <c r="Z17" s="711" t="str">
        <f t="shared" ref="Z17" si="38">IF(X17="","",IF(X17="zeer zwak","E-",IF(X17="zwak","E",IF(X17="beneden gemiddeld","D",IF(X17="gemiddeld","C",IF(X17="boven gemiddeld","B",IF(X17="goed","A",IF(X17="zeer goed","A+"))))))))</f>
        <v/>
      </c>
      <c r="AA17" s="704" t="str">
        <f t="shared" si="11"/>
        <v/>
      </c>
    </row>
    <row r="18" spans="2:27" x14ac:dyDescent="0.25">
      <c r="B18" s="441">
        <v>12</v>
      </c>
      <c r="C18" s="445">
        <f>BEGINBLAD!C15</f>
        <v>0</v>
      </c>
      <c r="D18" s="446"/>
      <c r="E18" s="451"/>
      <c r="F18" s="444" t="str">
        <f t="shared" si="2"/>
        <v/>
      </c>
      <c r="G18" s="710" t="str">
        <f t="shared" si="0"/>
        <v/>
      </c>
      <c r="H18" s="704" t="str">
        <f t="shared" si="3"/>
        <v/>
      </c>
      <c r="I18" s="881" t="str">
        <f>'SIGNALERING HB'!Q$5</f>
        <v/>
      </c>
      <c r="J18" s="710" t="str">
        <f t="shared" si="4"/>
        <v/>
      </c>
      <c r="K18" s="704" t="str">
        <f t="shared" si="5"/>
        <v/>
      </c>
      <c r="L18" s="451"/>
      <c r="M18" s="458"/>
      <c r="N18" s="710" t="str">
        <f t="shared" si="1"/>
        <v/>
      </c>
      <c r="O18" s="704"/>
      <c r="P18" s="451"/>
      <c r="Q18" s="458"/>
      <c r="R18" s="710" t="str">
        <f t="shared" ref="R18" si="39">IF(P18="","",IF(P18="zeer zwak","E-",IF(P18="zwak","E",IF(P18="beneden gemiddeld","D",IF(P18="gemiddeld","C",IF(P18="boven gemiddeld","B",IF(P18="goed","A",IF(P18="zeer goed","A+"))))))))</f>
        <v/>
      </c>
      <c r="S18" s="704" t="str">
        <f t="shared" si="7"/>
        <v/>
      </c>
      <c r="T18" s="451"/>
      <c r="U18" s="458"/>
      <c r="V18" s="710" t="str">
        <f t="shared" ref="V18" si="40">IF(T18="","",IF(T18="zeer zwak","E-",IF(T18="zwak","E",IF(T18="beneden gemiddeld","D",IF(T18="gemiddeld","C",IF(T18="boven gemiddeld","B",IF(T18="goed","A",IF(T18="zeer goed","A+"))))))))</f>
        <v/>
      </c>
      <c r="W18" s="704" t="str">
        <f t="shared" si="9"/>
        <v/>
      </c>
      <c r="X18" s="451"/>
      <c r="Y18" s="458"/>
      <c r="Z18" s="710" t="str">
        <f t="shared" ref="Z18" si="41">IF(X18="","",IF(X18="zeer zwak","E-",IF(X18="zwak","E",IF(X18="beneden gemiddeld","D",IF(X18="gemiddeld","C",IF(X18="boven gemiddeld","B",IF(X18="goed","A",IF(X18="zeer goed","A+"))))))))</f>
        <v/>
      </c>
      <c r="AA18" s="704" t="str">
        <f t="shared" si="11"/>
        <v/>
      </c>
    </row>
    <row r="19" spans="2:27" x14ac:dyDescent="0.25">
      <c r="B19" s="441">
        <v>13</v>
      </c>
      <c r="C19" s="442">
        <f>BEGINBLAD!C16</f>
        <v>0</v>
      </c>
      <c r="D19" s="443"/>
      <c r="E19" s="450"/>
      <c r="F19" s="444" t="str">
        <f t="shared" si="2"/>
        <v/>
      </c>
      <c r="G19" s="711" t="str">
        <f t="shared" si="0"/>
        <v/>
      </c>
      <c r="H19" s="704" t="str">
        <f t="shared" si="3"/>
        <v/>
      </c>
      <c r="I19" s="880" t="str">
        <f>'SIGNALERING HB'!R$5</f>
        <v/>
      </c>
      <c r="J19" s="711" t="str">
        <f t="shared" si="4"/>
        <v/>
      </c>
      <c r="K19" s="704" t="str">
        <f t="shared" si="5"/>
        <v/>
      </c>
      <c r="L19" s="450"/>
      <c r="M19" s="459"/>
      <c r="N19" s="711" t="str">
        <f t="shared" si="1"/>
        <v/>
      </c>
      <c r="O19" s="704"/>
      <c r="P19" s="450"/>
      <c r="Q19" s="459"/>
      <c r="R19" s="711" t="str">
        <f t="shared" ref="R19" si="42">IF(P19="","",IF(P19="zeer zwak","E-",IF(P19="zwak","E",IF(P19="beneden gemiddeld","D",IF(P19="gemiddeld","C",IF(P19="boven gemiddeld","B",IF(P19="goed","A",IF(P19="zeer goed","A+"))))))))</f>
        <v/>
      </c>
      <c r="S19" s="704" t="str">
        <f t="shared" si="7"/>
        <v/>
      </c>
      <c r="T19" s="450"/>
      <c r="U19" s="459"/>
      <c r="V19" s="711" t="str">
        <f t="shared" ref="V19" si="43">IF(T19="","",IF(T19="zeer zwak","E-",IF(T19="zwak","E",IF(T19="beneden gemiddeld","D",IF(T19="gemiddeld","C",IF(T19="boven gemiddeld","B",IF(T19="goed","A",IF(T19="zeer goed","A+"))))))))</f>
        <v/>
      </c>
      <c r="W19" s="704" t="str">
        <f t="shared" si="9"/>
        <v/>
      </c>
      <c r="X19" s="450"/>
      <c r="Y19" s="459"/>
      <c r="Z19" s="711" t="str">
        <f t="shared" ref="Z19" si="44">IF(X19="","",IF(X19="zeer zwak","E-",IF(X19="zwak","E",IF(X19="beneden gemiddeld","D",IF(X19="gemiddeld","C",IF(X19="boven gemiddeld","B",IF(X19="goed","A",IF(X19="zeer goed","A+"))))))))</f>
        <v/>
      </c>
      <c r="AA19" s="704" t="str">
        <f t="shared" si="11"/>
        <v/>
      </c>
    </row>
    <row r="20" spans="2:27" x14ac:dyDescent="0.25">
      <c r="B20" s="441">
        <v>14</v>
      </c>
      <c r="C20" s="445">
        <f>BEGINBLAD!C17</f>
        <v>0</v>
      </c>
      <c r="D20" s="446"/>
      <c r="E20" s="451"/>
      <c r="F20" s="444" t="str">
        <f t="shared" si="2"/>
        <v/>
      </c>
      <c r="G20" s="710" t="str">
        <f t="shared" si="0"/>
        <v/>
      </c>
      <c r="H20" s="704" t="str">
        <f t="shared" si="3"/>
        <v/>
      </c>
      <c r="I20" s="881" t="str">
        <f>'SIGNALERING HB'!S$5</f>
        <v/>
      </c>
      <c r="J20" s="710" t="str">
        <f t="shared" si="4"/>
        <v/>
      </c>
      <c r="K20" s="704" t="str">
        <f t="shared" si="5"/>
        <v/>
      </c>
      <c r="L20" s="451"/>
      <c r="M20" s="458"/>
      <c r="N20" s="710" t="str">
        <f t="shared" si="1"/>
        <v/>
      </c>
      <c r="O20" s="704"/>
      <c r="P20" s="451"/>
      <c r="Q20" s="458"/>
      <c r="R20" s="710" t="str">
        <f t="shared" ref="R20" si="45">IF(P20="","",IF(P20="zeer zwak","E-",IF(P20="zwak","E",IF(P20="beneden gemiddeld","D",IF(P20="gemiddeld","C",IF(P20="boven gemiddeld","B",IF(P20="goed","A",IF(P20="zeer goed","A+"))))))))</f>
        <v/>
      </c>
      <c r="S20" s="704" t="str">
        <f t="shared" si="7"/>
        <v/>
      </c>
      <c r="T20" s="451"/>
      <c r="U20" s="458"/>
      <c r="V20" s="710" t="str">
        <f t="shared" ref="V20" si="46">IF(T20="","",IF(T20="zeer zwak","E-",IF(T20="zwak","E",IF(T20="beneden gemiddeld","D",IF(T20="gemiddeld","C",IF(T20="boven gemiddeld","B",IF(T20="goed","A",IF(T20="zeer goed","A+"))))))))</f>
        <v/>
      </c>
      <c r="W20" s="704" t="str">
        <f t="shared" si="9"/>
        <v/>
      </c>
      <c r="X20" s="451"/>
      <c r="Y20" s="458"/>
      <c r="Z20" s="710" t="str">
        <f t="shared" ref="Z20" si="47">IF(X20="","",IF(X20="zeer zwak","E-",IF(X20="zwak","E",IF(X20="beneden gemiddeld","D",IF(X20="gemiddeld","C",IF(X20="boven gemiddeld","B",IF(X20="goed","A",IF(X20="zeer goed","A+"))))))))</f>
        <v/>
      </c>
      <c r="AA20" s="704" t="str">
        <f t="shared" si="11"/>
        <v/>
      </c>
    </row>
    <row r="21" spans="2:27" x14ac:dyDescent="0.25">
      <c r="B21" s="441">
        <v>15</v>
      </c>
      <c r="C21" s="442">
        <f>BEGINBLAD!C18</f>
        <v>0</v>
      </c>
      <c r="D21" s="443"/>
      <c r="E21" s="450"/>
      <c r="F21" s="444" t="str">
        <f t="shared" si="2"/>
        <v/>
      </c>
      <c r="G21" s="711" t="str">
        <f t="shared" si="0"/>
        <v/>
      </c>
      <c r="H21" s="704" t="str">
        <f t="shared" si="3"/>
        <v/>
      </c>
      <c r="I21" s="880" t="str">
        <f>'SIGNALERING HB'!T$5</f>
        <v/>
      </c>
      <c r="J21" s="711" t="str">
        <f t="shared" si="4"/>
        <v/>
      </c>
      <c r="K21" s="704" t="str">
        <f t="shared" si="5"/>
        <v/>
      </c>
      <c r="L21" s="450"/>
      <c r="M21" s="459"/>
      <c r="N21" s="711" t="str">
        <f t="shared" si="1"/>
        <v/>
      </c>
      <c r="O21" s="704"/>
      <c r="P21" s="450"/>
      <c r="Q21" s="459"/>
      <c r="R21" s="711" t="str">
        <f t="shared" ref="R21" si="48">IF(P21="","",IF(P21="zeer zwak","E-",IF(P21="zwak","E",IF(P21="beneden gemiddeld","D",IF(P21="gemiddeld","C",IF(P21="boven gemiddeld","B",IF(P21="goed","A",IF(P21="zeer goed","A+"))))))))</f>
        <v/>
      </c>
      <c r="S21" s="704" t="str">
        <f t="shared" si="7"/>
        <v/>
      </c>
      <c r="T21" s="450"/>
      <c r="U21" s="459"/>
      <c r="V21" s="711" t="str">
        <f t="shared" ref="V21" si="49">IF(T21="","",IF(T21="zeer zwak","E-",IF(T21="zwak","E",IF(T21="beneden gemiddeld","D",IF(T21="gemiddeld","C",IF(T21="boven gemiddeld","B",IF(T21="goed","A",IF(T21="zeer goed","A+"))))))))</f>
        <v/>
      </c>
      <c r="W21" s="704" t="str">
        <f t="shared" si="9"/>
        <v/>
      </c>
      <c r="X21" s="450"/>
      <c r="Y21" s="459"/>
      <c r="Z21" s="711" t="str">
        <f t="shared" ref="Z21" si="50">IF(X21="","",IF(X21="zeer zwak","E-",IF(X21="zwak","E",IF(X21="beneden gemiddeld","D",IF(X21="gemiddeld","C",IF(X21="boven gemiddeld","B",IF(X21="goed","A",IF(X21="zeer goed","A+"))))))))</f>
        <v/>
      </c>
      <c r="AA21" s="704" t="str">
        <f t="shared" si="11"/>
        <v/>
      </c>
    </row>
    <row r="22" spans="2:27" x14ac:dyDescent="0.25">
      <c r="B22" s="441">
        <v>16</v>
      </c>
      <c r="C22" s="445">
        <f>BEGINBLAD!C19</f>
        <v>0</v>
      </c>
      <c r="D22" s="446"/>
      <c r="E22" s="451"/>
      <c r="F22" s="444" t="str">
        <f t="shared" si="2"/>
        <v/>
      </c>
      <c r="G22" s="710" t="str">
        <f t="shared" si="0"/>
        <v/>
      </c>
      <c r="H22" s="704" t="str">
        <f t="shared" si="3"/>
        <v/>
      </c>
      <c r="I22" s="881" t="str">
        <f>'SIGNALERING HB'!U$5</f>
        <v/>
      </c>
      <c r="J22" s="710" t="str">
        <f t="shared" si="4"/>
        <v/>
      </c>
      <c r="K22" s="704" t="str">
        <f t="shared" si="5"/>
        <v/>
      </c>
      <c r="L22" s="451"/>
      <c r="M22" s="458"/>
      <c r="N22" s="710" t="str">
        <f t="shared" si="1"/>
        <v/>
      </c>
      <c r="O22" s="704"/>
      <c r="P22" s="451"/>
      <c r="Q22" s="458"/>
      <c r="R22" s="710" t="str">
        <f t="shared" ref="R22" si="51">IF(P22="","",IF(P22="zeer zwak","E-",IF(P22="zwak","E",IF(P22="beneden gemiddeld","D",IF(P22="gemiddeld","C",IF(P22="boven gemiddeld","B",IF(P22="goed","A",IF(P22="zeer goed","A+"))))))))</f>
        <v/>
      </c>
      <c r="S22" s="704" t="str">
        <f t="shared" si="7"/>
        <v/>
      </c>
      <c r="T22" s="451"/>
      <c r="U22" s="458"/>
      <c r="V22" s="710" t="str">
        <f t="shared" ref="V22" si="52">IF(T22="","",IF(T22="zeer zwak","E-",IF(T22="zwak","E",IF(T22="beneden gemiddeld","D",IF(T22="gemiddeld","C",IF(T22="boven gemiddeld","B",IF(T22="goed","A",IF(T22="zeer goed","A+"))))))))</f>
        <v/>
      </c>
      <c r="W22" s="704" t="str">
        <f t="shared" si="9"/>
        <v/>
      </c>
      <c r="X22" s="451"/>
      <c r="Y22" s="458"/>
      <c r="Z22" s="710" t="str">
        <f t="shared" ref="Z22" si="53">IF(X22="","",IF(X22="zeer zwak","E-",IF(X22="zwak","E",IF(X22="beneden gemiddeld","D",IF(X22="gemiddeld","C",IF(X22="boven gemiddeld","B",IF(X22="goed","A",IF(X22="zeer goed","A+"))))))))</f>
        <v/>
      </c>
      <c r="AA22" s="704" t="str">
        <f t="shared" si="11"/>
        <v/>
      </c>
    </row>
    <row r="23" spans="2:27" x14ac:dyDescent="0.25">
      <c r="B23" s="441">
        <v>17</v>
      </c>
      <c r="C23" s="442">
        <f>BEGINBLAD!C20</f>
        <v>0</v>
      </c>
      <c r="D23" s="443"/>
      <c r="E23" s="450"/>
      <c r="F23" s="444" t="str">
        <f t="shared" si="2"/>
        <v/>
      </c>
      <c r="G23" s="711" t="str">
        <f t="shared" si="0"/>
        <v/>
      </c>
      <c r="H23" s="704" t="str">
        <f t="shared" si="3"/>
        <v/>
      </c>
      <c r="I23" s="880" t="str">
        <f>'SIGNALERING HB'!V$5</f>
        <v/>
      </c>
      <c r="J23" s="711" t="str">
        <f t="shared" si="4"/>
        <v/>
      </c>
      <c r="K23" s="704" t="str">
        <f t="shared" si="5"/>
        <v/>
      </c>
      <c r="L23" s="450"/>
      <c r="M23" s="459"/>
      <c r="N23" s="711" t="str">
        <f t="shared" si="1"/>
        <v/>
      </c>
      <c r="O23" s="704"/>
      <c r="P23" s="450"/>
      <c r="Q23" s="459"/>
      <c r="R23" s="711" t="str">
        <f t="shared" ref="R23" si="54">IF(P23="","",IF(P23="zeer zwak","E-",IF(P23="zwak","E",IF(P23="beneden gemiddeld","D",IF(P23="gemiddeld","C",IF(P23="boven gemiddeld","B",IF(P23="goed","A",IF(P23="zeer goed","A+"))))))))</f>
        <v/>
      </c>
      <c r="S23" s="704" t="str">
        <f t="shared" si="7"/>
        <v/>
      </c>
      <c r="T23" s="450"/>
      <c r="U23" s="459"/>
      <c r="V23" s="711" t="str">
        <f t="shared" ref="V23" si="55">IF(T23="","",IF(T23="zeer zwak","E-",IF(T23="zwak","E",IF(T23="beneden gemiddeld","D",IF(T23="gemiddeld","C",IF(T23="boven gemiddeld","B",IF(T23="goed","A",IF(T23="zeer goed","A+"))))))))</f>
        <v/>
      </c>
      <c r="W23" s="704" t="str">
        <f t="shared" si="9"/>
        <v/>
      </c>
      <c r="X23" s="450"/>
      <c r="Y23" s="459"/>
      <c r="Z23" s="711" t="str">
        <f t="shared" ref="Z23" si="56">IF(X23="","",IF(X23="zeer zwak","E-",IF(X23="zwak","E",IF(X23="beneden gemiddeld","D",IF(X23="gemiddeld","C",IF(X23="boven gemiddeld","B",IF(X23="goed","A",IF(X23="zeer goed","A+"))))))))</f>
        <v/>
      </c>
      <c r="AA23" s="704" t="str">
        <f t="shared" si="11"/>
        <v/>
      </c>
    </row>
    <row r="24" spans="2:27" x14ac:dyDescent="0.25">
      <c r="B24" s="441">
        <v>18</v>
      </c>
      <c r="C24" s="445">
        <f>BEGINBLAD!C21</f>
        <v>0</v>
      </c>
      <c r="D24" s="446"/>
      <c r="E24" s="451"/>
      <c r="F24" s="444" t="str">
        <f t="shared" si="2"/>
        <v/>
      </c>
      <c r="G24" s="710" t="str">
        <f t="shared" si="0"/>
        <v/>
      </c>
      <c r="H24" s="704" t="str">
        <f t="shared" si="3"/>
        <v/>
      </c>
      <c r="I24" s="881" t="str">
        <f>'SIGNALERING HB'!W$5</f>
        <v/>
      </c>
      <c r="J24" s="710" t="str">
        <f t="shared" si="4"/>
        <v/>
      </c>
      <c r="K24" s="704" t="str">
        <f t="shared" si="5"/>
        <v/>
      </c>
      <c r="L24" s="451"/>
      <c r="M24" s="458"/>
      <c r="N24" s="710" t="str">
        <f t="shared" si="1"/>
        <v/>
      </c>
      <c r="O24" s="704"/>
      <c r="P24" s="451"/>
      <c r="Q24" s="458"/>
      <c r="R24" s="710" t="str">
        <f t="shared" ref="R24" si="57">IF(P24="","",IF(P24="zeer zwak","E-",IF(P24="zwak","E",IF(P24="beneden gemiddeld","D",IF(P24="gemiddeld","C",IF(P24="boven gemiddeld","B",IF(P24="goed","A",IF(P24="zeer goed","A+"))))))))</f>
        <v/>
      </c>
      <c r="S24" s="704" t="str">
        <f t="shared" si="7"/>
        <v/>
      </c>
      <c r="T24" s="451"/>
      <c r="U24" s="458"/>
      <c r="V24" s="710" t="str">
        <f t="shared" ref="V24" si="58">IF(T24="","",IF(T24="zeer zwak","E-",IF(T24="zwak","E",IF(T24="beneden gemiddeld","D",IF(T24="gemiddeld","C",IF(T24="boven gemiddeld","B",IF(T24="goed","A",IF(T24="zeer goed","A+"))))))))</f>
        <v/>
      </c>
      <c r="W24" s="704" t="str">
        <f t="shared" si="9"/>
        <v/>
      </c>
      <c r="X24" s="451"/>
      <c r="Y24" s="458"/>
      <c r="Z24" s="710" t="str">
        <f t="shared" ref="Z24" si="59">IF(X24="","",IF(X24="zeer zwak","E-",IF(X24="zwak","E",IF(X24="beneden gemiddeld","D",IF(X24="gemiddeld","C",IF(X24="boven gemiddeld","B",IF(X24="goed","A",IF(X24="zeer goed","A+"))))))))</f>
        <v/>
      </c>
      <c r="AA24" s="704" t="str">
        <f t="shared" si="11"/>
        <v/>
      </c>
    </row>
    <row r="25" spans="2:27" x14ac:dyDescent="0.25">
      <c r="B25" s="441">
        <v>19</v>
      </c>
      <c r="C25" s="442">
        <f>BEGINBLAD!C22</f>
        <v>0</v>
      </c>
      <c r="D25" s="443"/>
      <c r="E25" s="450"/>
      <c r="F25" s="444" t="str">
        <f t="shared" si="2"/>
        <v/>
      </c>
      <c r="G25" s="711" t="str">
        <f t="shared" si="0"/>
        <v/>
      </c>
      <c r="H25" s="704" t="str">
        <f t="shared" si="3"/>
        <v/>
      </c>
      <c r="I25" s="880" t="str">
        <f>'SIGNALERING HB'!X$5</f>
        <v/>
      </c>
      <c r="J25" s="711" t="str">
        <f t="shared" si="4"/>
        <v/>
      </c>
      <c r="K25" s="704" t="str">
        <f t="shared" si="5"/>
        <v/>
      </c>
      <c r="L25" s="450"/>
      <c r="M25" s="459"/>
      <c r="N25" s="711" t="str">
        <f t="shared" si="1"/>
        <v/>
      </c>
      <c r="O25" s="704"/>
      <c r="P25" s="450"/>
      <c r="Q25" s="459"/>
      <c r="R25" s="711" t="str">
        <f t="shared" ref="R25" si="60">IF(P25="","",IF(P25="zeer zwak","E-",IF(P25="zwak","E",IF(P25="beneden gemiddeld","D",IF(P25="gemiddeld","C",IF(P25="boven gemiddeld","B",IF(P25="goed","A",IF(P25="zeer goed","A+"))))))))</f>
        <v/>
      </c>
      <c r="S25" s="704" t="str">
        <f t="shared" si="7"/>
        <v/>
      </c>
      <c r="T25" s="450"/>
      <c r="U25" s="459"/>
      <c r="V25" s="711" t="str">
        <f t="shared" ref="V25" si="61">IF(T25="","",IF(T25="zeer zwak","E-",IF(T25="zwak","E",IF(T25="beneden gemiddeld","D",IF(T25="gemiddeld","C",IF(T25="boven gemiddeld","B",IF(T25="goed","A",IF(T25="zeer goed","A+"))))))))</f>
        <v/>
      </c>
      <c r="W25" s="704" t="str">
        <f t="shared" si="9"/>
        <v/>
      </c>
      <c r="X25" s="450"/>
      <c r="Y25" s="459"/>
      <c r="Z25" s="711" t="str">
        <f t="shared" ref="Z25" si="62">IF(X25="","",IF(X25="zeer zwak","E-",IF(X25="zwak","E",IF(X25="beneden gemiddeld","D",IF(X25="gemiddeld","C",IF(X25="boven gemiddeld","B",IF(X25="goed","A",IF(X25="zeer goed","A+"))))))))</f>
        <v/>
      </c>
      <c r="AA25" s="704" t="str">
        <f t="shared" si="11"/>
        <v/>
      </c>
    </row>
    <row r="26" spans="2:27" x14ac:dyDescent="0.25">
      <c r="B26" s="441">
        <v>20</v>
      </c>
      <c r="C26" s="445">
        <f>BEGINBLAD!C23</f>
        <v>0</v>
      </c>
      <c r="D26" s="446"/>
      <c r="E26" s="451"/>
      <c r="F26" s="444" t="str">
        <f t="shared" si="2"/>
        <v/>
      </c>
      <c r="G26" s="710" t="str">
        <f t="shared" si="0"/>
        <v/>
      </c>
      <c r="H26" s="704" t="str">
        <f t="shared" si="3"/>
        <v/>
      </c>
      <c r="I26" s="881" t="str">
        <f>'SIGNALERING HB'!Y$5</f>
        <v/>
      </c>
      <c r="J26" s="710" t="str">
        <f t="shared" si="4"/>
        <v/>
      </c>
      <c r="K26" s="704" t="str">
        <f t="shared" si="5"/>
        <v/>
      </c>
      <c r="L26" s="451"/>
      <c r="M26" s="458"/>
      <c r="N26" s="710" t="str">
        <f t="shared" si="1"/>
        <v/>
      </c>
      <c r="O26" s="704"/>
      <c r="P26" s="451"/>
      <c r="Q26" s="458"/>
      <c r="R26" s="710" t="str">
        <f t="shared" ref="R26" si="63">IF(P26="","",IF(P26="zeer zwak","E-",IF(P26="zwak","E",IF(P26="beneden gemiddeld","D",IF(P26="gemiddeld","C",IF(P26="boven gemiddeld","B",IF(P26="goed","A",IF(P26="zeer goed","A+"))))))))</f>
        <v/>
      </c>
      <c r="S26" s="704" t="str">
        <f t="shared" si="7"/>
        <v/>
      </c>
      <c r="T26" s="451"/>
      <c r="U26" s="458"/>
      <c r="V26" s="710" t="str">
        <f t="shared" ref="V26" si="64">IF(T26="","",IF(T26="zeer zwak","E-",IF(T26="zwak","E",IF(T26="beneden gemiddeld","D",IF(T26="gemiddeld","C",IF(T26="boven gemiddeld","B",IF(T26="goed","A",IF(T26="zeer goed","A+"))))))))</f>
        <v/>
      </c>
      <c r="W26" s="704" t="str">
        <f t="shared" si="9"/>
        <v/>
      </c>
      <c r="X26" s="451"/>
      <c r="Y26" s="458"/>
      <c r="Z26" s="710" t="str">
        <f t="shared" ref="Z26" si="65">IF(X26="","",IF(X26="zeer zwak","E-",IF(X26="zwak","E",IF(X26="beneden gemiddeld","D",IF(X26="gemiddeld","C",IF(X26="boven gemiddeld","B",IF(X26="goed","A",IF(X26="zeer goed","A+"))))))))</f>
        <v/>
      </c>
      <c r="AA26" s="704" t="str">
        <f t="shared" si="11"/>
        <v/>
      </c>
    </row>
    <row r="27" spans="2:27" x14ac:dyDescent="0.25">
      <c r="B27" s="441">
        <v>21</v>
      </c>
      <c r="C27" s="442">
        <f>BEGINBLAD!C24</f>
        <v>0</v>
      </c>
      <c r="D27" s="443"/>
      <c r="E27" s="450"/>
      <c r="F27" s="444" t="str">
        <f t="shared" si="2"/>
        <v/>
      </c>
      <c r="G27" s="711" t="str">
        <f t="shared" si="0"/>
        <v/>
      </c>
      <c r="H27" s="704" t="str">
        <f t="shared" si="3"/>
        <v/>
      </c>
      <c r="I27" s="880" t="str">
        <f>'SIGNALERING HB'!Z$5</f>
        <v/>
      </c>
      <c r="J27" s="711" t="str">
        <f t="shared" si="4"/>
        <v/>
      </c>
      <c r="K27" s="704" t="str">
        <f t="shared" si="5"/>
        <v/>
      </c>
      <c r="L27" s="450"/>
      <c r="M27" s="459"/>
      <c r="N27" s="711" t="str">
        <f t="shared" si="1"/>
        <v/>
      </c>
      <c r="O27" s="704"/>
      <c r="P27" s="450"/>
      <c r="Q27" s="459"/>
      <c r="R27" s="711" t="str">
        <f t="shared" ref="R27" si="66">IF(P27="","",IF(P27="zeer zwak","E-",IF(P27="zwak","E",IF(P27="beneden gemiddeld","D",IF(P27="gemiddeld","C",IF(P27="boven gemiddeld","B",IF(P27="goed","A",IF(P27="zeer goed","A+"))))))))</f>
        <v/>
      </c>
      <c r="S27" s="704" t="str">
        <f t="shared" si="7"/>
        <v/>
      </c>
      <c r="T27" s="450"/>
      <c r="U27" s="459"/>
      <c r="V27" s="711" t="str">
        <f t="shared" ref="V27" si="67">IF(T27="","",IF(T27="zeer zwak","E-",IF(T27="zwak","E",IF(T27="beneden gemiddeld","D",IF(T27="gemiddeld","C",IF(T27="boven gemiddeld","B",IF(T27="goed","A",IF(T27="zeer goed","A+"))))))))</f>
        <v/>
      </c>
      <c r="W27" s="704" t="str">
        <f t="shared" si="9"/>
        <v/>
      </c>
      <c r="X27" s="450"/>
      <c r="Y27" s="459"/>
      <c r="Z27" s="711" t="str">
        <f t="shared" ref="Z27" si="68">IF(X27="","",IF(X27="zeer zwak","E-",IF(X27="zwak","E",IF(X27="beneden gemiddeld","D",IF(X27="gemiddeld","C",IF(X27="boven gemiddeld","B",IF(X27="goed","A",IF(X27="zeer goed","A+"))))))))</f>
        <v/>
      </c>
      <c r="AA27" s="704" t="str">
        <f t="shared" si="11"/>
        <v/>
      </c>
    </row>
    <row r="28" spans="2:27" x14ac:dyDescent="0.25">
      <c r="B28" s="441">
        <v>22</v>
      </c>
      <c r="C28" s="445">
        <f>BEGINBLAD!C25</f>
        <v>0</v>
      </c>
      <c r="D28" s="446"/>
      <c r="E28" s="451"/>
      <c r="F28" s="444" t="str">
        <f t="shared" si="2"/>
        <v/>
      </c>
      <c r="G28" s="710" t="str">
        <f t="shared" si="0"/>
        <v/>
      </c>
      <c r="H28" s="704" t="str">
        <f t="shared" si="3"/>
        <v/>
      </c>
      <c r="I28" s="881" t="str">
        <f>'SIGNALERING HB'!AA$5</f>
        <v/>
      </c>
      <c r="J28" s="710" t="str">
        <f t="shared" si="4"/>
        <v/>
      </c>
      <c r="K28" s="704" t="str">
        <f t="shared" si="5"/>
        <v/>
      </c>
      <c r="L28" s="451"/>
      <c r="M28" s="458"/>
      <c r="N28" s="710" t="str">
        <f t="shared" ref="N28" si="69">IF(L28="","",IF(L28="zeer zwak","E-",IF(L28="zwak","E",IF(L28="beneden gemiddeld","D",IF(L28="gemiddeld","C",IF(L28="boven gemiddeld","B",IF(L28="goed","A",IF(L28="zeer goed","A+"))))))))</f>
        <v/>
      </c>
      <c r="O28" s="704" t="str">
        <f t="shared" ref="O28:O42" si="70">IF(N28="","",IF(N28="A+",5,IF(N28="A",5,IF(N28="B",4,IF(N28="C",3,IF(N28="D",2,IF(N28="E",1,IF(N28="E-",1))))))))</f>
        <v/>
      </c>
      <c r="P28" s="451"/>
      <c r="Q28" s="458"/>
      <c r="R28" s="710" t="str">
        <f t="shared" ref="R28" si="71">IF(P28="","",IF(P28="zeer zwak","E-",IF(P28="zwak","E",IF(P28="beneden gemiddeld","D",IF(P28="gemiddeld","C",IF(P28="boven gemiddeld","B",IF(P28="goed","A",IF(P28="zeer goed","A+"))))))))</f>
        <v/>
      </c>
      <c r="S28" s="704" t="str">
        <f t="shared" si="7"/>
        <v/>
      </c>
      <c r="T28" s="451"/>
      <c r="U28" s="458"/>
      <c r="V28" s="710" t="str">
        <f t="shared" ref="V28" si="72">IF(T28="","",IF(T28="zeer zwak","E-",IF(T28="zwak","E",IF(T28="beneden gemiddeld","D",IF(T28="gemiddeld","C",IF(T28="boven gemiddeld","B",IF(T28="goed","A",IF(T28="zeer goed","A+"))))))))</f>
        <v/>
      </c>
      <c r="W28" s="704" t="str">
        <f t="shared" si="9"/>
        <v/>
      </c>
      <c r="X28" s="451"/>
      <c r="Y28" s="458"/>
      <c r="Z28" s="710" t="str">
        <f t="shared" ref="Z28" si="73">IF(X28="","",IF(X28="zeer zwak","E-",IF(X28="zwak","E",IF(X28="beneden gemiddeld","D",IF(X28="gemiddeld","C",IF(X28="boven gemiddeld","B",IF(X28="goed","A",IF(X28="zeer goed","A+"))))))))</f>
        <v/>
      </c>
      <c r="AA28" s="704" t="str">
        <f t="shared" si="11"/>
        <v/>
      </c>
    </row>
    <row r="29" spans="2:27" x14ac:dyDescent="0.25">
      <c r="B29" s="441">
        <v>23</v>
      </c>
      <c r="C29" s="442">
        <f>BEGINBLAD!C26</f>
        <v>0</v>
      </c>
      <c r="D29" s="443"/>
      <c r="E29" s="450"/>
      <c r="F29" s="444" t="str">
        <f t="shared" si="2"/>
        <v/>
      </c>
      <c r="G29" s="711" t="str">
        <f t="shared" si="0"/>
        <v/>
      </c>
      <c r="H29" s="704" t="str">
        <f t="shared" si="3"/>
        <v/>
      </c>
      <c r="I29" s="880" t="str">
        <f>'SIGNALERING HB'!AB$5</f>
        <v/>
      </c>
      <c r="J29" s="711" t="str">
        <f t="shared" si="4"/>
        <v/>
      </c>
      <c r="K29" s="704" t="str">
        <f t="shared" si="5"/>
        <v/>
      </c>
      <c r="L29" s="450"/>
      <c r="M29" s="459"/>
      <c r="N29" s="711" t="str">
        <f t="shared" ref="N29" si="74">IF(L29="","",IF(L29="zeer zwak","E-",IF(L29="zwak","E",IF(L29="beneden gemiddeld","D",IF(L29="gemiddeld","C",IF(L29="boven gemiddeld","B",IF(L29="goed","A",IF(L29="zeer goed","A+"))))))))</f>
        <v/>
      </c>
      <c r="O29" s="704" t="str">
        <f t="shared" si="70"/>
        <v/>
      </c>
      <c r="P29" s="450"/>
      <c r="Q29" s="459"/>
      <c r="R29" s="711" t="str">
        <f t="shared" ref="R29" si="75">IF(P29="","",IF(P29="zeer zwak","E-",IF(P29="zwak","E",IF(P29="beneden gemiddeld","D",IF(P29="gemiddeld","C",IF(P29="boven gemiddeld","B",IF(P29="goed","A",IF(P29="zeer goed","A+"))))))))</f>
        <v/>
      </c>
      <c r="S29" s="704" t="str">
        <f t="shared" si="7"/>
        <v/>
      </c>
      <c r="T29" s="450"/>
      <c r="U29" s="459"/>
      <c r="V29" s="711" t="str">
        <f t="shared" ref="V29" si="76">IF(T29="","",IF(T29="zeer zwak","E-",IF(T29="zwak","E",IF(T29="beneden gemiddeld","D",IF(T29="gemiddeld","C",IF(T29="boven gemiddeld","B",IF(T29="goed","A",IF(T29="zeer goed","A+"))))))))</f>
        <v/>
      </c>
      <c r="W29" s="704" t="str">
        <f t="shared" si="9"/>
        <v/>
      </c>
      <c r="X29" s="450"/>
      <c r="Y29" s="459"/>
      <c r="Z29" s="711" t="str">
        <f t="shared" ref="Z29" si="77">IF(X29="","",IF(X29="zeer zwak","E-",IF(X29="zwak","E",IF(X29="beneden gemiddeld","D",IF(X29="gemiddeld","C",IF(X29="boven gemiddeld","B",IF(X29="goed","A",IF(X29="zeer goed","A+"))))))))</f>
        <v/>
      </c>
      <c r="AA29" s="704" t="str">
        <f t="shared" si="11"/>
        <v/>
      </c>
    </row>
    <row r="30" spans="2:27" x14ac:dyDescent="0.25">
      <c r="B30" s="441">
        <v>24</v>
      </c>
      <c r="C30" s="445">
        <f>BEGINBLAD!C27</f>
        <v>0</v>
      </c>
      <c r="D30" s="446"/>
      <c r="E30" s="451"/>
      <c r="F30" s="444" t="str">
        <f t="shared" si="2"/>
        <v/>
      </c>
      <c r="G30" s="710" t="str">
        <f t="shared" si="0"/>
        <v/>
      </c>
      <c r="H30" s="704" t="str">
        <f t="shared" si="3"/>
        <v/>
      </c>
      <c r="I30" s="881" t="str">
        <f>'SIGNALERING HB'!AC$5</f>
        <v/>
      </c>
      <c r="J30" s="710" t="str">
        <f t="shared" si="4"/>
        <v/>
      </c>
      <c r="K30" s="704" t="str">
        <f t="shared" si="5"/>
        <v/>
      </c>
      <c r="L30" s="451"/>
      <c r="M30" s="458"/>
      <c r="N30" s="710" t="str">
        <f t="shared" ref="N30" si="78">IF(L30="","",IF(L30="zeer zwak","E-",IF(L30="zwak","E",IF(L30="beneden gemiddeld","D",IF(L30="gemiddeld","C",IF(L30="boven gemiddeld","B",IF(L30="goed","A",IF(L30="zeer goed","A+"))))))))</f>
        <v/>
      </c>
      <c r="O30" s="704" t="str">
        <f t="shared" si="70"/>
        <v/>
      </c>
      <c r="P30" s="451"/>
      <c r="Q30" s="458"/>
      <c r="R30" s="710" t="str">
        <f t="shared" ref="R30" si="79">IF(P30="","",IF(P30="zeer zwak","E-",IF(P30="zwak","E",IF(P30="beneden gemiddeld","D",IF(P30="gemiddeld","C",IF(P30="boven gemiddeld","B",IF(P30="goed","A",IF(P30="zeer goed","A+"))))))))</f>
        <v/>
      </c>
      <c r="S30" s="704" t="str">
        <f t="shared" si="7"/>
        <v/>
      </c>
      <c r="T30" s="451"/>
      <c r="U30" s="458"/>
      <c r="V30" s="710" t="str">
        <f t="shared" ref="V30" si="80">IF(T30="","",IF(T30="zeer zwak","E-",IF(T30="zwak","E",IF(T30="beneden gemiddeld","D",IF(T30="gemiddeld","C",IF(T30="boven gemiddeld","B",IF(T30="goed","A",IF(T30="zeer goed","A+"))))))))</f>
        <v/>
      </c>
      <c r="W30" s="704" t="str">
        <f t="shared" si="9"/>
        <v/>
      </c>
      <c r="X30" s="451"/>
      <c r="Y30" s="458"/>
      <c r="Z30" s="710" t="str">
        <f t="shared" ref="Z30" si="81">IF(X30="","",IF(X30="zeer zwak","E-",IF(X30="zwak","E",IF(X30="beneden gemiddeld","D",IF(X30="gemiddeld","C",IF(X30="boven gemiddeld","B",IF(X30="goed","A",IF(X30="zeer goed","A+"))))))))</f>
        <v/>
      </c>
      <c r="AA30" s="704" t="str">
        <f t="shared" si="11"/>
        <v/>
      </c>
    </row>
    <row r="31" spans="2:27" x14ac:dyDescent="0.25">
      <c r="B31" s="441">
        <v>25</v>
      </c>
      <c r="C31" s="442">
        <f>BEGINBLAD!C28</f>
        <v>0</v>
      </c>
      <c r="D31" s="443"/>
      <c r="E31" s="450"/>
      <c r="F31" s="444" t="str">
        <f t="shared" si="2"/>
        <v/>
      </c>
      <c r="G31" s="711" t="str">
        <f t="shared" si="0"/>
        <v/>
      </c>
      <c r="H31" s="704" t="str">
        <f t="shared" si="3"/>
        <v/>
      </c>
      <c r="I31" s="880" t="str">
        <f>'SIGNALERING HB'!AD$5</f>
        <v/>
      </c>
      <c r="J31" s="711" t="str">
        <f t="shared" si="4"/>
        <v/>
      </c>
      <c r="K31" s="704" t="str">
        <f t="shared" si="5"/>
        <v/>
      </c>
      <c r="L31" s="450"/>
      <c r="M31" s="459"/>
      <c r="N31" s="711" t="str">
        <f t="shared" ref="N31" si="82">IF(L31="","",IF(L31="zeer zwak","E-",IF(L31="zwak","E",IF(L31="beneden gemiddeld","D",IF(L31="gemiddeld","C",IF(L31="boven gemiddeld","B",IF(L31="goed","A",IF(L31="zeer goed","A+"))))))))</f>
        <v/>
      </c>
      <c r="O31" s="704" t="str">
        <f t="shared" si="70"/>
        <v/>
      </c>
      <c r="P31" s="450"/>
      <c r="Q31" s="459"/>
      <c r="R31" s="711" t="str">
        <f t="shared" ref="R31" si="83">IF(P31="","",IF(P31="zeer zwak","E-",IF(P31="zwak","E",IF(P31="beneden gemiddeld","D",IF(P31="gemiddeld","C",IF(P31="boven gemiddeld","B",IF(P31="goed","A",IF(P31="zeer goed","A+"))))))))</f>
        <v/>
      </c>
      <c r="S31" s="704" t="str">
        <f t="shared" si="7"/>
        <v/>
      </c>
      <c r="T31" s="450"/>
      <c r="U31" s="459"/>
      <c r="V31" s="711" t="str">
        <f t="shared" ref="V31" si="84">IF(T31="","",IF(T31="zeer zwak","E-",IF(T31="zwak","E",IF(T31="beneden gemiddeld","D",IF(T31="gemiddeld","C",IF(T31="boven gemiddeld","B",IF(T31="goed","A",IF(T31="zeer goed","A+"))))))))</f>
        <v/>
      </c>
      <c r="W31" s="704" t="str">
        <f t="shared" si="9"/>
        <v/>
      </c>
      <c r="X31" s="450"/>
      <c r="Y31" s="459"/>
      <c r="Z31" s="711" t="str">
        <f t="shared" ref="Z31" si="85">IF(X31="","",IF(X31="zeer zwak","E-",IF(X31="zwak","E",IF(X31="beneden gemiddeld","D",IF(X31="gemiddeld","C",IF(X31="boven gemiddeld","B",IF(X31="goed","A",IF(X31="zeer goed","A+"))))))))</f>
        <v/>
      </c>
      <c r="AA31" s="704" t="str">
        <f t="shared" si="11"/>
        <v/>
      </c>
    </row>
    <row r="32" spans="2:27" x14ac:dyDescent="0.25">
      <c r="B32" s="441">
        <v>26</v>
      </c>
      <c r="C32" s="445">
        <f>BEGINBLAD!C29</f>
        <v>0</v>
      </c>
      <c r="D32" s="446"/>
      <c r="E32" s="451"/>
      <c r="F32" s="444" t="str">
        <f t="shared" si="2"/>
        <v/>
      </c>
      <c r="G32" s="710" t="str">
        <f t="shared" si="0"/>
        <v/>
      </c>
      <c r="H32" s="704" t="str">
        <f t="shared" si="3"/>
        <v/>
      </c>
      <c r="I32" s="881" t="str">
        <f>'SIGNALERING HB'!AE$5</f>
        <v/>
      </c>
      <c r="J32" s="710" t="str">
        <f t="shared" si="4"/>
        <v/>
      </c>
      <c r="K32" s="704" t="str">
        <f t="shared" si="5"/>
        <v/>
      </c>
      <c r="L32" s="451"/>
      <c r="M32" s="458"/>
      <c r="N32" s="710" t="str">
        <f t="shared" ref="N32" si="86">IF(L32="","",IF(L32="zeer zwak","E-",IF(L32="zwak","E",IF(L32="beneden gemiddeld","D",IF(L32="gemiddeld","C",IF(L32="boven gemiddeld","B",IF(L32="goed","A",IF(L32="zeer goed","A+"))))))))</f>
        <v/>
      </c>
      <c r="O32" s="704" t="str">
        <f t="shared" si="70"/>
        <v/>
      </c>
      <c r="P32" s="451"/>
      <c r="Q32" s="458"/>
      <c r="R32" s="710" t="str">
        <f t="shared" ref="R32" si="87">IF(P32="","",IF(P32="zeer zwak","E-",IF(P32="zwak","E",IF(P32="beneden gemiddeld","D",IF(P32="gemiddeld","C",IF(P32="boven gemiddeld","B",IF(P32="goed","A",IF(P32="zeer goed","A+"))))))))</f>
        <v/>
      </c>
      <c r="S32" s="704" t="str">
        <f t="shared" si="7"/>
        <v/>
      </c>
      <c r="T32" s="451"/>
      <c r="U32" s="458"/>
      <c r="V32" s="710" t="str">
        <f t="shared" ref="V32" si="88">IF(T32="","",IF(T32="zeer zwak","E-",IF(T32="zwak","E",IF(T32="beneden gemiddeld","D",IF(T32="gemiddeld","C",IF(T32="boven gemiddeld","B",IF(T32="goed","A",IF(T32="zeer goed","A+"))))))))</f>
        <v/>
      </c>
      <c r="W32" s="704" t="str">
        <f t="shared" si="9"/>
        <v/>
      </c>
      <c r="X32" s="451"/>
      <c r="Y32" s="458"/>
      <c r="Z32" s="710" t="str">
        <f t="shared" ref="Z32" si="89">IF(X32="","",IF(X32="zeer zwak","E-",IF(X32="zwak","E",IF(X32="beneden gemiddeld","D",IF(X32="gemiddeld","C",IF(X32="boven gemiddeld","B",IF(X32="goed","A",IF(X32="zeer goed","A+"))))))))</f>
        <v/>
      </c>
      <c r="AA32" s="704" t="str">
        <f t="shared" si="11"/>
        <v/>
      </c>
    </row>
    <row r="33" spans="2:27" x14ac:dyDescent="0.25">
      <c r="B33" s="441">
        <v>27</v>
      </c>
      <c r="C33" s="442">
        <f>BEGINBLAD!C30</f>
        <v>0</v>
      </c>
      <c r="D33" s="443"/>
      <c r="E33" s="450"/>
      <c r="F33" s="444" t="str">
        <f t="shared" si="2"/>
        <v/>
      </c>
      <c r="G33" s="711" t="str">
        <f t="shared" si="0"/>
        <v/>
      </c>
      <c r="H33" s="704" t="str">
        <f t="shared" si="3"/>
        <v/>
      </c>
      <c r="I33" s="880" t="str">
        <f>'SIGNALERING HB'!AF$5</f>
        <v/>
      </c>
      <c r="J33" s="711" t="str">
        <f t="shared" si="4"/>
        <v/>
      </c>
      <c r="K33" s="704" t="str">
        <f t="shared" si="5"/>
        <v/>
      </c>
      <c r="L33" s="450"/>
      <c r="M33" s="459"/>
      <c r="N33" s="711" t="str">
        <f t="shared" ref="N33" si="90">IF(L33="","",IF(L33="zeer zwak","E-",IF(L33="zwak","E",IF(L33="beneden gemiddeld","D",IF(L33="gemiddeld","C",IF(L33="boven gemiddeld","B",IF(L33="goed","A",IF(L33="zeer goed","A+"))))))))</f>
        <v/>
      </c>
      <c r="O33" s="704" t="str">
        <f t="shared" si="70"/>
        <v/>
      </c>
      <c r="P33" s="450"/>
      <c r="Q33" s="459"/>
      <c r="R33" s="711" t="str">
        <f t="shared" ref="R33" si="91">IF(P33="","",IF(P33="zeer zwak","E-",IF(P33="zwak","E",IF(P33="beneden gemiddeld","D",IF(P33="gemiddeld","C",IF(P33="boven gemiddeld","B",IF(P33="goed","A",IF(P33="zeer goed","A+"))))))))</f>
        <v/>
      </c>
      <c r="S33" s="704" t="str">
        <f t="shared" si="7"/>
        <v/>
      </c>
      <c r="T33" s="450"/>
      <c r="U33" s="459"/>
      <c r="V33" s="711" t="str">
        <f t="shared" ref="V33" si="92">IF(T33="","",IF(T33="zeer zwak","E-",IF(T33="zwak","E",IF(T33="beneden gemiddeld","D",IF(T33="gemiddeld","C",IF(T33="boven gemiddeld","B",IF(T33="goed","A",IF(T33="zeer goed","A+"))))))))</f>
        <v/>
      </c>
      <c r="W33" s="704" t="str">
        <f t="shared" si="9"/>
        <v/>
      </c>
      <c r="X33" s="450"/>
      <c r="Y33" s="459"/>
      <c r="Z33" s="711" t="str">
        <f t="shared" ref="Z33" si="93">IF(X33="","",IF(X33="zeer zwak","E-",IF(X33="zwak","E",IF(X33="beneden gemiddeld","D",IF(X33="gemiddeld","C",IF(X33="boven gemiddeld","B",IF(X33="goed","A",IF(X33="zeer goed","A+"))))))))</f>
        <v/>
      </c>
      <c r="AA33" s="704" t="str">
        <f t="shared" si="11"/>
        <v/>
      </c>
    </row>
    <row r="34" spans="2:27" x14ac:dyDescent="0.25">
      <c r="B34" s="441">
        <v>28</v>
      </c>
      <c r="C34" s="445">
        <f>BEGINBLAD!C31</f>
        <v>0</v>
      </c>
      <c r="D34" s="446"/>
      <c r="E34" s="451"/>
      <c r="F34" s="444" t="str">
        <f t="shared" si="2"/>
        <v/>
      </c>
      <c r="G34" s="710" t="str">
        <f t="shared" si="0"/>
        <v/>
      </c>
      <c r="H34" s="704" t="str">
        <f t="shared" si="3"/>
        <v/>
      </c>
      <c r="I34" s="881" t="str">
        <f>'SIGNALERING HB'!AG$5</f>
        <v/>
      </c>
      <c r="J34" s="710" t="str">
        <f t="shared" si="4"/>
        <v/>
      </c>
      <c r="K34" s="704" t="str">
        <f t="shared" si="5"/>
        <v/>
      </c>
      <c r="L34" s="451"/>
      <c r="M34" s="458"/>
      <c r="N34" s="710" t="str">
        <f t="shared" ref="N34" si="94">IF(L34="","",IF(L34="zeer zwak","E-",IF(L34="zwak","E",IF(L34="beneden gemiddeld","D",IF(L34="gemiddeld","C",IF(L34="boven gemiddeld","B",IF(L34="goed","A",IF(L34="zeer goed","A+"))))))))</f>
        <v/>
      </c>
      <c r="O34" s="704" t="str">
        <f t="shared" si="70"/>
        <v/>
      </c>
      <c r="P34" s="451"/>
      <c r="Q34" s="458"/>
      <c r="R34" s="710" t="str">
        <f t="shared" ref="R34" si="95">IF(P34="","",IF(P34="zeer zwak","E-",IF(P34="zwak","E",IF(P34="beneden gemiddeld","D",IF(P34="gemiddeld","C",IF(P34="boven gemiddeld","B",IF(P34="goed","A",IF(P34="zeer goed","A+"))))))))</f>
        <v/>
      </c>
      <c r="S34" s="704" t="str">
        <f t="shared" si="7"/>
        <v/>
      </c>
      <c r="T34" s="451"/>
      <c r="U34" s="458"/>
      <c r="V34" s="710" t="str">
        <f t="shared" ref="V34" si="96">IF(T34="","",IF(T34="zeer zwak","E-",IF(T34="zwak","E",IF(T34="beneden gemiddeld","D",IF(T34="gemiddeld","C",IF(T34="boven gemiddeld","B",IF(T34="goed","A",IF(T34="zeer goed","A+"))))))))</f>
        <v/>
      </c>
      <c r="W34" s="704" t="str">
        <f t="shared" si="9"/>
        <v/>
      </c>
      <c r="X34" s="451"/>
      <c r="Y34" s="458"/>
      <c r="Z34" s="710" t="str">
        <f t="shared" ref="Z34" si="97">IF(X34="","",IF(X34="zeer zwak","E-",IF(X34="zwak","E",IF(X34="beneden gemiddeld","D",IF(X34="gemiddeld","C",IF(X34="boven gemiddeld","B",IF(X34="goed","A",IF(X34="zeer goed","A+"))))))))</f>
        <v/>
      </c>
      <c r="AA34" s="704" t="str">
        <f t="shared" si="11"/>
        <v/>
      </c>
    </row>
    <row r="35" spans="2:27" x14ac:dyDescent="0.25">
      <c r="B35" s="441">
        <v>29</v>
      </c>
      <c r="C35" s="442">
        <f>BEGINBLAD!C32</f>
        <v>0</v>
      </c>
      <c r="D35" s="443"/>
      <c r="E35" s="450"/>
      <c r="F35" s="444" t="str">
        <f t="shared" si="2"/>
        <v/>
      </c>
      <c r="G35" s="711" t="str">
        <f t="shared" si="0"/>
        <v/>
      </c>
      <c r="H35" s="704" t="str">
        <f t="shared" si="3"/>
        <v/>
      </c>
      <c r="I35" s="880" t="str">
        <f>'SIGNALERING HB'!AH$5</f>
        <v/>
      </c>
      <c r="J35" s="711" t="str">
        <f t="shared" si="4"/>
        <v/>
      </c>
      <c r="K35" s="704" t="str">
        <f t="shared" si="5"/>
        <v/>
      </c>
      <c r="L35" s="450"/>
      <c r="M35" s="459"/>
      <c r="N35" s="711" t="str">
        <f t="shared" ref="N35" si="98">IF(L35="","",IF(L35="zeer zwak","E-",IF(L35="zwak","E",IF(L35="beneden gemiddeld","D",IF(L35="gemiddeld","C",IF(L35="boven gemiddeld","B",IF(L35="goed","A",IF(L35="zeer goed","A+"))))))))</f>
        <v/>
      </c>
      <c r="O35" s="704" t="str">
        <f t="shared" si="70"/>
        <v/>
      </c>
      <c r="P35" s="450"/>
      <c r="Q35" s="459"/>
      <c r="R35" s="711" t="str">
        <f t="shared" ref="R35" si="99">IF(P35="","",IF(P35="zeer zwak","E-",IF(P35="zwak","E",IF(P35="beneden gemiddeld","D",IF(P35="gemiddeld","C",IF(P35="boven gemiddeld","B",IF(P35="goed","A",IF(P35="zeer goed","A+"))))))))</f>
        <v/>
      </c>
      <c r="S35" s="704" t="str">
        <f t="shared" si="7"/>
        <v/>
      </c>
      <c r="T35" s="450"/>
      <c r="U35" s="459"/>
      <c r="V35" s="711" t="str">
        <f t="shared" ref="V35" si="100">IF(T35="","",IF(T35="zeer zwak","E-",IF(T35="zwak","E",IF(T35="beneden gemiddeld","D",IF(T35="gemiddeld","C",IF(T35="boven gemiddeld","B",IF(T35="goed","A",IF(T35="zeer goed","A+"))))))))</f>
        <v/>
      </c>
      <c r="W35" s="704" t="str">
        <f t="shared" si="9"/>
        <v/>
      </c>
      <c r="X35" s="450"/>
      <c r="Y35" s="459"/>
      <c r="Z35" s="711" t="str">
        <f t="shared" ref="Z35" si="101">IF(X35="","",IF(X35="zeer zwak","E-",IF(X35="zwak","E",IF(X35="beneden gemiddeld","D",IF(X35="gemiddeld","C",IF(X35="boven gemiddeld","B",IF(X35="goed","A",IF(X35="zeer goed","A+"))))))))</f>
        <v/>
      </c>
      <c r="AA35" s="704" t="str">
        <f t="shared" si="11"/>
        <v/>
      </c>
    </row>
    <row r="36" spans="2:27" x14ac:dyDescent="0.25">
      <c r="B36" s="441">
        <v>30</v>
      </c>
      <c r="C36" s="445">
        <f>BEGINBLAD!C33</f>
        <v>0</v>
      </c>
      <c r="D36" s="446"/>
      <c r="E36" s="451"/>
      <c r="F36" s="444" t="str">
        <f t="shared" si="2"/>
        <v/>
      </c>
      <c r="G36" s="710" t="str">
        <f t="shared" si="0"/>
        <v/>
      </c>
      <c r="H36" s="704" t="str">
        <f t="shared" si="3"/>
        <v/>
      </c>
      <c r="I36" s="881" t="str">
        <f>'SIGNALERING HB'!AI$5</f>
        <v/>
      </c>
      <c r="J36" s="710" t="str">
        <f t="shared" si="4"/>
        <v/>
      </c>
      <c r="K36" s="704" t="str">
        <f t="shared" si="5"/>
        <v/>
      </c>
      <c r="L36" s="451"/>
      <c r="M36" s="458"/>
      <c r="N36" s="710" t="str">
        <f t="shared" ref="N36" si="102">IF(L36="","",IF(L36="zeer zwak","E-",IF(L36="zwak","E",IF(L36="beneden gemiddeld","D",IF(L36="gemiddeld","C",IF(L36="boven gemiddeld","B",IF(L36="goed","A",IF(L36="zeer goed","A+"))))))))</f>
        <v/>
      </c>
      <c r="O36" s="704" t="str">
        <f t="shared" si="70"/>
        <v/>
      </c>
      <c r="P36" s="451"/>
      <c r="Q36" s="458"/>
      <c r="R36" s="710" t="str">
        <f t="shared" ref="R36" si="103">IF(P36="","",IF(P36="zeer zwak","E-",IF(P36="zwak","E",IF(P36="beneden gemiddeld","D",IF(P36="gemiddeld","C",IF(P36="boven gemiddeld","B",IF(P36="goed","A",IF(P36="zeer goed","A+"))))))))</f>
        <v/>
      </c>
      <c r="S36" s="704" t="str">
        <f t="shared" si="7"/>
        <v/>
      </c>
      <c r="T36" s="451"/>
      <c r="U36" s="458"/>
      <c r="V36" s="710" t="str">
        <f t="shared" ref="V36" si="104">IF(T36="","",IF(T36="zeer zwak","E-",IF(T36="zwak","E",IF(T36="beneden gemiddeld","D",IF(T36="gemiddeld","C",IF(T36="boven gemiddeld","B",IF(T36="goed","A",IF(T36="zeer goed","A+"))))))))</f>
        <v/>
      </c>
      <c r="W36" s="704" t="str">
        <f t="shared" si="9"/>
        <v/>
      </c>
      <c r="X36" s="451"/>
      <c r="Y36" s="458"/>
      <c r="Z36" s="710" t="str">
        <f t="shared" ref="Z36" si="105">IF(X36="","",IF(X36="zeer zwak","E-",IF(X36="zwak","E",IF(X36="beneden gemiddeld","D",IF(X36="gemiddeld","C",IF(X36="boven gemiddeld","B",IF(X36="goed","A",IF(X36="zeer goed","A+"))))))))</f>
        <v/>
      </c>
      <c r="AA36" s="704" t="str">
        <f t="shared" si="11"/>
        <v/>
      </c>
    </row>
    <row r="37" spans="2:27" x14ac:dyDescent="0.25">
      <c r="B37" s="441">
        <v>31</v>
      </c>
      <c r="C37" s="442">
        <f>BEGINBLAD!C34</f>
        <v>0</v>
      </c>
      <c r="D37" s="443"/>
      <c r="E37" s="450"/>
      <c r="F37" s="444" t="str">
        <f t="shared" si="2"/>
        <v/>
      </c>
      <c r="G37" s="711" t="str">
        <f t="shared" si="0"/>
        <v/>
      </c>
      <c r="H37" s="704" t="str">
        <f t="shared" si="3"/>
        <v/>
      </c>
      <c r="I37" s="880" t="str">
        <f>'SIGNALERING HB'!AJ$5</f>
        <v/>
      </c>
      <c r="J37" s="711" t="str">
        <f t="shared" si="4"/>
        <v/>
      </c>
      <c r="K37" s="704" t="str">
        <f t="shared" si="5"/>
        <v/>
      </c>
      <c r="L37" s="450"/>
      <c r="M37" s="459"/>
      <c r="N37" s="711" t="str">
        <f t="shared" ref="N37" si="106">IF(L37="","",IF(L37="zeer zwak","E-",IF(L37="zwak","E",IF(L37="beneden gemiddeld","D",IF(L37="gemiddeld","C",IF(L37="boven gemiddeld","B",IF(L37="goed","A",IF(L37="zeer goed","A+"))))))))</f>
        <v/>
      </c>
      <c r="O37" s="704" t="str">
        <f t="shared" si="70"/>
        <v/>
      </c>
      <c r="P37" s="450"/>
      <c r="Q37" s="459"/>
      <c r="R37" s="711" t="str">
        <f t="shared" ref="R37" si="107">IF(P37="","",IF(P37="zeer zwak","E-",IF(P37="zwak","E",IF(P37="beneden gemiddeld","D",IF(P37="gemiddeld","C",IF(P37="boven gemiddeld","B",IF(P37="goed","A",IF(P37="zeer goed","A+"))))))))</f>
        <v/>
      </c>
      <c r="S37" s="704" t="str">
        <f t="shared" si="7"/>
        <v/>
      </c>
      <c r="T37" s="450"/>
      <c r="U37" s="459"/>
      <c r="V37" s="711" t="str">
        <f t="shared" ref="V37" si="108">IF(T37="","",IF(T37="zeer zwak","E-",IF(T37="zwak","E",IF(T37="beneden gemiddeld","D",IF(T37="gemiddeld","C",IF(T37="boven gemiddeld","B",IF(T37="goed","A",IF(T37="zeer goed","A+"))))))))</f>
        <v/>
      </c>
      <c r="W37" s="704" t="str">
        <f t="shared" si="9"/>
        <v/>
      </c>
      <c r="X37" s="450"/>
      <c r="Y37" s="459"/>
      <c r="Z37" s="711" t="str">
        <f t="shared" ref="Z37" si="109">IF(X37="","",IF(X37="zeer zwak","E-",IF(X37="zwak","E",IF(X37="beneden gemiddeld","D",IF(X37="gemiddeld","C",IF(X37="boven gemiddeld","B",IF(X37="goed","A",IF(X37="zeer goed","A+"))))))))</f>
        <v/>
      </c>
      <c r="AA37" s="704" t="str">
        <f t="shared" si="11"/>
        <v/>
      </c>
    </row>
    <row r="38" spans="2:27" x14ac:dyDescent="0.25">
      <c r="B38" s="441">
        <v>32</v>
      </c>
      <c r="C38" s="445">
        <f>BEGINBLAD!C35</f>
        <v>0</v>
      </c>
      <c r="D38" s="446"/>
      <c r="E38" s="451"/>
      <c r="F38" s="444" t="str">
        <f t="shared" si="2"/>
        <v/>
      </c>
      <c r="G38" s="710" t="str">
        <f t="shared" si="0"/>
        <v/>
      </c>
      <c r="H38" s="704" t="str">
        <f t="shared" si="3"/>
        <v/>
      </c>
      <c r="I38" s="881" t="str">
        <f>'SIGNALERING HB'!AK$5</f>
        <v/>
      </c>
      <c r="J38" s="710" t="str">
        <f t="shared" si="4"/>
        <v/>
      </c>
      <c r="K38" s="704" t="str">
        <f t="shared" si="5"/>
        <v/>
      </c>
      <c r="L38" s="451"/>
      <c r="M38" s="458"/>
      <c r="N38" s="710" t="str">
        <f t="shared" ref="N38" si="110">IF(L38="","",IF(L38="zeer zwak","E-",IF(L38="zwak","E",IF(L38="beneden gemiddeld","D",IF(L38="gemiddeld","C",IF(L38="boven gemiddeld","B",IF(L38="goed","A",IF(L38="zeer goed","A+"))))))))</f>
        <v/>
      </c>
      <c r="O38" s="704" t="str">
        <f t="shared" si="70"/>
        <v/>
      </c>
      <c r="P38" s="451"/>
      <c r="Q38" s="458"/>
      <c r="R38" s="710" t="str">
        <f t="shared" ref="R38" si="111">IF(P38="","",IF(P38="zeer zwak","E-",IF(P38="zwak","E",IF(P38="beneden gemiddeld","D",IF(P38="gemiddeld","C",IF(P38="boven gemiddeld","B",IF(P38="goed","A",IF(P38="zeer goed","A+"))))))))</f>
        <v/>
      </c>
      <c r="S38" s="704" t="str">
        <f t="shared" si="7"/>
        <v/>
      </c>
      <c r="T38" s="451"/>
      <c r="U38" s="458"/>
      <c r="V38" s="710" t="str">
        <f t="shared" ref="V38" si="112">IF(T38="","",IF(T38="zeer zwak","E-",IF(T38="zwak","E",IF(T38="beneden gemiddeld","D",IF(T38="gemiddeld","C",IF(T38="boven gemiddeld","B",IF(T38="goed","A",IF(T38="zeer goed","A+"))))))))</f>
        <v/>
      </c>
      <c r="W38" s="704" t="str">
        <f t="shared" si="9"/>
        <v/>
      </c>
      <c r="X38" s="451"/>
      <c r="Y38" s="458"/>
      <c r="Z38" s="710" t="str">
        <f t="shared" ref="Z38" si="113">IF(X38="","",IF(X38="zeer zwak","E-",IF(X38="zwak","E",IF(X38="beneden gemiddeld","D",IF(X38="gemiddeld","C",IF(X38="boven gemiddeld","B",IF(X38="goed","A",IF(X38="zeer goed","A+"))))))))</f>
        <v/>
      </c>
      <c r="AA38" s="704" t="str">
        <f t="shared" si="11"/>
        <v/>
      </c>
    </row>
    <row r="39" spans="2:27" x14ac:dyDescent="0.25">
      <c r="B39" s="441">
        <v>33</v>
      </c>
      <c r="C39" s="442">
        <f>BEGINBLAD!C36</f>
        <v>0</v>
      </c>
      <c r="D39" s="443"/>
      <c r="E39" s="450"/>
      <c r="F39" s="444" t="str">
        <f t="shared" si="2"/>
        <v/>
      </c>
      <c r="G39" s="711" t="str">
        <f t="shared" si="0"/>
        <v/>
      </c>
      <c r="H39" s="704" t="str">
        <f t="shared" si="3"/>
        <v/>
      </c>
      <c r="I39" s="880" t="str">
        <f>'SIGNALERING HB'!AL$5</f>
        <v/>
      </c>
      <c r="J39" s="711" t="str">
        <f t="shared" si="4"/>
        <v/>
      </c>
      <c r="K39" s="704" t="str">
        <f t="shared" si="5"/>
        <v/>
      </c>
      <c r="L39" s="450"/>
      <c r="M39" s="459"/>
      <c r="N39" s="711" t="str">
        <f t="shared" ref="N39" si="114">IF(L39="","",IF(L39="zeer zwak","E-",IF(L39="zwak","E",IF(L39="beneden gemiddeld","D",IF(L39="gemiddeld","C",IF(L39="boven gemiddeld","B",IF(L39="goed","A",IF(L39="zeer goed","A+"))))))))</f>
        <v/>
      </c>
      <c r="O39" s="704" t="str">
        <f t="shared" si="70"/>
        <v/>
      </c>
      <c r="P39" s="450"/>
      <c r="Q39" s="459"/>
      <c r="R39" s="711" t="str">
        <f t="shared" ref="R39" si="115">IF(P39="","",IF(P39="zeer zwak","E-",IF(P39="zwak","E",IF(P39="beneden gemiddeld","D",IF(P39="gemiddeld","C",IF(P39="boven gemiddeld","B",IF(P39="goed","A",IF(P39="zeer goed","A+"))))))))</f>
        <v/>
      </c>
      <c r="S39" s="704" t="str">
        <f t="shared" si="7"/>
        <v/>
      </c>
      <c r="T39" s="450"/>
      <c r="U39" s="459"/>
      <c r="V39" s="711" t="str">
        <f t="shared" ref="V39" si="116">IF(T39="","",IF(T39="zeer zwak","E-",IF(T39="zwak","E",IF(T39="beneden gemiddeld","D",IF(T39="gemiddeld","C",IF(T39="boven gemiddeld","B",IF(T39="goed","A",IF(T39="zeer goed","A+"))))))))</f>
        <v/>
      </c>
      <c r="W39" s="704" t="str">
        <f t="shared" si="9"/>
        <v/>
      </c>
      <c r="X39" s="450"/>
      <c r="Y39" s="459"/>
      <c r="Z39" s="711" t="str">
        <f t="shared" ref="Z39" si="117">IF(X39="","",IF(X39="zeer zwak","E-",IF(X39="zwak","E",IF(X39="beneden gemiddeld","D",IF(X39="gemiddeld","C",IF(X39="boven gemiddeld","B",IF(X39="goed","A",IF(X39="zeer goed","A+"))))))))</f>
        <v/>
      </c>
      <c r="AA39" s="704" t="str">
        <f t="shared" si="11"/>
        <v/>
      </c>
    </row>
    <row r="40" spans="2:27" x14ac:dyDescent="0.25">
      <c r="B40" s="441">
        <v>34</v>
      </c>
      <c r="C40" s="445">
        <f>BEGINBLAD!C37</f>
        <v>0</v>
      </c>
      <c r="D40" s="446"/>
      <c r="E40" s="451"/>
      <c r="F40" s="444" t="str">
        <f t="shared" si="2"/>
        <v/>
      </c>
      <c r="G40" s="710" t="str">
        <f t="shared" si="0"/>
        <v/>
      </c>
      <c r="H40" s="704" t="str">
        <f t="shared" si="3"/>
        <v/>
      </c>
      <c r="I40" s="881" t="str">
        <f>'SIGNALERING HB'!AM$5</f>
        <v/>
      </c>
      <c r="J40" s="710" t="str">
        <f t="shared" si="4"/>
        <v/>
      </c>
      <c r="K40" s="704" t="str">
        <f t="shared" si="5"/>
        <v/>
      </c>
      <c r="L40" s="451"/>
      <c r="M40" s="458"/>
      <c r="N40" s="710" t="str">
        <f t="shared" ref="N40" si="118">IF(L40="","",IF(L40="zeer zwak","E-",IF(L40="zwak","E",IF(L40="beneden gemiddeld","D",IF(L40="gemiddeld","C",IF(L40="boven gemiddeld","B",IF(L40="goed","A",IF(L40="zeer goed","A+"))))))))</f>
        <v/>
      </c>
      <c r="O40" s="704" t="str">
        <f t="shared" si="70"/>
        <v/>
      </c>
      <c r="P40" s="451"/>
      <c r="Q40" s="458"/>
      <c r="R40" s="710" t="str">
        <f t="shared" ref="R40" si="119">IF(P40="","",IF(P40="zeer zwak","E-",IF(P40="zwak","E",IF(P40="beneden gemiddeld","D",IF(P40="gemiddeld","C",IF(P40="boven gemiddeld","B",IF(P40="goed","A",IF(P40="zeer goed","A+"))))))))</f>
        <v/>
      </c>
      <c r="S40" s="704" t="str">
        <f t="shared" si="7"/>
        <v/>
      </c>
      <c r="T40" s="451"/>
      <c r="U40" s="458"/>
      <c r="V40" s="710" t="str">
        <f t="shared" ref="V40" si="120">IF(T40="","",IF(T40="zeer zwak","E-",IF(T40="zwak","E",IF(T40="beneden gemiddeld","D",IF(T40="gemiddeld","C",IF(T40="boven gemiddeld","B",IF(T40="goed","A",IF(T40="zeer goed","A+"))))))))</f>
        <v/>
      </c>
      <c r="W40" s="704" t="str">
        <f t="shared" si="9"/>
        <v/>
      </c>
      <c r="X40" s="451"/>
      <c r="Y40" s="458"/>
      <c r="Z40" s="710" t="str">
        <f t="shared" ref="Z40" si="121">IF(X40="","",IF(X40="zeer zwak","E-",IF(X40="zwak","E",IF(X40="beneden gemiddeld","D",IF(X40="gemiddeld","C",IF(X40="boven gemiddeld","B",IF(X40="goed","A",IF(X40="zeer goed","A+"))))))))</f>
        <v/>
      </c>
      <c r="AA40" s="704" t="str">
        <f t="shared" si="11"/>
        <v/>
      </c>
    </row>
    <row r="41" spans="2:27" x14ac:dyDescent="0.25">
      <c r="B41" s="441">
        <v>35</v>
      </c>
      <c r="C41" s="442">
        <f>BEGINBLAD!C38</f>
        <v>0</v>
      </c>
      <c r="D41" s="443"/>
      <c r="E41" s="450"/>
      <c r="F41" s="444"/>
      <c r="G41" s="711"/>
      <c r="H41" s="704" t="str">
        <f t="shared" si="3"/>
        <v/>
      </c>
      <c r="I41" s="880" t="str">
        <f>'SIGNALERING HB'!AN$5</f>
        <v/>
      </c>
      <c r="J41" s="711" t="str">
        <f t="shared" si="4"/>
        <v/>
      </c>
      <c r="K41" s="704" t="str">
        <f t="shared" si="5"/>
        <v/>
      </c>
      <c r="L41" s="450"/>
      <c r="M41" s="459"/>
      <c r="N41" s="711" t="str">
        <f t="shared" ref="N41" si="122">IF(L41="","",IF(L41="zeer zwak","E-",IF(L41="zwak","E",IF(L41="beneden gemiddeld","D",IF(L41="gemiddeld","C",IF(L41="boven gemiddeld","B",IF(L41="goed","A",IF(L41="zeer goed","A+"))))))))</f>
        <v/>
      </c>
      <c r="O41" s="704" t="str">
        <f t="shared" si="70"/>
        <v/>
      </c>
      <c r="P41" s="450"/>
      <c r="Q41" s="459"/>
      <c r="R41" s="711" t="str">
        <f t="shared" ref="R41" si="123">IF(P41="","",IF(P41="zeer zwak","E-",IF(P41="zwak","E",IF(P41="beneden gemiddeld","D",IF(P41="gemiddeld","C",IF(P41="boven gemiddeld","B",IF(P41="goed","A",IF(P41="zeer goed","A+"))))))))</f>
        <v/>
      </c>
      <c r="S41" s="704" t="str">
        <f t="shared" si="7"/>
        <v/>
      </c>
      <c r="T41" s="450"/>
      <c r="U41" s="459"/>
      <c r="V41" s="711" t="str">
        <f t="shared" ref="V41" si="124">IF(T41="","",IF(T41="zeer zwak","E-",IF(T41="zwak","E",IF(T41="beneden gemiddeld","D",IF(T41="gemiddeld","C",IF(T41="boven gemiddeld","B",IF(T41="goed","A",IF(T41="zeer goed","A+"))))))))</f>
        <v/>
      </c>
      <c r="W41" s="704" t="str">
        <f t="shared" si="9"/>
        <v/>
      </c>
      <c r="X41" s="450"/>
      <c r="Y41" s="459"/>
      <c r="Z41" s="711" t="str">
        <f t="shared" ref="Z41" si="125">IF(X41="","",IF(X41="zeer zwak","E-",IF(X41="zwak","E",IF(X41="beneden gemiddeld","D",IF(X41="gemiddeld","C",IF(X41="boven gemiddeld","B",IF(X41="goed","A",IF(X41="zeer goed","A+"))))))))</f>
        <v/>
      </c>
      <c r="AA41" s="704" t="str">
        <f t="shared" si="11"/>
        <v/>
      </c>
    </row>
    <row r="42" spans="2:27" x14ac:dyDescent="0.25">
      <c r="B42" s="441">
        <v>36</v>
      </c>
      <c r="C42" s="445">
        <f>BEGINBLAD!C39</f>
        <v>0</v>
      </c>
      <c r="D42" s="446"/>
      <c r="E42" s="452"/>
      <c r="F42" s="453" t="str">
        <f t="shared" si="2"/>
        <v/>
      </c>
      <c r="G42" s="712" t="str">
        <f>IF(E42="","",IF(E42="zeer zwak","E-",IF(E42="zwak","E",IF(E42="beneden gemiddeld","D",IF(E42="gemiddeld","C",IF(E42="boven gemiddeld","B",IF(E42="goed","A",IF(E42="zeer goed","A+"))))))))</f>
        <v/>
      </c>
      <c r="H42" s="704" t="str">
        <f t="shared" si="3"/>
        <v/>
      </c>
      <c r="I42" s="882" t="str">
        <f>'SIGNALERING HB'!AO$5</f>
        <v/>
      </c>
      <c r="J42" s="712" t="str">
        <f t="shared" si="4"/>
        <v/>
      </c>
      <c r="K42" s="704" t="str">
        <f t="shared" si="5"/>
        <v/>
      </c>
      <c r="L42" s="452"/>
      <c r="M42" s="460"/>
      <c r="N42" s="712" t="str">
        <f t="shared" ref="N42" si="126">IF(L42="","",IF(L42="zeer zwak","E-",IF(L42="zwak","E",IF(L42="beneden gemiddeld","D",IF(L42="gemiddeld","C",IF(L42="boven gemiddeld","B",IF(L42="goed","A",IF(L42="zeer goed","A+"))))))))</f>
        <v/>
      </c>
      <c r="O42" s="704" t="str">
        <f t="shared" si="70"/>
        <v/>
      </c>
      <c r="P42" s="452"/>
      <c r="Q42" s="460"/>
      <c r="R42" s="712" t="str">
        <f t="shared" ref="R42" si="127">IF(P42="","",IF(P42="zeer zwak","E-",IF(P42="zwak","E",IF(P42="beneden gemiddeld","D",IF(P42="gemiddeld","C",IF(P42="boven gemiddeld","B",IF(P42="goed","A",IF(P42="zeer goed","A+"))))))))</f>
        <v/>
      </c>
      <c r="S42" s="704" t="str">
        <f t="shared" si="7"/>
        <v/>
      </c>
      <c r="T42" s="452"/>
      <c r="U42" s="460"/>
      <c r="V42" s="712" t="str">
        <f t="shared" ref="V42" si="128">IF(T42="","",IF(T42="zeer zwak","E-",IF(T42="zwak","E",IF(T42="beneden gemiddeld","D",IF(T42="gemiddeld","C",IF(T42="boven gemiddeld","B",IF(T42="goed","A",IF(T42="zeer goed","A+"))))))))</f>
        <v/>
      </c>
      <c r="W42" s="704" t="str">
        <f t="shared" si="9"/>
        <v/>
      </c>
      <c r="X42" s="452"/>
      <c r="Y42" s="460"/>
      <c r="Z42" s="712" t="str">
        <f t="shared" ref="Z42" si="129">IF(X42="","",IF(X42="zeer zwak","E-",IF(X42="zwak","E",IF(X42="beneden gemiddeld","D",IF(X42="gemiddeld","C",IF(X42="boven gemiddeld","B",IF(X42="goed","A",IF(X42="zeer goed","A+"))))))))</f>
        <v/>
      </c>
      <c r="AA42" s="704" t="str">
        <f t="shared" si="11"/>
        <v/>
      </c>
    </row>
    <row r="43" spans="2:27" x14ac:dyDescent="0.25">
      <c r="B43" s="537"/>
      <c r="C43" s="316" t="s">
        <v>85</v>
      </c>
      <c r="D43" s="169">
        <f>BEGINBLAD!$D$40</f>
        <v>8</v>
      </c>
      <c r="E43" s="316" t="s">
        <v>254</v>
      </c>
      <c r="F43" s="317"/>
      <c r="G43" s="705" t="str">
        <f>IF(H43=0,"",IF(H43&lt;1,"E-",IF(H43&lt;1,"E",IF(H43&lt;2,"D",IF(H43&lt;3,"C",IF(H43&lt;4,"B",IF(H43&lt;=5,"A",IF(H43&gt;=5,"A+"))))))))</f>
        <v>A</v>
      </c>
      <c r="H43" s="705">
        <f>AVERAGE(H7:H42)</f>
        <v>4</v>
      </c>
      <c r="I43" s="316" t="s">
        <v>254</v>
      </c>
      <c r="J43" s="705" t="str">
        <f>IF(K43=0,"",IF(K43&lt;1,"E-",IF(K43&lt;1,"E",IF(K43&lt;2,"D",IF(K43&lt;3,"C",IF(K43&lt;4,"B",IF(K43&lt;=5,"A",IF(K43&gt;=5,"A+"))))))))</f>
        <v>A</v>
      </c>
      <c r="K43" s="705">
        <f>AVERAGE(K7:K42)</f>
        <v>4</v>
      </c>
      <c r="L43" s="316" t="s">
        <v>254</v>
      </c>
      <c r="M43" s="316"/>
      <c r="N43" s="705" t="e">
        <f>IF(O43=0,"",IF(O43&lt;1,"E-",IF(O43&lt;1,"E",IF(O43&lt;2,"D",IF(O43&lt;3,"C",IF(O43&lt;4,"B",IF(O43&lt;=5,"A",IF(O43&gt;=5,"A+"))))))))</f>
        <v>#DIV/0!</v>
      </c>
      <c r="O43" s="705" t="e">
        <f>AVERAGE(O7:O42)</f>
        <v>#DIV/0!</v>
      </c>
      <c r="P43" s="316" t="s">
        <v>254</v>
      </c>
      <c r="Q43" s="316"/>
      <c r="R43" s="705" t="str">
        <f>IF(S43=0,"",IF(S43&lt;1,"E-",IF(S43&lt;1,"E",IF(S43&lt;2,"D",IF(S43&lt;3,"C",IF(S43&lt;4,"B",IF(S43&lt;=5,"A",IF(S43&gt;=5,"A+"))))))))</f>
        <v>B</v>
      </c>
      <c r="S43" s="705">
        <f>AVERAGE(S7:S42)</f>
        <v>3.5</v>
      </c>
      <c r="T43" s="316" t="s">
        <v>254</v>
      </c>
      <c r="U43" s="316"/>
      <c r="V43" s="705" t="e">
        <f>IF(W43=0,"",IF(W43&lt;1,"E-",IF(W43&lt;1,"E",IF(W43&lt;2,"D",IF(W43&lt;3,"C",IF(W43&lt;4,"B",IF(W43&lt;=5,"A",IF(W43&gt;=5,"A+"))))))))</f>
        <v>#DIV/0!</v>
      </c>
      <c r="W43" s="705" t="e">
        <f>AVERAGE(W7:W42)</f>
        <v>#DIV/0!</v>
      </c>
      <c r="X43" s="316" t="s">
        <v>254</v>
      </c>
      <c r="Y43" s="316"/>
      <c r="Z43" s="705" t="e">
        <f>IF(AA43=0,"",IF(AA43&lt;1,"E-",IF(AA43&lt;1,"E",IF(AA43&lt;2,"D",IF(AA43&lt;3,"C",IF(AA43&lt;4,"B",IF(AA43&lt;=5,"A",IF(AA43&gt;=5,"A+"))))))))</f>
        <v>#DIV/0!</v>
      </c>
      <c r="AA43" s="707" t="e">
        <f>AVERAGE(AA7:AA42)</f>
        <v>#DIV/0!</v>
      </c>
    </row>
  </sheetData>
  <sheetProtection sheet="1" objects="1" scenarios="1"/>
  <mergeCells count="4">
    <mergeCell ref="L5:M5"/>
    <mergeCell ref="P5:Q5"/>
    <mergeCell ref="T5:U5"/>
    <mergeCell ref="X5:Y5"/>
  </mergeCells>
  <conditionalFormatting sqref="C7:C34">
    <cfRule type="expression" dxfId="1236" priority="380" stopIfTrue="1">
      <formula>#REF!&gt;9</formula>
    </cfRule>
    <cfRule type="expression" priority="379" stopIfTrue="1">
      <formula>#REF!=""</formula>
    </cfRule>
    <cfRule type="expression" dxfId="1235" priority="381" stopIfTrue="1">
      <formula>#REF!&lt;0</formula>
    </cfRule>
  </conditionalFormatting>
  <conditionalFormatting sqref="G7:H42 N7:N42">
    <cfRule type="cellIs" dxfId="1234" priority="377" operator="equal">
      <formula>"A"</formula>
    </cfRule>
    <cfRule type="cellIs" dxfId="1233" priority="376" operator="equal">
      <formula>"B"</formula>
    </cfRule>
    <cfRule type="cellIs" dxfId="1232" priority="375" operator="equal">
      <formula>"C"</formula>
    </cfRule>
    <cfRule type="cellIs" dxfId="1231" priority="374" operator="equal">
      <formula>"D"</formula>
    </cfRule>
    <cfRule type="cellIs" dxfId="1230" priority="373" operator="equal">
      <formula>"E"</formula>
    </cfRule>
    <cfRule type="cellIs" dxfId="1229" priority="372" operator="equal">
      <formula>"E-"</formula>
    </cfRule>
    <cfRule type="cellIs" dxfId="1228" priority="378" operator="equal">
      <formula>"A+"</formula>
    </cfRule>
  </conditionalFormatting>
  <conditionalFormatting sqref="G43:H43">
    <cfRule type="cellIs" dxfId="1227" priority="152" operator="equal">
      <formula>"B"</formula>
    </cfRule>
    <cfRule type="cellIs" dxfId="1226" priority="151" operator="equal">
      <formula>"C"</formula>
    </cfRule>
    <cfRule type="cellIs" dxfId="1225" priority="150" operator="equal">
      <formula>"D"</formula>
    </cfRule>
    <cfRule type="cellIs" dxfId="1224" priority="148" operator="equal">
      <formula>"E-"</formula>
    </cfRule>
    <cfRule type="cellIs" dxfId="1223" priority="153" operator="equal">
      <formula>"A"</formula>
    </cfRule>
    <cfRule type="cellIs" dxfId="1222" priority="154" operator="equal">
      <formula>"A+"</formula>
    </cfRule>
    <cfRule type="cellIs" dxfId="1221" priority="149" operator="equal">
      <formula>"E"</formula>
    </cfRule>
  </conditionalFormatting>
  <conditionalFormatting sqref="J7:J42">
    <cfRule type="cellIs" dxfId="1220" priority="366" operator="equal">
      <formula>"E"</formula>
    </cfRule>
    <cfRule type="cellIs" dxfId="1219" priority="367" operator="equal">
      <formula>"D"</formula>
    </cfRule>
    <cfRule type="cellIs" dxfId="1218" priority="371" operator="equal">
      <formula>"A+"</formula>
    </cfRule>
    <cfRule type="cellIs" dxfId="1217" priority="370" operator="equal">
      <formula>"A"</formula>
    </cfRule>
    <cfRule type="cellIs" dxfId="1216" priority="369" operator="equal">
      <formula>"B"</formula>
    </cfRule>
    <cfRule type="cellIs" dxfId="1215" priority="368" operator="equal">
      <formula>"C"</formula>
    </cfRule>
    <cfRule type="cellIs" dxfId="1214" priority="365" operator="equal">
      <formula>"E-"</formula>
    </cfRule>
  </conditionalFormatting>
  <conditionalFormatting sqref="J43">
    <cfRule type="cellIs" dxfId="1213" priority="29" operator="equal">
      <formula>"E-"</formula>
    </cfRule>
    <cfRule type="cellIs" dxfId="1212" priority="30" operator="equal">
      <formula>"E"</formula>
    </cfRule>
    <cfRule type="cellIs" dxfId="1211" priority="31" operator="equal">
      <formula>"D"</formula>
    </cfRule>
    <cfRule type="cellIs" dxfId="1210" priority="32" operator="equal">
      <formula>"C"</formula>
    </cfRule>
    <cfRule type="cellIs" dxfId="1209" priority="33" operator="equal">
      <formula>"B"</formula>
    </cfRule>
    <cfRule type="cellIs" dxfId="1208" priority="34" operator="equal">
      <formula>"A"</formula>
    </cfRule>
    <cfRule type="cellIs" dxfId="1207" priority="35" operator="equal">
      <formula>"A+"</formula>
    </cfRule>
  </conditionalFormatting>
  <conditionalFormatting sqref="K7:K43">
    <cfRule type="cellIs" dxfId="1206" priority="138" operator="equal">
      <formula>"B"</formula>
    </cfRule>
    <cfRule type="cellIs" dxfId="1205" priority="137" operator="equal">
      <formula>"C"</formula>
    </cfRule>
    <cfRule type="cellIs" dxfId="1204" priority="136" operator="equal">
      <formula>"D"</formula>
    </cfRule>
    <cfRule type="cellIs" dxfId="1203" priority="135" operator="equal">
      <formula>"E"</formula>
    </cfRule>
    <cfRule type="cellIs" dxfId="1202" priority="134" operator="equal">
      <formula>"E-"</formula>
    </cfRule>
    <cfRule type="cellIs" dxfId="1201" priority="140" operator="equal">
      <formula>"A+"</formula>
    </cfRule>
    <cfRule type="cellIs" dxfId="1200" priority="139" operator="equal">
      <formula>"A"</formula>
    </cfRule>
  </conditionalFormatting>
  <conditionalFormatting sqref="N43">
    <cfRule type="cellIs" dxfId="1199" priority="27" operator="equal">
      <formula>"A"</formula>
    </cfRule>
    <cfRule type="cellIs" dxfId="1198" priority="23" operator="equal">
      <formula>"E"</formula>
    </cfRule>
    <cfRule type="cellIs" dxfId="1197" priority="28" operator="equal">
      <formula>"A+"</formula>
    </cfRule>
    <cfRule type="cellIs" dxfId="1196" priority="22" operator="equal">
      <formula>"E-"</formula>
    </cfRule>
    <cfRule type="cellIs" dxfId="1195" priority="24" operator="equal">
      <formula>"D"</formula>
    </cfRule>
    <cfRule type="cellIs" dxfId="1194" priority="25" operator="equal">
      <formula>"C"</formula>
    </cfRule>
    <cfRule type="cellIs" dxfId="1193" priority="26" operator="equal">
      <formula>"B"</formula>
    </cfRule>
  </conditionalFormatting>
  <conditionalFormatting sqref="O7:O43">
    <cfRule type="cellIs" dxfId="1192" priority="116" operator="equal">
      <formula>"C"</formula>
    </cfRule>
    <cfRule type="cellIs" dxfId="1191" priority="117" operator="equal">
      <formula>"B"</formula>
    </cfRule>
    <cfRule type="cellIs" dxfId="1190" priority="118" operator="equal">
      <formula>"A"</formula>
    </cfRule>
    <cfRule type="cellIs" dxfId="1189" priority="119" operator="equal">
      <formula>"A+"</formula>
    </cfRule>
    <cfRule type="cellIs" dxfId="1188" priority="113" operator="equal">
      <formula>"E-"</formula>
    </cfRule>
    <cfRule type="cellIs" dxfId="1187" priority="114" operator="equal">
      <formula>"E"</formula>
    </cfRule>
    <cfRule type="cellIs" dxfId="1186" priority="115" operator="equal">
      <formula>"D"</formula>
    </cfRule>
  </conditionalFormatting>
  <conditionalFormatting sqref="R7:R42">
    <cfRule type="cellIs" dxfId="1185" priority="329" operator="equal">
      <formula>"A+"</formula>
    </cfRule>
    <cfRule type="cellIs" dxfId="1184" priority="328" operator="equal">
      <formula>"A"</formula>
    </cfRule>
    <cfRule type="cellIs" dxfId="1183" priority="327" operator="equal">
      <formula>"B"</formula>
    </cfRule>
    <cfRule type="cellIs" dxfId="1182" priority="326" operator="equal">
      <formula>"C"</formula>
    </cfRule>
    <cfRule type="cellIs" dxfId="1181" priority="325" operator="equal">
      <formula>"D"</formula>
    </cfRule>
    <cfRule type="cellIs" dxfId="1180" priority="324" operator="equal">
      <formula>"E"</formula>
    </cfRule>
    <cfRule type="cellIs" dxfId="1179" priority="323" operator="equal">
      <formula>"E-"</formula>
    </cfRule>
  </conditionalFormatting>
  <conditionalFormatting sqref="R43">
    <cfRule type="cellIs" dxfId="1178" priority="16" operator="equal">
      <formula>"E"</formula>
    </cfRule>
    <cfRule type="cellIs" dxfId="1177" priority="17" operator="equal">
      <formula>"D"</formula>
    </cfRule>
    <cfRule type="cellIs" dxfId="1176" priority="18" operator="equal">
      <formula>"C"</formula>
    </cfRule>
    <cfRule type="cellIs" dxfId="1175" priority="19" operator="equal">
      <formula>"B"</formula>
    </cfRule>
    <cfRule type="cellIs" dxfId="1174" priority="21" operator="equal">
      <formula>"A+"</formula>
    </cfRule>
    <cfRule type="cellIs" dxfId="1173" priority="20" operator="equal">
      <formula>"A"</formula>
    </cfRule>
    <cfRule type="cellIs" dxfId="1172" priority="15" operator="equal">
      <formula>"E-"</formula>
    </cfRule>
  </conditionalFormatting>
  <conditionalFormatting sqref="S7:S43">
    <cfRule type="cellIs" dxfId="1171" priority="95" operator="equal">
      <formula>"C"</formula>
    </cfRule>
    <cfRule type="cellIs" dxfId="1170" priority="98" operator="equal">
      <formula>"A+"</formula>
    </cfRule>
    <cfRule type="cellIs" dxfId="1169" priority="97" operator="equal">
      <formula>"A"</formula>
    </cfRule>
    <cfRule type="cellIs" dxfId="1168" priority="96" operator="equal">
      <formula>"B"</formula>
    </cfRule>
    <cfRule type="cellIs" dxfId="1167" priority="94" operator="equal">
      <formula>"D"</formula>
    </cfRule>
    <cfRule type="cellIs" dxfId="1166" priority="93" operator="equal">
      <formula>"E"</formula>
    </cfRule>
    <cfRule type="cellIs" dxfId="1165" priority="92" operator="equal">
      <formula>"E-"</formula>
    </cfRule>
  </conditionalFormatting>
  <conditionalFormatting sqref="V7:V42">
    <cfRule type="cellIs" dxfId="1164" priority="320" operator="equal">
      <formula>"B"</formula>
    </cfRule>
    <cfRule type="cellIs" dxfId="1163" priority="319" operator="equal">
      <formula>"C"</formula>
    </cfRule>
    <cfRule type="cellIs" dxfId="1162" priority="317" operator="equal">
      <formula>"E"</formula>
    </cfRule>
    <cfRule type="cellIs" dxfId="1161" priority="316" operator="equal">
      <formula>"E-"</formula>
    </cfRule>
    <cfRule type="cellIs" dxfId="1160" priority="322" operator="equal">
      <formula>"A+"</formula>
    </cfRule>
    <cfRule type="cellIs" dxfId="1159" priority="321" operator="equal">
      <formula>"A"</formula>
    </cfRule>
    <cfRule type="cellIs" dxfId="1158" priority="318" operator="equal">
      <formula>"D"</formula>
    </cfRule>
  </conditionalFormatting>
  <conditionalFormatting sqref="V43">
    <cfRule type="cellIs" dxfId="1157" priority="10" operator="equal">
      <formula>"D"</formula>
    </cfRule>
    <cfRule type="cellIs" dxfId="1156" priority="11" operator="equal">
      <formula>"C"</formula>
    </cfRule>
    <cfRule type="cellIs" dxfId="1155" priority="12" operator="equal">
      <formula>"B"</formula>
    </cfRule>
    <cfRule type="cellIs" dxfId="1154" priority="9" operator="equal">
      <formula>"E"</formula>
    </cfRule>
    <cfRule type="cellIs" dxfId="1153" priority="14" operator="equal">
      <formula>"A+"</formula>
    </cfRule>
    <cfRule type="cellIs" dxfId="1152" priority="13" operator="equal">
      <formula>"A"</formula>
    </cfRule>
    <cfRule type="cellIs" dxfId="1151" priority="8" operator="equal">
      <formula>"E-"</formula>
    </cfRule>
  </conditionalFormatting>
  <conditionalFormatting sqref="W7:W43">
    <cfRule type="cellIs" dxfId="1150" priority="80" operator="equal">
      <formula>"D"</formula>
    </cfRule>
    <cfRule type="cellIs" dxfId="1149" priority="81" operator="equal">
      <formula>"C"</formula>
    </cfRule>
    <cfRule type="cellIs" dxfId="1148" priority="82" operator="equal">
      <formula>"B"</formula>
    </cfRule>
    <cfRule type="cellIs" dxfId="1147" priority="83" operator="equal">
      <formula>"A"</formula>
    </cfRule>
    <cfRule type="cellIs" dxfId="1146" priority="79" operator="equal">
      <formula>"E"</formula>
    </cfRule>
    <cfRule type="cellIs" dxfId="1145" priority="84" operator="equal">
      <formula>"A+"</formula>
    </cfRule>
    <cfRule type="cellIs" dxfId="1144" priority="78" operator="equal">
      <formula>"E-"</formula>
    </cfRule>
  </conditionalFormatting>
  <conditionalFormatting sqref="Z7:Z42">
    <cfRule type="cellIs" dxfId="1143" priority="312" operator="equal">
      <formula>"C"</formula>
    </cfRule>
    <cfRule type="cellIs" dxfId="1142" priority="311" operator="equal">
      <formula>"D"</formula>
    </cfRule>
    <cfRule type="cellIs" dxfId="1141" priority="310" operator="equal">
      <formula>"E"</formula>
    </cfRule>
    <cfRule type="cellIs" dxfId="1140" priority="315" operator="equal">
      <formula>"A+"</formula>
    </cfRule>
    <cfRule type="cellIs" dxfId="1139" priority="309" operator="equal">
      <formula>"E-"</formula>
    </cfRule>
    <cfRule type="cellIs" dxfId="1138" priority="314" operator="equal">
      <formula>"A"</formula>
    </cfRule>
    <cfRule type="cellIs" dxfId="1137" priority="313" operator="equal">
      <formula>"B"</formula>
    </cfRule>
  </conditionalFormatting>
  <conditionalFormatting sqref="Z43">
    <cfRule type="cellIs" dxfId="1136" priority="2" operator="equal">
      <formula>"E"</formula>
    </cfRule>
    <cfRule type="cellIs" dxfId="1135" priority="1" operator="equal">
      <formula>"E-"</formula>
    </cfRule>
    <cfRule type="cellIs" dxfId="1134" priority="7" operator="equal">
      <formula>"A+"</formula>
    </cfRule>
    <cfRule type="cellIs" dxfId="1133" priority="6" operator="equal">
      <formula>"A"</formula>
    </cfRule>
    <cfRule type="cellIs" dxfId="1132" priority="5" operator="equal">
      <formula>"B"</formula>
    </cfRule>
    <cfRule type="cellIs" dxfId="1131" priority="4" operator="equal">
      <formula>"C"</formula>
    </cfRule>
    <cfRule type="cellIs" dxfId="1130" priority="3" operator="equal">
      <formula>"D"</formula>
    </cfRule>
  </conditionalFormatting>
  <conditionalFormatting sqref="AA7:AA43">
    <cfRule type="cellIs" dxfId="1129" priority="48" operator="equal">
      <formula>"A"</formula>
    </cfRule>
    <cfRule type="cellIs" dxfId="1128" priority="47" operator="equal">
      <formula>"B"</formula>
    </cfRule>
    <cfRule type="cellIs" dxfId="1127" priority="46" operator="equal">
      <formula>"C"</formula>
    </cfRule>
    <cfRule type="cellIs" dxfId="1126" priority="45" operator="equal">
      <formula>"D"</formula>
    </cfRule>
    <cfRule type="cellIs" dxfId="1125" priority="44" operator="equal">
      <formula>"E"</formula>
    </cfRule>
    <cfRule type="cellIs" dxfId="1124" priority="43" operator="equal">
      <formula>"E-"</formula>
    </cfRule>
    <cfRule type="cellIs" dxfId="1123" priority="49" operator="equal">
      <formula>"A+"</formula>
    </cfRule>
  </conditionalFormatting>
  <dataValidations count="2">
    <dataValidation type="list" allowBlank="1" showInputMessage="1" showErrorMessage="1" sqref="T6 L6 P6 X6" xr:uid="{00000000-0002-0000-2000-000000000000}">
      <formula1>"Klik en selecteer,SPPSI groep 2-3,NSCCT groep 4,NSCCT groep 5,NSCCT groep 6, NSCCT groep 7,Begintest groep 3,Tussentest groep 6,Eindtest groep 8, NIO, WISC-V,WPPSI-III,"</formula1>
    </dataValidation>
    <dataValidation type="list" allowBlank="1" showInputMessage="1" showErrorMessage="1" sqref="X7:X42 E7:E42 T7:T42 L7:L42 P7:P42" xr:uid="{00000000-0002-0000-2000-000001000000}">
      <formula1>"zeer goed,goed,boven gemiddeld,gemiddeld,beneden gemiddeld,zwak,zeer zwak,"</formula1>
    </dataValidation>
  </dataValidations>
  <pageMargins left="0.75" right="0.75" top="1" bottom="1" header="0.5" footer="0.5"/>
  <pageSetup paperSize="9" scale="70" orientation="landscape" r:id="rId1"/>
  <headerFooter alignWithMargins="0">
    <oddFooter>&amp;R© www.meesterharrie.nl</oddFooter>
  </headerFooter>
  <colBreaks count="1" manualBreakCount="1">
    <brk id="26" max="42" man="1"/>
  </colBreaks>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3A7D-5FA5-40B6-9FAD-9D6C40A4CF11}">
  <sheetPr>
    <tabColor rgb="FFCCCCFF"/>
  </sheetPr>
  <dimension ref="B1:I38"/>
  <sheetViews>
    <sheetView showGridLines="0" showRowColHeaders="0" workbookViewId="0"/>
  </sheetViews>
  <sheetFormatPr defaultColWidth="8.7265625" defaultRowHeight="12.5" x14ac:dyDescent="0.25"/>
  <cols>
    <col min="1" max="1" width="8.7265625" style="883"/>
    <col min="2" max="2" width="2.81640625" style="886" bestFit="1" customWidth="1"/>
    <col min="3" max="3" width="33.26953125" style="883" customWidth="1"/>
    <col min="4" max="4" width="8.54296875" style="883" customWidth="1"/>
    <col min="5" max="5" width="50.54296875" style="889" customWidth="1"/>
    <col min="6" max="6" width="8.54296875" style="883" customWidth="1"/>
    <col min="7" max="7" width="50.54296875" style="891" customWidth="1"/>
    <col min="8" max="8" width="8.54296875" style="883" customWidth="1"/>
    <col min="9" max="9" width="50.54296875" style="883" customWidth="1"/>
    <col min="10" max="16384" width="8.7265625" style="883"/>
  </cols>
  <sheetData>
    <row r="1" spans="2:9" x14ac:dyDescent="0.25">
      <c r="B1" s="884"/>
      <c r="C1" s="885"/>
      <c r="D1" s="885"/>
      <c r="F1" s="885"/>
      <c r="H1" s="885"/>
    </row>
    <row r="2" spans="2:9" x14ac:dyDescent="0.25">
      <c r="B2" s="895"/>
      <c r="C2" s="896" t="s">
        <v>63</v>
      </c>
      <c r="D2" s="896" t="s">
        <v>255</v>
      </c>
      <c r="E2" s="890"/>
      <c r="F2" s="896" t="s">
        <v>255</v>
      </c>
      <c r="G2" s="892"/>
      <c r="H2" s="896" t="s">
        <v>255</v>
      </c>
      <c r="I2" s="890"/>
    </row>
    <row r="3" spans="2:9" x14ac:dyDescent="0.25">
      <c r="B3" s="897">
        <v>1</v>
      </c>
      <c r="C3" s="893" t="str">
        <f>BEGINBLAD!C4</f>
        <v>leerling 1</v>
      </c>
      <c r="D3" s="894"/>
      <c r="E3" s="910"/>
      <c r="F3" s="894"/>
      <c r="G3" s="910"/>
      <c r="H3" s="894"/>
      <c r="I3" s="915"/>
    </row>
    <row r="4" spans="2:9" x14ac:dyDescent="0.25">
      <c r="B4" s="897">
        <v>2</v>
      </c>
      <c r="C4" s="898" t="str">
        <f>BEGINBLAD!C5</f>
        <v>leerling 2</v>
      </c>
      <c r="D4" s="899"/>
      <c r="E4" s="912"/>
      <c r="F4" s="899"/>
      <c r="G4" s="913"/>
      <c r="H4" s="899"/>
      <c r="I4" s="914"/>
    </row>
    <row r="5" spans="2:9" x14ac:dyDescent="0.25">
      <c r="B5" s="900">
        <v>3</v>
      </c>
      <c r="C5" s="893" t="str">
        <f>BEGINBLAD!C6</f>
        <v>leerling 3</v>
      </c>
      <c r="D5" s="894"/>
      <c r="E5" s="915"/>
      <c r="F5" s="894"/>
      <c r="G5" s="910"/>
      <c r="H5" s="894"/>
      <c r="I5" s="911"/>
    </row>
    <row r="6" spans="2:9" x14ac:dyDescent="0.25">
      <c r="B6" s="897">
        <v>4</v>
      </c>
      <c r="C6" s="898" t="str">
        <f>BEGINBLAD!C7</f>
        <v>leerling 4</v>
      </c>
      <c r="D6" s="898"/>
      <c r="E6" s="912"/>
      <c r="F6" s="898"/>
      <c r="G6" s="913"/>
      <c r="H6" s="898"/>
      <c r="I6" s="914"/>
    </row>
    <row r="7" spans="2:9" x14ac:dyDescent="0.25">
      <c r="B7" s="900">
        <v>5</v>
      </c>
      <c r="C7" s="893" t="str">
        <f>BEGINBLAD!C8</f>
        <v>leerling 5</v>
      </c>
      <c r="D7" s="893"/>
      <c r="E7" s="915"/>
      <c r="F7" s="893"/>
      <c r="G7" s="910"/>
      <c r="H7" s="893"/>
      <c r="I7" s="911"/>
    </row>
    <row r="8" spans="2:9" x14ac:dyDescent="0.25">
      <c r="B8" s="897">
        <v>6</v>
      </c>
      <c r="C8" s="898" t="str">
        <f>BEGINBLAD!C9</f>
        <v>leerling 6</v>
      </c>
      <c r="D8" s="898"/>
      <c r="E8" s="912"/>
      <c r="F8" s="898"/>
      <c r="G8" s="916"/>
      <c r="H8" s="898"/>
      <c r="I8" s="914"/>
    </row>
    <row r="9" spans="2:9" x14ac:dyDescent="0.25">
      <c r="B9" s="900">
        <v>7</v>
      </c>
      <c r="C9" s="893" t="str">
        <f>BEGINBLAD!C10</f>
        <v>leerling 7</v>
      </c>
      <c r="D9" s="893"/>
      <c r="E9" s="915"/>
      <c r="F9" s="893"/>
      <c r="G9" s="917"/>
      <c r="H9" s="893"/>
      <c r="I9" s="911"/>
    </row>
    <row r="10" spans="2:9" x14ac:dyDescent="0.25">
      <c r="B10" s="897">
        <v>8</v>
      </c>
      <c r="C10" s="901" t="str">
        <f>BEGINBLAD!C11</f>
        <v>leerling 8</v>
      </c>
      <c r="D10" s="902"/>
      <c r="E10" s="912"/>
      <c r="F10" s="902"/>
      <c r="G10" s="916"/>
      <c r="H10" s="902"/>
      <c r="I10" s="914"/>
    </row>
    <row r="11" spans="2:9" x14ac:dyDescent="0.25">
      <c r="B11" s="900">
        <v>9</v>
      </c>
      <c r="C11" s="903">
        <f>BEGINBLAD!C12</f>
        <v>0</v>
      </c>
      <c r="D11" s="904"/>
      <c r="E11" s="915"/>
      <c r="F11" s="904"/>
      <c r="G11" s="917"/>
      <c r="H11" s="904"/>
      <c r="I11" s="911"/>
    </row>
    <row r="12" spans="2:9" x14ac:dyDescent="0.25">
      <c r="B12" s="897">
        <v>10</v>
      </c>
      <c r="C12" s="901">
        <f>BEGINBLAD!C13</f>
        <v>0</v>
      </c>
      <c r="D12" s="902"/>
      <c r="E12" s="914"/>
      <c r="F12" s="902"/>
      <c r="G12" s="916"/>
      <c r="H12" s="902"/>
      <c r="I12" s="914"/>
    </row>
    <row r="13" spans="2:9" x14ac:dyDescent="0.25">
      <c r="B13" s="900">
        <v>11</v>
      </c>
      <c r="C13" s="903">
        <f>BEGINBLAD!C14</f>
        <v>0</v>
      </c>
      <c r="D13" s="904"/>
      <c r="E13" s="911"/>
      <c r="F13" s="904"/>
      <c r="G13" s="917"/>
      <c r="H13" s="904"/>
      <c r="I13" s="911"/>
    </row>
    <row r="14" spans="2:9" x14ac:dyDescent="0.25">
      <c r="B14" s="897">
        <v>12</v>
      </c>
      <c r="C14" s="901">
        <f>BEGINBLAD!C15</f>
        <v>0</v>
      </c>
      <c r="D14" s="902"/>
      <c r="E14" s="914"/>
      <c r="F14" s="902"/>
      <c r="G14" s="916"/>
      <c r="H14" s="902"/>
      <c r="I14" s="914"/>
    </row>
    <row r="15" spans="2:9" x14ac:dyDescent="0.25">
      <c r="B15" s="900">
        <v>13</v>
      </c>
      <c r="C15" s="893">
        <f>BEGINBLAD!C16</f>
        <v>0</v>
      </c>
      <c r="D15" s="905"/>
      <c r="E15" s="911"/>
      <c r="F15" s="905"/>
      <c r="G15" s="917"/>
      <c r="H15" s="905"/>
      <c r="I15" s="911"/>
    </row>
    <row r="16" spans="2:9" x14ac:dyDescent="0.25">
      <c r="B16" s="897">
        <v>14</v>
      </c>
      <c r="C16" s="898">
        <f>BEGINBLAD!C17</f>
        <v>0</v>
      </c>
      <c r="D16" s="906"/>
      <c r="E16" s="914"/>
      <c r="F16" s="906"/>
      <c r="G16" s="916"/>
      <c r="H16" s="906"/>
      <c r="I16" s="914"/>
    </row>
    <row r="17" spans="2:9" x14ac:dyDescent="0.25">
      <c r="B17" s="900">
        <v>15</v>
      </c>
      <c r="C17" s="893">
        <f>BEGINBLAD!C18</f>
        <v>0</v>
      </c>
      <c r="D17" s="905"/>
      <c r="E17" s="911"/>
      <c r="F17" s="905"/>
      <c r="G17" s="917"/>
      <c r="H17" s="905"/>
      <c r="I17" s="911"/>
    </row>
    <row r="18" spans="2:9" x14ac:dyDescent="0.25">
      <c r="B18" s="897">
        <v>16</v>
      </c>
      <c r="C18" s="901">
        <f>BEGINBLAD!C19</f>
        <v>0</v>
      </c>
      <c r="D18" s="902"/>
      <c r="E18" s="914"/>
      <c r="F18" s="902"/>
      <c r="G18" s="916"/>
      <c r="H18" s="902"/>
      <c r="I18" s="914"/>
    </row>
    <row r="19" spans="2:9" x14ac:dyDescent="0.25">
      <c r="B19" s="900">
        <v>17</v>
      </c>
      <c r="C19" s="903">
        <f>BEGINBLAD!C20</f>
        <v>0</v>
      </c>
      <c r="D19" s="904"/>
      <c r="E19" s="911"/>
      <c r="F19" s="904"/>
      <c r="G19" s="917"/>
      <c r="H19" s="904"/>
      <c r="I19" s="911"/>
    </row>
    <row r="20" spans="2:9" x14ac:dyDescent="0.25">
      <c r="B20" s="897">
        <v>18</v>
      </c>
      <c r="C20" s="901">
        <f>BEGINBLAD!C21</f>
        <v>0</v>
      </c>
      <c r="D20" s="902"/>
      <c r="E20" s="914"/>
      <c r="F20" s="902"/>
      <c r="G20" s="916"/>
      <c r="H20" s="902"/>
      <c r="I20" s="914"/>
    </row>
    <row r="21" spans="2:9" x14ac:dyDescent="0.25">
      <c r="B21" s="900">
        <v>19</v>
      </c>
      <c r="C21" s="903">
        <f>BEGINBLAD!C22</f>
        <v>0</v>
      </c>
      <c r="D21" s="904"/>
      <c r="E21" s="911"/>
      <c r="F21" s="904"/>
      <c r="G21" s="917"/>
      <c r="H21" s="904"/>
      <c r="I21" s="911"/>
    </row>
    <row r="22" spans="2:9" x14ac:dyDescent="0.25">
      <c r="B22" s="897">
        <v>20</v>
      </c>
      <c r="C22" s="901">
        <f>BEGINBLAD!C23</f>
        <v>0</v>
      </c>
      <c r="D22" s="902"/>
      <c r="E22" s="914"/>
      <c r="F22" s="902"/>
      <c r="G22" s="916"/>
      <c r="H22" s="902"/>
      <c r="I22" s="914"/>
    </row>
    <row r="23" spans="2:9" x14ac:dyDescent="0.25">
      <c r="B23" s="900">
        <v>21</v>
      </c>
      <c r="C23" s="903">
        <f>BEGINBLAD!C24</f>
        <v>0</v>
      </c>
      <c r="D23" s="904"/>
      <c r="E23" s="911"/>
      <c r="F23" s="904"/>
      <c r="G23" s="917"/>
      <c r="H23" s="904"/>
      <c r="I23" s="911"/>
    </row>
    <row r="24" spans="2:9" x14ac:dyDescent="0.25">
      <c r="B24" s="897">
        <v>22</v>
      </c>
      <c r="C24" s="901">
        <f>BEGINBLAD!C25</f>
        <v>0</v>
      </c>
      <c r="D24" s="902"/>
      <c r="E24" s="914"/>
      <c r="F24" s="902"/>
      <c r="G24" s="916"/>
      <c r="H24" s="902"/>
      <c r="I24" s="914"/>
    </row>
    <row r="25" spans="2:9" x14ac:dyDescent="0.25">
      <c r="B25" s="900">
        <v>23</v>
      </c>
      <c r="C25" s="903">
        <f>BEGINBLAD!C26</f>
        <v>0</v>
      </c>
      <c r="D25" s="904"/>
      <c r="E25" s="911"/>
      <c r="F25" s="904"/>
      <c r="G25" s="917"/>
      <c r="H25" s="904"/>
      <c r="I25" s="911"/>
    </row>
    <row r="26" spans="2:9" x14ac:dyDescent="0.25">
      <c r="B26" s="897">
        <v>24</v>
      </c>
      <c r="C26" s="901">
        <f>BEGINBLAD!C27</f>
        <v>0</v>
      </c>
      <c r="D26" s="902"/>
      <c r="E26" s="914"/>
      <c r="F26" s="902"/>
      <c r="G26" s="916"/>
      <c r="H26" s="902"/>
      <c r="I26" s="914"/>
    </row>
    <row r="27" spans="2:9" x14ac:dyDescent="0.25">
      <c r="B27" s="900">
        <v>25</v>
      </c>
      <c r="C27" s="903">
        <f>BEGINBLAD!C28</f>
        <v>0</v>
      </c>
      <c r="D27" s="904"/>
      <c r="E27" s="911"/>
      <c r="F27" s="904"/>
      <c r="G27" s="917"/>
      <c r="H27" s="904"/>
      <c r="I27" s="911"/>
    </row>
    <row r="28" spans="2:9" x14ac:dyDescent="0.25">
      <c r="B28" s="897">
        <v>26</v>
      </c>
      <c r="C28" s="901">
        <f>BEGINBLAD!C29</f>
        <v>0</v>
      </c>
      <c r="D28" s="902"/>
      <c r="E28" s="914"/>
      <c r="F28" s="902"/>
      <c r="G28" s="916"/>
      <c r="H28" s="902"/>
      <c r="I28" s="914"/>
    </row>
    <row r="29" spans="2:9" x14ac:dyDescent="0.25">
      <c r="B29" s="900">
        <v>27</v>
      </c>
      <c r="C29" s="903">
        <f>BEGINBLAD!C30</f>
        <v>0</v>
      </c>
      <c r="D29" s="904"/>
      <c r="E29" s="911"/>
      <c r="F29" s="904"/>
      <c r="G29" s="917"/>
      <c r="H29" s="904"/>
      <c r="I29" s="911"/>
    </row>
    <row r="30" spans="2:9" x14ac:dyDescent="0.25">
      <c r="B30" s="897">
        <v>28</v>
      </c>
      <c r="C30" s="901">
        <f>BEGINBLAD!C31</f>
        <v>0</v>
      </c>
      <c r="D30" s="902"/>
      <c r="E30" s="914"/>
      <c r="F30" s="902"/>
      <c r="G30" s="916"/>
      <c r="H30" s="902"/>
      <c r="I30" s="914"/>
    </row>
    <row r="31" spans="2:9" x14ac:dyDescent="0.25">
      <c r="B31" s="900">
        <v>29</v>
      </c>
      <c r="C31" s="903">
        <f>BEGINBLAD!C32</f>
        <v>0</v>
      </c>
      <c r="D31" s="904"/>
      <c r="E31" s="911"/>
      <c r="F31" s="904"/>
      <c r="G31" s="917"/>
      <c r="H31" s="904"/>
      <c r="I31" s="911"/>
    </row>
    <row r="32" spans="2:9" x14ac:dyDescent="0.25">
      <c r="B32" s="897">
        <v>30</v>
      </c>
      <c r="C32" s="901">
        <f>BEGINBLAD!C33</f>
        <v>0</v>
      </c>
      <c r="D32" s="902"/>
      <c r="E32" s="914"/>
      <c r="F32" s="902"/>
      <c r="G32" s="916"/>
      <c r="H32" s="902"/>
      <c r="I32" s="914"/>
    </row>
    <row r="33" spans="2:9" x14ac:dyDescent="0.25">
      <c r="B33" s="900">
        <v>31</v>
      </c>
      <c r="C33" s="903">
        <f>BEGINBLAD!C34</f>
        <v>0</v>
      </c>
      <c r="D33" s="904"/>
      <c r="E33" s="911"/>
      <c r="F33" s="904"/>
      <c r="G33" s="917"/>
      <c r="H33" s="904"/>
      <c r="I33" s="911"/>
    </row>
    <row r="34" spans="2:9" x14ac:dyDescent="0.25">
      <c r="B34" s="897">
        <v>32</v>
      </c>
      <c r="C34" s="901">
        <f>BEGINBLAD!C35</f>
        <v>0</v>
      </c>
      <c r="D34" s="902"/>
      <c r="E34" s="914"/>
      <c r="F34" s="902"/>
      <c r="G34" s="916"/>
      <c r="H34" s="902"/>
      <c r="I34" s="914"/>
    </row>
    <row r="35" spans="2:9" x14ac:dyDescent="0.25">
      <c r="B35" s="900">
        <v>33</v>
      </c>
      <c r="C35" s="903">
        <f>BEGINBLAD!C36</f>
        <v>0</v>
      </c>
      <c r="D35" s="904"/>
      <c r="E35" s="911"/>
      <c r="F35" s="904"/>
      <c r="G35" s="917"/>
      <c r="H35" s="904"/>
      <c r="I35" s="911"/>
    </row>
    <row r="36" spans="2:9" x14ac:dyDescent="0.25">
      <c r="B36" s="897">
        <v>34</v>
      </c>
      <c r="C36" s="901">
        <f>BEGINBLAD!C37</f>
        <v>0</v>
      </c>
      <c r="D36" s="902"/>
      <c r="E36" s="914"/>
      <c r="F36" s="902"/>
      <c r="G36" s="916"/>
      <c r="H36" s="902"/>
      <c r="I36" s="914"/>
    </row>
    <row r="37" spans="2:9" x14ac:dyDescent="0.25">
      <c r="B37" s="900">
        <v>35</v>
      </c>
      <c r="C37" s="903">
        <f>BEGINBLAD!C38</f>
        <v>0</v>
      </c>
      <c r="D37" s="904"/>
      <c r="E37" s="911"/>
      <c r="F37" s="904"/>
      <c r="G37" s="917"/>
      <c r="H37" s="904"/>
      <c r="I37" s="911"/>
    </row>
    <row r="38" spans="2:9" x14ac:dyDescent="0.25">
      <c r="B38" s="895">
        <v>36</v>
      </c>
      <c r="C38" s="901">
        <f>BEGINBLAD!C39</f>
        <v>0</v>
      </c>
      <c r="D38" s="902"/>
      <c r="E38" s="914"/>
      <c r="F38" s="902"/>
      <c r="G38" s="916"/>
      <c r="H38" s="902"/>
      <c r="I38" s="914"/>
    </row>
  </sheetData>
  <sheetProtection sheet="1" objects="1" scenarios="1"/>
  <conditionalFormatting sqref="C3:D32">
    <cfRule type="expression" dxfId="1122" priority="81" stopIfTrue="1">
      <formula>$N3&lt;0</formula>
    </cfRule>
    <cfRule type="expression" dxfId="1121" priority="80" stopIfTrue="1">
      <formula>$N3&gt;9</formula>
    </cfRule>
    <cfRule type="expression" priority="79" stopIfTrue="1">
      <formula>$N3=""</formula>
    </cfRule>
  </conditionalFormatting>
  <conditionalFormatting sqref="C12:D13">
    <cfRule type="expression" dxfId="1120" priority="78" stopIfTrue="1">
      <formula>$N12&lt;0</formula>
    </cfRule>
    <cfRule type="expression" dxfId="1119" priority="77" stopIfTrue="1">
      <formula>$N12&gt;9</formula>
    </cfRule>
    <cfRule type="expression" priority="76" stopIfTrue="1">
      <formula>$N12=""</formula>
    </cfRule>
  </conditionalFormatting>
  <conditionalFormatting sqref="F3:F32">
    <cfRule type="expression" priority="52" stopIfTrue="1">
      <formula>$N3=""</formula>
    </cfRule>
    <cfRule type="expression" dxfId="1112" priority="53" stopIfTrue="1">
      <formula>$N3&gt;9</formula>
    </cfRule>
    <cfRule type="expression" dxfId="1111" priority="54" stopIfTrue="1">
      <formula>$N3&lt;0</formula>
    </cfRule>
  </conditionalFormatting>
  <conditionalFormatting sqref="F12:F13">
    <cfRule type="expression" priority="49" stopIfTrue="1">
      <formula>$N12=""</formula>
    </cfRule>
    <cfRule type="expression" dxfId="1110" priority="50" stopIfTrue="1">
      <formula>$N12&gt;9</formula>
    </cfRule>
    <cfRule type="expression" dxfId="1109" priority="51" stopIfTrue="1">
      <formula>$N12&lt;0</formula>
    </cfRule>
  </conditionalFormatting>
  <conditionalFormatting sqref="H3:H32">
    <cfRule type="expression" dxfId="1106" priority="6" stopIfTrue="1">
      <formula>$N3&lt;0</formula>
    </cfRule>
    <cfRule type="expression" dxfId="1105" priority="5" stopIfTrue="1">
      <formula>$N3&gt;9</formula>
    </cfRule>
    <cfRule type="expression" priority="4" stopIfTrue="1">
      <formula>$N3=""</formula>
    </cfRule>
  </conditionalFormatting>
  <conditionalFormatting sqref="H12:H13">
    <cfRule type="expression" dxfId="1104" priority="3" stopIfTrue="1">
      <formula>$N12&lt;0</formula>
    </cfRule>
    <cfRule type="expression" dxfId="1103" priority="2" stopIfTrue="1">
      <formula>$N12&gt;9</formula>
    </cfRule>
    <cfRule type="expression" priority="1" stopIfTrue="1">
      <formula>$N12=""</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98" stopIfTrue="1" id="{79860CB3-1DBE-4BF4-AEEF-D87E80B1D0AF}">
            <xm:f>'info-16'!$E3&gt;9</xm:f>
            <x14:dxf>
              <fill>
                <patternFill>
                  <bgColor indexed="31"/>
                </patternFill>
              </fill>
            </x14:dxf>
          </x14:cfRule>
          <x14:cfRule type="expression" priority="97" stopIfTrue="1" id="{72CB0416-240B-4E76-8EE9-12ABFC6549ED}">
            <xm:f>'info-16'!$E3=""</xm:f>
            <x14:dxf/>
          </x14:cfRule>
          <x14:cfRule type="expression" priority="99" stopIfTrue="1" id="{3911E089-79BF-4443-8FD5-D095568327B7}">
            <xm:f>'info-16'!$E3&lt;0</xm:f>
            <x14:dxf>
              <fill>
                <patternFill>
                  <bgColor indexed="51"/>
                </patternFill>
              </fill>
            </x14:dxf>
          </x14:cfRule>
          <xm:sqref>C33:D33 F33 H33</xm:sqref>
        </x14:conditionalFormatting>
        <x14:conditionalFormatting xmlns:xm="http://schemas.microsoft.com/office/excel/2006/main">
          <x14:cfRule type="expression" priority="100" stopIfTrue="1" id="{36E13016-BD8C-4AF6-8B96-9215ED4FA088}">
            <xm:f>'info-16'!$E8=""</xm:f>
            <x14:dxf/>
          </x14:cfRule>
          <x14:cfRule type="expression" priority="101" stopIfTrue="1" id="{3A18105C-3DCF-4472-BA47-9A08A5EF633B}">
            <xm:f>'info-16'!$E8&gt;9</xm:f>
            <x14:dxf>
              <fill>
                <patternFill>
                  <bgColor indexed="31"/>
                </patternFill>
              </fill>
            </x14:dxf>
          </x14:cfRule>
          <x14:cfRule type="expression" priority="102" stopIfTrue="1" id="{27F1E45C-DC21-4CA4-B74A-D0E6FE864304}">
            <xm:f>'info-16'!$E8&lt;0</xm:f>
            <x14:dxf>
              <fill>
                <patternFill>
                  <bgColor indexed="51"/>
                </patternFill>
              </fill>
            </x14:dxf>
          </x14:cfRule>
          <xm:sqref>C34:D37 F34:F37 H34:H37</xm:sqref>
        </x14:conditionalFormatting>
        <x14:conditionalFormatting xmlns:xm="http://schemas.microsoft.com/office/excel/2006/main">
          <x14:cfRule type="expression" priority="105" stopIfTrue="1" id="{9022FDCC-65F2-4FD9-8364-B11B87C9C2E2}">
            <xm:f>'info-16'!#REF!&lt;0</xm:f>
            <x14:dxf>
              <fill>
                <patternFill>
                  <bgColor indexed="51"/>
                </patternFill>
              </fill>
            </x14:dxf>
          </x14:cfRule>
          <x14:cfRule type="expression" priority="103" stopIfTrue="1" id="{9FF1F118-C2BB-48A1-A116-7A48ABBDE996}">
            <xm:f>'info-16'!#REF!=""</xm:f>
            <x14:dxf/>
          </x14:cfRule>
          <x14:cfRule type="expression" priority="104" stopIfTrue="1" id="{D6AE06F6-81E6-44CE-B3EC-D0D96865FA45}">
            <xm:f>'info-16'!#REF!&gt;9</xm:f>
            <x14:dxf>
              <fill>
                <patternFill>
                  <bgColor indexed="31"/>
                </patternFill>
              </fill>
            </x14:dxf>
          </x14:cfRule>
          <xm:sqref>C38:D38</xm:sqref>
        </x14:conditionalFormatting>
        <x14:conditionalFormatting xmlns:xm="http://schemas.microsoft.com/office/excel/2006/main">
          <x14:cfRule type="expression" priority="73" stopIfTrue="1" id="{35F79848-61C2-47B3-95C1-5C473C132129}">
            <xm:f>'info-16'!#REF!=""</xm:f>
            <x14:dxf/>
          </x14:cfRule>
          <x14:cfRule type="expression" priority="74" stopIfTrue="1" id="{60B968C0-6FFC-481B-B1B9-EFD9E6BAD470}">
            <xm:f>'info-16'!#REF!&gt;9</xm:f>
            <x14:dxf>
              <fill>
                <patternFill>
                  <bgColor indexed="31"/>
                </patternFill>
              </fill>
            </x14:dxf>
          </x14:cfRule>
          <x14:cfRule type="expression" priority="75" stopIfTrue="1" id="{27969B04-6478-42B8-96AA-36C12BB58571}">
            <xm:f>'info-16'!#REF!&lt;0</xm:f>
            <x14:dxf>
              <fill>
                <patternFill>
                  <bgColor indexed="51"/>
                </patternFill>
              </fill>
            </x14:dxf>
          </x14:cfRule>
          <xm:sqref>F38</xm:sqref>
        </x14:conditionalFormatting>
        <x14:conditionalFormatting xmlns:xm="http://schemas.microsoft.com/office/excel/2006/main">
          <x14:cfRule type="expression" priority="21" stopIfTrue="1" id="{99D0D4DA-A41C-4041-9D34-0C4E63379B56}">
            <xm:f>'info-16'!#REF!&lt;0</xm:f>
            <x14:dxf>
              <fill>
                <patternFill>
                  <bgColor indexed="51"/>
                </patternFill>
              </fill>
            </x14:dxf>
          </x14:cfRule>
          <x14:cfRule type="expression" priority="20" stopIfTrue="1" id="{1029C6DB-D6EF-4DEE-AA1F-F19881E49C0B}">
            <xm:f>'info-16'!#REF!&gt;9</xm:f>
            <x14:dxf>
              <fill>
                <patternFill>
                  <bgColor indexed="31"/>
                </patternFill>
              </fill>
            </x14:dxf>
          </x14:cfRule>
          <x14:cfRule type="expression" priority="19" stopIfTrue="1" id="{50BADDBA-C545-4AAD-8A9B-F987AFA9201E}">
            <xm:f>'info-16'!#REF!=""</xm:f>
            <x14:dxf/>
          </x14:cfRule>
          <xm:sqref>H38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9"/>
  <sheetViews>
    <sheetView showGridLines="0" showRowColHeaders="0" zoomScaleNormal="100" workbookViewId="0"/>
  </sheetViews>
  <sheetFormatPr defaultRowHeight="12.5" x14ac:dyDescent="0.25"/>
  <sheetData>
    <row r="2" spans="1:3" ht="36.75" customHeight="1" x14ac:dyDescent="0.25">
      <c r="A2" s="19"/>
      <c r="B2" s="26" t="s">
        <v>1</v>
      </c>
    </row>
    <row r="3" spans="1:3" ht="17.5" x14ac:dyDescent="0.25">
      <c r="C3" s="25" t="s">
        <v>2</v>
      </c>
    </row>
    <row r="4" spans="1:3" ht="14.5" x14ac:dyDescent="0.25">
      <c r="C4" s="20" t="s">
        <v>3</v>
      </c>
    </row>
    <row r="5" spans="1:3" ht="14.5" x14ac:dyDescent="0.25">
      <c r="C5" s="20" t="s">
        <v>4</v>
      </c>
    </row>
    <row r="6" spans="1:3" ht="14.5" x14ac:dyDescent="0.25">
      <c r="C6" s="20" t="s">
        <v>5</v>
      </c>
    </row>
    <row r="7" spans="1:3" ht="14.5" x14ac:dyDescent="0.25">
      <c r="C7" s="20"/>
    </row>
    <row r="8" spans="1:3" ht="14.5" x14ac:dyDescent="0.25">
      <c r="A8" s="20" t="s">
        <v>6</v>
      </c>
    </row>
    <row r="10" spans="1:3" ht="263.5" customHeight="1" x14ac:dyDescent="0.25">
      <c r="A10" s="20"/>
    </row>
    <row r="11" spans="1:3" ht="14.5" x14ac:dyDescent="0.25">
      <c r="A11" s="21" t="s">
        <v>7</v>
      </c>
      <c r="C11" s="8"/>
    </row>
    <row r="12" spans="1:3" ht="14.5" x14ac:dyDescent="0.25">
      <c r="A12" s="19" t="s">
        <v>8</v>
      </c>
    </row>
    <row r="13" spans="1:3" ht="263.25" customHeight="1" x14ac:dyDescent="0.25">
      <c r="A13" s="19"/>
    </row>
    <row r="14" spans="1:3" ht="17.5" x14ac:dyDescent="0.25">
      <c r="C14" s="25" t="s">
        <v>9</v>
      </c>
    </row>
    <row r="15" spans="1:3" ht="14.5" x14ac:dyDescent="0.25">
      <c r="C15" s="20" t="s">
        <v>10</v>
      </c>
    </row>
    <row r="16" spans="1:3" ht="14.5" x14ac:dyDescent="0.25">
      <c r="C16" s="20" t="s">
        <v>11</v>
      </c>
    </row>
    <row r="17" spans="1:3" ht="14.5" x14ac:dyDescent="0.25">
      <c r="C17" s="20" t="s">
        <v>12</v>
      </c>
    </row>
    <row r="18" spans="1:3" ht="14.5" x14ac:dyDescent="0.25">
      <c r="A18" s="19" t="s">
        <v>13</v>
      </c>
    </row>
    <row r="19" spans="1:3" ht="218.25" customHeight="1" x14ac:dyDescent="0.25"/>
    <row r="20" spans="1:3" ht="14.5" x14ac:dyDescent="0.25">
      <c r="A20" s="21" t="s">
        <v>14</v>
      </c>
      <c r="C20" s="8"/>
    </row>
    <row r="21" spans="1:3" ht="14.5" x14ac:dyDescent="0.25">
      <c r="A21" s="19" t="s">
        <v>15</v>
      </c>
    </row>
    <row r="22" spans="1:3" ht="14.5" x14ac:dyDescent="0.25">
      <c r="A22" s="19"/>
    </row>
    <row r="23" spans="1:3" ht="14.5" x14ac:dyDescent="0.25">
      <c r="A23" s="19"/>
    </row>
    <row r="24" spans="1:3" ht="14.5" x14ac:dyDescent="0.25">
      <c r="A24" s="19"/>
    </row>
    <row r="25" spans="1:3" ht="14.5" x14ac:dyDescent="0.25">
      <c r="A25" s="19" t="s">
        <v>8</v>
      </c>
    </row>
    <row r="26" spans="1:3" ht="14.5" x14ac:dyDescent="0.25">
      <c r="A26" s="19"/>
    </row>
    <row r="27" spans="1:3" ht="14.5" x14ac:dyDescent="0.25">
      <c r="A27" s="19"/>
    </row>
    <row r="29" spans="1:3" ht="14.5" x14ac:dyDescent="0.25">
      <c r="A29" s="19"/>
    </row>
    <row r="30" spans="1:3" ht="14.5" x14ac:dyDescent="0.25">
      <c r="A30" s="19"/>
    </row>
    <row r="31" spans="1:3" ht="63.75" customHeight="1" x14ac:dyDescent="0.25">
      <c r="A31" s="19"/>
    </row>
    <row r="32" spans="1:3" ht="14.5" x14ac:dyDescent="0.25">
      <c r="A32" s="21" t="s">
        <v>16</v>
      </c>
    </row>
    <row r="34" spans="1:3" ht="14.5" x14ac:dyDescent="0.25">
      <c r="A34" s="21" t="s">
        <v>17</v>
      </c>
    </row>
    <row r="35" spans="1:3" ht="183.75" customHeight="1" x14ac:dyDescent="0.25">
      <c r="A35" s="21"/>
    </row>
    <row r="37" spans="1:3" ht="14.5" x14ac:dyDescent="0.25">
      <c r="A37" s="21"/>
    </row>
    <row r="38" spans="1:3" ht="14.5" x14ac:dyDescent="0.25">
      <c r="A38" s="21"/>
    </row>
    <row r="40" spans="1:3" ht="14.5" x14ac:dyDescent="0.25">
      <c r="A40" s="19"/>
    </row>
    <row r="41" spans="1:3" ht="78" customHeight="1" x14ac:dyDescent="0.25">
      <c r="A41" s="19"/>
    </row>
    <row r="42" spans="1:3" ht="17.5" x14ac:dyDescent="0.25">
      <c r="C42" s="25" t="s">
        <v>18</v>
      </c>
    </row>
    <row r="43" spans="1:3" ht="14.5" x14ac:dyDescent="0.25">
      <c r="C43" s="20" t="s">
        <v>19</v>
      </c>
    </row>
    <row r="44" spans="1:3" ht="14.5" x14ac:dyDescent="0.25">
      <c r="C44" s="20" t="s">
        <v>20</v>
      </c>
    </row>
    <row r="45" spans="1:3" ht="14.5" x14ac:dyDescent="0.25">
      <c r="C45" s="20" t="s">
        <v>21</v>
      </c>
    </row>
    <row r="46" spans="1:3" ht="14.5" x14ac:dyDescent="0.25">
      <c r="C46" s="20"/>
    </row>
    <row r="47" spans="1:3" ht="14.5" x14ac:dyDescent="0.25">
      <c r="A47" s="21" t="s">
        <v>22</v>
      </c>
    </row>
    <row r="49" spans="1:3" ht="401.25" customHeight="1" x14ac:dyDescent="0.25">
      <c r="A49" s="19"/>
    </row>
    <row r="50" spans="1:3" ht="17.5" x14ac:dyDescent="0.25">
      <c r="C50" s="25" t="s">
        <v>23</v>
      </c>
    </row>
    <row r="51" spans="1:3" ht="14.5" x14ac:dyDescent="0.25">
      <c r="C51" s="22" t="s">
        <v>24</v>
      </c>
    </row>
    <row r="52" spans="1:3" ht="14.5" x14ac:dyDescent="0.25">
      <c r="C52" s="23" t="s">
        <v>25</v>
      </c>
    </row>
    <row r="53" spans="1:3" ht="14.5" x14ac:dyDescent="0.25">
      <c r="C53" s="23" t="s">
        <v>26</v>
      </c>
    </row>
    <row r="54" spans="1:3" ht="14.5" x14ac:dyDescent="0.25">
      <c r="A54" s="23"/>
    </row>
    <row r="55" spans="1:3" ht="14.5" x14ac:dyDescent="0.25">
      <c r="A55" s="24"/>
    </row>
    <row r="56" spans="1:3" ht="14.5" x14ac:dyDescent="0.25">
      <c r="A56" s="24"/>
    </row>
    <row r="57" spans="1:3" ht="14.5" x14ac:dyDescent="0.25">
      <c r="A57" s="22"/>
    </row>
    <row r="58" spans="1:3" ht="14.5" x14ac:dyDescent="0.25">
      <c r="A58" s="22"/>
    </row>
    <row r="59" spans="1:3" ht="14.5" x14ac:dyDescent="0.25">
      <c r="A59" s="19"/>
    </row>
  </sheetData>
  <sheetProtection sheet="1" objects="1" scenarios="1"/>
  <pageMargins left="0.70866141732283472" right="0.70866141732283472" top="0.74803149606299213" bottom="0.74803149606299213" header="0.31496062992125984" footer="0.31496062992125984"/>
  <pageSetup paperSize="9" scale="54" orientation="landscape" horizontalDpi="4294967293" r:id="rId1"/>
  <rowBreaks count="3" manualBreakCount="3">
    <brk id="13" max="16383" man="1"/>
    <brk id="41" max="16383" man="1"/>
    <brk id="79" max="16383" man="1"/>
  </rowBreaks>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ECFF"/>
    <pageSetUpPr fitToPage="1"/>
  </sheetPr>
  <dimension ref="A1:AT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4" customWidth="1"/>
    <col min="5" max="5" width="5.81640625" style="54" customWidth="1"/>
    <col min="6" max="6" width="20.81640625" style="54" customWidth="1"/>
    <col min="7" max="7" width="3.54296875" style="53" customWidth="1"/>
    <col min="8" max="8" width="5.81640625" style="53" customWidth="1"/>
    <col min="9" max="9" width="3.1796875" style="53" customWidth="1"/>
    <col min="10" max="10" width="5.81640625" style="54" customWidth="1"/>
    <col min="11" max="11" width="5.81640625" style="51" customWidth="1"/>
    <col min="12" max="12" width="6.54296875" style="51" customWidth="1"/>
    <col min="13" max="13" width="3.1796875" style="51" customWidth="1"/>
    <col min="14" max="22" width="5.81640625" style="51" customWidth="1"/>
    <col min="23" max="23" width="3.54296875" style="51" customWidth="1"/>
    <col min="24" max="24" width="10.1796875" style="51" customWidth="1"/>
    <col min="25" max="26" width="6.81640625" style="51" hidden="1" customWidth="1"/>
    <col min="27" max="27" width="3.1796875" style="51" customWidth="1"/>
    <col min="28" max="31" width="5.81640625" style="51" customWidth="1"/>
    <col min="32" max="32" width="3.1796875" style="51" customWidth="1"/>
    <col min="33" max="36" width="5.81640625" style="51" customWidth="1"/>
    <col min="37" max="37" width="3.1796875" style="51" customWidth="1"/>
    <col min="38" max="41" width="5.81640625" style="51" customWidth="1"/>
    <col min="42" max="42" width="3.1796875" style="51" customWidth="1"/>
    <col min="43" max="46" width="5.81640625" style="51" customWidth="1"/>
    <col min="47" max="16384" width="9.1796875" style="51"/>
  </cols>
  <sheetData>
    <row r="1" spans="1:46" s="48" customFormat="1" ht="30" customHeight="1" thickBot="1" x14ac:dyDescent="0.4">
      <c r="B1" s="128"/>
      <c r="C1" s="1176" t="s">
        <v>256</v>
      </c>
      <c r="D1" s="1177"/>
      <c r="E1" s="1177"/>
      <c r="F1" s="1177"/>
      <c r="G1" s="1177"/>
      <c r="H1" s="1177"/>
      <c r="I1" s="1177"/>
      <c r="J1" s="1177"/>
      <c r="K1" s="326" t="str">
        <f>BEGINBLAD!$I$2</f>
        <v>groep 6</v>
      </c>
      <c r="L1" s="325"/>
      <c r="M1" s="326"/>
      <c r="N1" s="326"/>
      <c r="O1" s="326"/>
      <c r="P1" s="324"/>
      <c r="Q1" s="324"/>
      <c r="R1" s="324"/>
      <c r="S1" s="324"/>
      <c r="T1" s="324"/>
      <c r="U1" s="324"/>
      <c r="V1" s="324"/>
      <c r="W1" s="324"/>
      <c r="X1" s="327"/>
    </row>
    <row r="2" spans="1:46" s="48" customFormat="1" ht="30" customHeight="1" x14ac:dyDescent="0.35">
      <c r="B2" s="128"/>
      <c r="C2" s="1178" t="str">
        <f>BEGINBLAD!$N$2</f>
        <v>aug.</v>
      </c>
      <c r="D2" s="1178"/>
      <c r="E2" s="175"/>
      <c r="F2" s="412" t="str">
        <f>BEGINBLAD!$O$2</f>
        <v>apr.</v>
      </c>
      <c r="G2" s="1178">
        <f>BEGINBLAD!$P$2</f>
        <v>2024</v>
      </c>
      <c r="H2" s="1178"/>
      <c r="I2" s="1178"/>
      <c r="J2" s="495"/>
      <c r="K2" s="175"/>
      <c r="M2" s="175"/>
      <c r="N2" s="175"/>
      <c r="O2" s="175"/>
      <c r="P2" s="496"/>
      <c r="Q2" s="496"/>
      <c r="R2" s="496"/>
      <c r="S2" s="496"/>
      <c r="T2" s="496"/>
      <c r="U2" s="496"/>
      <c r="V2" s="496"/>
      <c r="W2" s="496"/>
      <c r="X2" s="175"/>
    </row>
    <row r="3" spans="1:46" ht="13.5" customHeight="1" thickBot="1" x14ac:dyDescent="0.3">
      <c r="C3" s="51"/>
      <c r="D3" s="51"/>
      <c r="E3" s="51"/>
      <c r="F3" s="51"/>
      <c r="G3" s="51"/>
      <c r="H3" s="51"/>
      <c r="I3" s="51"/>
      <c r="J3" s="53"/>
      <c r="K3" s="53"/>
      <c r="M3" s="53"/>
      <c r="N3" s="53"/>
      <c r="O3" s="53"/>
      <c r="X3" s="54"/>
    </row>
    <row r="4" spans="1:46" ht="13.5" customHeight="1" x14ac:dyDescent="0.25">
      <c r="C4" s="412"/>
      <c r="D4" s="412"/>
      <c r="E4" s="1170"/>
      <c r="F4" s="1168" t="s">
        <v>63</v>
      </c>
      <c r="G4" s="1172"/>
      <c r="H4" s="1172"/>
      <c r="I4" s="1172"/>
      <c r="J4" s="1172"/>
      <c r="K4" s="1172"/>
      <c r="L4" s="1172"/>
      <c r="M4" s="1172"/>
      <c r="N4" s="1172"/>
      <c r="O4" s="1172"/>
      <c r="P4" s="1172"/>
      <c r="Q4" s="1172"/>
      <c r="R4" s="1172"/>
      <c r="S4" s="1172"/>
      <c r="T4" s="1172"/>
      <c r="U4" s="1172"/>
      <c r="V4" s="1173"/>
      <c r="X4" s="1141" t="s">
        <v>257</v>
      </c>
      <c r="AB4" s="1137" t="s">
        <v>258</v>
      </c>
      <c r="AC4" s="1138"/>
      <c r="AD4" s="1137" t="s">
        <v>259</v>
      </c>
      <c r="AE4" s="1138"/>
      <c r="AG4" s="1137" t="s">
        <v>260</v>
      </c>
      <c r="AH4" s="1138"/>
      <c r="AI4" s="1137" t="s">
        <v>261</v>
      </c>
      <c r="AJ4" s="1138"/>
      <c r="AL4" s="490" t="s">
        <v>262</v>
      </c>
      <c r="AM4" s="491"/>
      <c r="AN4" s="491"/>
      <c r="AO4" s="492"/>
      <c r="AP4" s="140"/>
      <c r="AQ4" s="490" t="s">
        <v>262</v>
      </c>
      <c r="AR4" s="491"/>
      <c r="AS4" s="491"/>
      <c r="AT4" s="492"/>
    </row>
    <row r="5" spans="1:46" ht="13.5" customHeight="1" thickBot="1" x14ac:dyDescent="0.3">
      <c r="E5" s="1171"/>
      <c r="F5" s="1169"/>
      <c r="G5" s="1174"/>
      <c r="H5" s="1174"/>
      <c r="I5" s="1174"/>
      <c r="J5" s="1174"/>
      <c r="K5" s="1174"/>
      <c r="L5" s="1174"/>
      <c r="M5" s="1174"/>
      <c r="N5" s="1174"/>
      <c r="O5" s="1174"/>
      <c r="P5" s="1174"/>
      <c r="Q5" s="1174"/>
      <c r="R5" s="1174"/>
      <c r="S5" s="1174"/>
      <c r="T5" s="1174"/>
      <c r="U5" s="1174"/>
      <c r="V5" s="1175"/>
      <c r="W5" s="276"/>
      <c r="X5" s="1142"/>
      <c r="AB5" s="1139"/>
      <c r="AC5" s="1140"/>
      <c r="AD5" s="1139"/>
      <c r="AE5" s="1140"/>
      <c r="AG5" s="1139"/>
      <c r="AH5" s="1140"/>
      <c r="AI5" s="1139"/>
      <c r="AJ5" s="1140"/>
      <c r="AL5" s="1134" t="s">
        <v>263</v>
      </c>
      <c r="AM5" s="1135"/>
      <c r="AN5" s="1135"/>
      <c r="AO5" s="1136"/>
      <c r="AP5" s="54"/>
      <c r="AQ5" s="1134" t="s">
        <v>264</v>
      </c>
      <c r="AR5" s="1135"/>
      <c r="AS5" s="1135"/>
      <c r="AT5" s="1136"/>
    </row>
    <row r="6" spans="1:46" ht="140.15" customHeight="1" x14ac:dyDescent="0.25">
      <c r="D6" s="57"/>
      <c r="E6" s="1171"/>
      <c r="F6" s="1169"/>
      <c r="G6" s="1174"/>
      <c r="H6" s="1174"/>
      <c r="I6" s="1174"/>
      <c r="J6" s="1174"/>
      <c r="K6" s="1174"/>
      <c r="L6" s="1174"/>
      <c r="M6" s="1174"/>
      <c r="N6" s="1174"/>
      <c r="O6" s="1174"/>
      <c r="P6" s="1174"/>
      <c r="Q6" s="1174"/>
      <c r="R6" s="1174"/>
      <c r="S6" s="1174"/>
      <c r="T6" s="1174"/>
      <c r="U6" s="1174"/>
      <c r="V6" s="1175"/>
      <c r="W6" s="277"/>
      <c r="X6" s="1143"/>
      <c r="AB6" s="493" t="s">
        <v>265</v>
      </c>
      <c r="AC6" s="494" t="s">
        <v>266</v>
      </c>
      <c r="AD6" s="493" t="s">
        <v>265</v>
      </c>
      <c r="AE6" s="494" t="s">
        <v>266</v>
      </c>
      <c r="AG6" s="60" t="s">
        <v>267</v>
      </c>
      <c r="AH6" s="62" t="s">
        <v>268</v>
      </c>
      <c r="AI6" s="60" t="s">
        <v>267</v>
      </c>
      <c r="AJ6" s="62" t="s">
        <v>268</v>
      </c>
      <c r="AL6" s="483" t="s">
        <v>269</v>
      </c>
      <c r="AM6" s="484" t="s">
        <v>270</v>
      </c>
      <c r="AN6" s="485" t="s">
        <v>271</v>
      </c>
      <c r="AO6" s="62" t="s">
        <v>272</v>
      </c>
      <c r="AP6" s="571"/>
      <c r="AQ6" s="483" t="s">
        <v>269</v>
      </c>
      <c r="AR6" s="484" t="s">
        <v>270</v>
      </c>
      <c r="AS6" s="485" t="s">
        <v>271</v>
      </c>
      <c r="AT6" s="62" t="s">
        <v>272</v>
      </c>
    </row>
    <row r="7" spans="1:46" ht="19.5" customHeight="1" x14ac:dyDescent="0.25">
      <c r="B7" s="1164" t="s">
        <v>62</v>
      </c>
      <c r="C7" s="66" t="s">
        <v>273</v>
      </c>
      <c r="D7" s="67">
        <f>[3]BEGINBLAD!D6</f>
        <v>8</v>
      </c>
      <c r="E7" s="328">
        <v>1</v>
      </c>
      <c r="F7" s="329" t="str">
        <f>BEGINBLAD!C4</f>
        <v>leerling 1</v>
      </c>
      <c r="G7" s="1146"/>
      <c r="H7" s="1146"/>
      <c r="I7" s="1146"/>
      <c r="J7" s="1146"/>
      <c r="K7" s="1146"/>
      <c r="L7" s="1146"/>
      <c r="M7" s="1146"/>
      <c r="N7" s="1146"/>
      <c r="O7" s="1146"/>
      <c r="P7" s="1146"/>
      <c r="Q7" s="1146"/>
      <c r="R7" s="1146"/>
      <c r="S7" s="1146"/>
      <c r="T7" s="1146"/>
      <c r="U7" s="1146"/>
      <c r="V7" s="1147"/>
      <c r="W7" s="276"/>
      <c r="X7" s="482"/>
      <c r="Z7" s="341" t="b">
        <v>0</v>
      </c>
      <c r="AB7" s="486"/>
      <c r="AC7" s="487"/>
      <c r="AD7" s="486"/>
      <c r="AE7" s="487"/>
      <c r="AG7" s="486"/>
      <c r="AH7" s="487"/>
      <c r="AI7" s="486"/>
      <c r="AJ7" s="487"/>
      <c r="AL7" s="179"/>
      <c r="AM7" s="180"/>
      <c r="AN7" s="180"/>
      <c r="AO7" s="181"/>
      <c r="AP7" s="446"/>
      <c r="AQ7" s="179"/>
      <c r="AR7" s="180"/>
      <c r="AS7" s="180"/>
      <c r="AT7" s="181"/>
    </row>
    <row r="8" spans="1:46" ht="19.5" customHeight="1" x14ac:dyDescent="0.25">
      <c r="B8" s="1164"/>
      <c r="C8" s="76" t="s">
        <v>274</v>
      </c>
      <c r="D8" s="67">
        <f>[3]BEGINBLAD!D7</f>
        <v>8</v>
      </c>
      <c r="E8" s="68">
        <v>2</v>
      </c>
      <c r="F8" s="329" t="str">
        <f>BEGINBLAD!C5</f>
        <v>leerling 2</v>
      </c>
      <c r="G8" s="1144"/>
      <c r="H8" s="1144"/>
      <c r="I8" s="1144"/>
      <c r="J8" s="1144"/>
      <c r="K8" s="1144"/>
      <c r="L8" s="1144"/>
      <c r="M8" s="1144"/>
      <c r="N8" s="1144"/>
      <c r="O8" s="1144"/>
      <c r="P8" s="1144"/>
      <c r="Q8" s="1144"/>
      <c r="R8" s="1144"/>
      <c r="S8" s="1144"/>
      <c r="T8" s="1144"/>
      <c r="U8" s="1144"/>
      <c r="V8" s="1145"/>
      <c r="W8" s="278"/>
      <c r="X8" s="331"/>
      <c r="Z8" s="341" t="b">
        <v>0</v>
      </c>
      <c r="AB8" s="486"/>
      <c r="AC8" s="487"/>
      <c r="AD8" s="486"/>
      <c r="AE8" s="487"/>
      <c r="AG8" s="486"/>
      <c r="AH8" s="487"/>
      <c r="AI8" s="486"/>
      <c r="AJ8" s="487"/>
      <c r="AL8" s="179"/>
      <c r="AM8" s="180"/>
      <c r="AN8" s="180"/>
      <c r="AO8" s="181"/>
      <c r="AP8" s="446"/>
      <c r="AQ8" s="179"/>
      <c r="AR8" s="180"/>
      <c r="AS8" s="180"/>
      <c r="AT8" s="181"/>
    </row>
    <row r="9" spans="1:46" ht="19.5" customHeight="1" x14ac:dyDescent="0.25">
      <c r="A9" s="77"/>
      <c r="B9" s="78"/>
      <c r="C9" s="868"/>
      <c r="D9" s="67">
        <f>[3]BEGINBLAD!D8</f>
        <v>8</v>
      </c>
      <c r="E9" s="68">
        <v>3</v>
      </c>
      <c r="F9" s="329" t="str">
        <f>BEGINBLAD!C6</f>
        <v>leerling 3</v>
      </c>
      <c r="G9" s="1144"/>
      <c r="H9" s="1144"/>
      <c r="I9" s="1144"/>
      <c r="J9" s="1144"/>
      <c r="K9" s="1144"/>
      <c r="L9" s="1144"/>
      <c r="M9" s="1144"/>
      <c r="N9" s="1144"/>
      <c r="O9" s="1144"/>
      <c r="P9" s="1144"/>
      <c r="Q9" s="1144"/>
      <c r="R9" s="1144"/>
      <c r="S9" s="1144"/>
      <c r="T9" s="1144"/>
      <c r="U9" s="1144"/>
      <c r="V9" s="1145"/>
      <c r="X9" s="332"/>
      <c r="Z9" s="341" t="b">
        <v>0</v>
      </c>
      <c r="AB9" s="486"/>
      <c r="AC9" s="487"/>
      <c r="AD9" s="486"/>
      <c r="AE9" s="487"/>
      <c r="AG9" s="486"/>
      <c r="AH9" s="487"/>
      <c r="AI9" s="486"/>
      <c r="AJ9" s="487"/>
      <c r="AL9" s="179"/>
      <c r="AM9" s="180"/>
      <c r="AN9" s="180"/>
      <c r="AO9" s="181"/>
      <c r="AP9" s="446"/>
      <c r="AQ9" s="179"/>
      <c r="AR9" s="180"/>
      <c r="AS9" s="180"/>
      <c r="AT9" s="181"/>
    </row>
    <row r="10" spans="1:46" ht="19.5" customHeight="1" x14ac:dyDescent="0.25">
      <c r="A10" s="77"/>
      <c r="B10" s="78"/>
      <c r="C10" s="868"/>
      <c r="D10" s="80">
        <f>[3]BEGINBLAD!D9</f>
        <v>8</v>
      </c>
      <c r="E10" s="68">
        <v>4</v>
      </c>
      <c r="F10" s="329" t="str">
        <f>BEGINBLAD!C7</f>
        <v>leerling 4</v>
      </c>
      <c r="G10" s="1144"/>
      <c r="H10" s="1144"/>
      <c r="I10" s="1144"/>
      <c r="J10" s="1144"/>
      <c r="K10" s="1144"/>
      <c r="L10" s="1144"/>
      <c r="M10" s="1144"/>
      <c r="N10" s="1144"/>
      <c r="O10" s="1144"/>
      <c r="P10" s="1144"/>
      <c r="Q10" s="1144"/>
      <c r="R10" s="1144"/>
      <c r="S10" s="1144"/>
      <c r="T10" s="1144"/>
      <c r="U10" s="1144"/>
      <c r="V10" s="1145"/>
      <c r="X10" s="332"/>
      <c r="Z10" s="341" t="b">
        <v>0</v>
      </c>
      <c r="AB10" s="486"/>
      <c r="AC10" s="487"/>
      <c r="AD10" s="486"/>
      <c r="AE10" s="487"/>
      <c r="AG10" s="486"/>
      <c r="AH10" s="487"/>
      <c r="AI10" s="486"/>
      <c r="AJ10" s="487"/>
      <c r="AL10" s="179"/>
      <c r="AM10" s="180"/>
      <c r="AN10" s="180"/>
      <c r="AO10" s="181"/>
      <c r="AP10" s="446"/>
      <c r="AQ10" s="179"/>
      <c r="AR10" s="180"/>
      <c r="AS10" s="180"/>
      <c r="AT10" s="181"/>
    </row>
    <row r="11" spans="1:46" ht="19.5" customHeight="1" x14ac:dyDescent="0.25">
      <c r="A11" s="77"/>
      <c r="B11" s="78"/>
      <c r="C11" s="868"/>
      <c r="D11" s="83">
        <f>[3]BEGINBLAD!D10</f>
        <v>8</v>
      </c>
      <c r="E11" s="68">
        <v>5</v>
      </c>
      <c r="F11" s="329" t="str">
        <f>BEGINBLAD!C8</f>
        <v>leerling 5</v>
      </c>
      <c r="G11" s="1144"/>
      <c r="H11" s="1144"/>
      <c r="I11" s="1144"/>
      <c r="J11" s="1144"/>
      <c r="K11" s="1144"/>
      <c r="L11" s="1144"/>
      <c r="M11" s="1144"/>
      <c r="N11" s="1144"/>
      <c r="O11" s="1144"/>
      <c r="P11" s="1144"/>
      <c r="Q11" s="1144"/>
      <c r="R11" s="1144"/>
      <c r="S11" s="1144"/>
      <c r="T11" s="1144"/>
      <c r="U11" s="1144"/>
      <c r="V11" s="1145"/>
      <c r="X11" s="332"/>
      <c r="Z11" s="341" t="b">
        <v>0</v>
      </c>
      <c r="AB11" s="486"/>
      <c r="AC11" s="487"/>
      <c r="AD11" s="486"/>
      <c r="AE11" s="487"/>
      <c r="AG11" s="486"/>
      <c r="AH11" s="487"/>
      <c r="AI11" s="486"/>
      <c r="AJ11" s="487"/>
      <c r="AL11" s="179"/>
      <c r="AM11" s="180"/>
      <c r="AN11" s="180"/>
      <c r="AO11" s="181"/>
      <c r="AP11" s="446"/>
      <c r="AQ11" s="179"/>
      <c r="AR11" s="180"/>
      <c r="AS11" s="180"/>
      <c r="AT11" s="181"/>
    </row>
    <row r="12" spans="1:46" ht="19.5" customHeight="1" x14ac:dyDescent="0.25">
      <c r="A12" s="77"/>
      <c r="B12" s="78"/>
      <c r="C12" s="868"/>
      <c r="D12" s="85">
        <f>[3]BEGINBLAD!D11</f>
        <v>8</v>
      </c>
      <c r="E12" s="68">
        <v>6</v>
      </c>
      <c r="F12" s="329" t="str">
        <f>BEGINBLAD!C9</f>
        <v>leerling 6</v>
      </c>
      <c r="G12" s="1146"/>
      <c r="H12" s="1146"/>
      <c r="I12" s="1146"/>
      <c r="J12" s="1146"/>
      <c r="K12" s="1146"/>
      <c r="L12" s="1146"/>
      <c r="M12" s="1146"/>
      <c r="N12" s="1146"/>
      <c r="O12" s="1146"/>
      <c r="P12" s="1146"/>
      <c r="Q12" s="1146"/>
      <c r="R12" s="1146"/>
      <c r="S12" s="1146"/>
      <c r="T12" s="1146"/>
      <c r="U12" s="1146"/>
      <c r="V12" s="1147"/>
      <c r="X12" s="332"/>
      <c r="Z12" s="341" t="b">
        <v>0</v>
      </c>
      <c r="AB12" s="486"/>
      <c r="AC12" s="487"/>
      <c r="AD12" s="486"/>
      <c r="AE12" s="487"/>
      <c r="AG12" s="486"/>
      <c r="AH12" s="487"/>
      <c r="AI12" s="486"/>
      <c r="AJ12" s="487"/>
      <c r="AL12" s="179"/>
      <c r="AM12" s="180"/>
      <c r="AN12" s="180"/>
      <c r="AO12" s="181"/>
      <c r="AP12" s="446"/>
      <c r="AQ12" s="179"/>
      <c r="AR12" s="180"/>
      <c r="AS12" s="180"/>
      <c r="AT12" s="181"/>
    </row>
    <row r="13" spans="1:46" ht="19.5" customHeight="1" x14ac:dyDescent="0.25">
      <c r="A13" s="77"/>
      <c r="B13" s="78"/>
      <c r="C13" s="868"/>
      <c r="D13" s="85">
        <f>[3]BEGINBLAD!D12</f>
        <v>8</v>
      </c>
      <c r="E13" s="68">
        <v>7</v>
      </c>
      <c r="F13" s="329" t="str">
        <f>BEGINBLAD!C10</f>
        <v>leerling 7</v>
      </c>
      <c r="G13" s="1146"/>
      <c r="H13" s="1146"/>
      <c r="I13" s="1146"/>
      <c r="J13" s="1146"/>
      <c r="K13" s="1146"/>
      <c r="L13" s="1146"/>
      <c r="M13" s="1146"/>
      <c r="N13" s="1146"/>
      <c r="O13" s="1146"/>
      <c r="P13" s="1146"/>
      <c r="Q13" s="1146"/>
      <c r="R13" s="1146"/>
      <c r="S13" s="1146"/>
      <c r="T13" s="1146"/>
      <c r="U13" s="1146"/>
      <c r="V13" s="1147"/>
      <c r="X13" s="332"/>
      <c r="Z13" s="341" t="b">
        <v>0</v>
      </c>
      <c r="AB13" s="486"/>
      <c r="AC13" s="487"/>
      <c r="AD13" s="486"/>
      <c r="AE13" s="487"/>
      <c r="AG13" s="486"/>
      <c r="AH13" s="487"/>
      <c r="AI13" s="486"/>
      <c r="AJ13" s="487"/>
      <c r="AL13" s="179"/>
      <c r="AM13" s="180"/>
      <c r="AN13" s="180"/>
      <c r="AO13" s="181"/>
      <c r="AP13" s="446"/>
      <c r="AQ13" s="179"/>
      <c r="AR13" s="180"/>
      <c r="AS13" s="180"/>
      <c r="AT13" s="181"/>
    </row>
    <row r="14" spans="1:46" ht="19.5" customHeight="1" x14ac:dyDescent="0.25">
      <c r="A14" s="77"/>
      <c r="B14" s="78"/>
      <c r="C14" s="868"/>
      <c r="D14" s="67">
        <f>[3]BEGINBLAD!D13</f>
        <v>8</v>
      </c>
      <c r="E14" s="68">
        <v>8</v>
      </c>
      <c r="F14" s="329" t="str">
        <f>BEGINBLAD!C11</f>
        <v>leerling 8</v>
      </c>
      <c r="G14" s="1146"/>
      <c r="H14" s="1146"/>
      <c r="I14" s="1146"/>
      <c r="J14" s="1146"/>
      <c r="K14" s="1146"/>
      <c r="L14" s="1146"/>
      <c r="M14" s="1146"/>
      <c r="N14" s="1146"/>
      <c r="O14" s="1146"/>
      <c r="P14" s="1146"/>
      <c r="Q14" s="1146"/>
      <c r="R14" s="1146"/>
      <c r="S14" s="1146"/>
      <c r="T14" s="1146"/>
      <c r="U14" s="1146"/>
      <c r="V14" s="1147"/>
      <c r="X14" s="332"/>
      <c r="Z14" s="341" t="b">
        <v>0</v>
      </c>
      <c r="AB14" s="486"/>
      <c r="AC14" s="487"/>
      <c r="AD14" s="486"/>
      <c r="AE14" s="487"/>
      <c r="AG14" s="486"/>
      <c r="AH14" s="487"/>
      <c r="AI14" s="486"/>
      <c r="AJ14" s="487"/>
      <c r="AL14" s="179"/>
      <c r="AM14" s="180"/>
      <c r="AN14" s="180"/>
      <c r="AO14" s="181"/>
      <c r="AP14" s="446"/>
      <c r="AQ14" s="179"/>
      <c r="AR14" s="180"/>
      <c r="AS14" s="180"/>
      <c r="AT14" s="181"/>
    </row>
    <row r="15" spans="1:46" ht="19.5" customHeight="1" x14ac:dyDescent="0.25">
      <c r="A15" s="77"/>
      <c r="B15" s="78"/>
      <c r="C15" s="868"/>
      <c r="D15" s="67">
        <f>[3]BEGINBLAD!D14</f>
        <v>8</v>
      </c>
      <c r="E15" s="68">
        <v>9</v>
      </c>
      <c r="F15" s="329">
        <f>BEGINBLAD!C12</f>
        <v>0</v>
      </c>
      <c r="G15" s="1146"/>
      <c r="H15" s="1146"/>
      <c r="I15" s="1146"/>
      <c r="J15" s="1146"/>
      <c r="K15" s="1146"/>
      <c r="L15" s="1146"/>
      <c r="M15" s="1146"/>
      <c r="N15" s="1146"/>
      <c r="O15" s="1146"/>
      <c r="P15" s="1146"/>
      <c r="Q15" s="1146"/>
      <c r="R15" s="1146"/>
      <c r="S15" s="1146"/>
      <c r="T15" s="1146"/>
      <c r="U15" s="1146"/>
      <c r="V15" s="1147"/>
      <c r="X15" s="332"/>
      <c r="Z15" s="341" t="b">
        <v>0</v>
      </c>
      <c r="AB15" s="486"/>
      <c r="AC15" s="487"/>
      <c r="AD15" s="486"/>
      <c r="AE15" s="487"/>
      <c r="AG15" s="486"/>
      <c r="AH15" s="487"/>
      <c r="AI15" s="486"/>
      <c r="AJ15" s="487"/>
      <c r="AL15" s="179"/>
      <c r="AM15" s="180"/>
      <c r="AN15" s="180"/>
      <c r="AO15" s="181"/>
      <c r="AP15" s="446"/>
      <c r="AQ15" s="179"/>
      <c r="AR15" s="180"/>
      <c r="AS15" s="180"/>
      <c r="AT15" s="181"/>
    </row>
    <row r="16" spans="1:46" ht="19.5" customHeight="1" x14ac:dyDescent="0.25">
      <c r="A16" s="77"/>
      <c r="B16" s="78"/>
      <c r="C16" s="868"/>
      <c r="D16" s="67">
        <f>[3]BEGINBLAD!D15</f>
        <v>8</v>
      </c>
      <c r="E16" s="68">
        <v>10</v>
      </c>
      <c r="F16" s="329">
        <f>BEGINBLAD!C13</f>
        <v>0</v>
      </c>
      <c r="G16" s="1146"/>
      <c r="H16" s="1146"/>
      <c r="I16" s="1146"/>
      <c r="J16" s="1146"/>
      <c r="K16" s="1146"/>
      <c r="L16" s="1146"/>
      <c r="M16" s="1146"/>
      <c r="N16" s="1146"/>
      <c r="O16" s="1146"/>
      <c r="P16" s="1146"/>
      <c r="Q16" s="1146"/>
      <c r="R16" s="1146"/>
      <c r="S16" s="1146"/>
      <c r="T16" s="1146"/>
      <c r="U16" s="1146"/>
      <c r="V16" s="1147"/>
      <c r="X16" s="332"/>
      <c r="Z16" s="341" t="b">
        <v>0</v>
      </c>
      <c r="AB16" s="486"/>
      <c r="AC16" s="487"/>
      <c r="AD16" s="486"/>
      <c r="AE16" s="487"/>
      <c r="AG16" s="486"/>
      <c r="AH16" s="487"/>
      <c r="AI16" s="486"/>
      <c r="AJ16" s="487"/>
      <c r="AL16" s="179"/>
      <c r="AM16" s="180"/>
      <c r="AN16" s="180"/>
      <c r="AO16" s="181"/>
      <c r="AP16" s="446"/>
      <c r="AQ16" s="179"/>
      <c r="AR16" s="180"/>
      <c r="AS16" s="180"/>
      <c r="AT16" s="181"/>
    </row>
    <row r="17" spans="1:46" ht="19.5" customHeight="1" x14ac:dyDescent="0.25">
      <c r="A17" s="77"/>
      <c r="B17" s="78"/>
      <c r="C17" s="868"/>
      <c r="D17" s="67">
        <f>[3]BEGINBLAD!D16</f>
        <v>8</v>
      </c>
      <c r="E17" s="68">
        <v>11</v>
      </c>
      <c r="F17" s="329">
        <f>BEGINBLAD!C14</f>
        <v>0</v>
      </c>
      <c r="G17" s="1179"/>
      <c r="H17" s="1180"/>
      <c r="I17" s="1180"/>
      <c r="J17" s="1180"/>
      <c r="K17" s="1180"/>
      <c r="L17" s="1180"/>
      <c r="M17" s="1180"/>
      <c r="N17" s="1180"/>
      <c r="O17" s="1180"/>
      <c r="P17" s="1180"/>
      <c r="Q17" s="1180"/>
      <c r="R17" s="1180"/>
      <c r="S17" s="1180"/>
      <c r="T17" s="1180"/>
      <c r="U17" s="1180"/>
      <c r="V17" s="1181"/>
      <c r="X17" s="332"/>
      <c r="Z17" s="341" t="b">
        <v>0</v>
      </c>
      <c r="AB17" s="486"/>
      <c r="AC17" s="487"/>
      <c r="AD17" s="486"/>
      <c r="AE17" s="487"/>
      <c r="AG17" s="486"/>
      <c r="AH17" s="487"/>
      <c r="AI17" s="486"/>
      <c r="AJ17" s="487"/>
      <c r="AL17" s="179"/>
      <c r="AM17" s="180"/>
      <c r="AN17" s="180"/>
      <c r="AO17" s="181"/>
      <c r="AP17" s="446"/>
      <c r="AQ17" s="179"/>
      <c r="AR17" s="180"/>
      <c r="AS17" s="180"/>
      <c r="AT17" s="181"/>
    </row>
    <row r="18" spans="1:46" ht="19.5" customHeight="1" x14ac:dyDescent="0.25">
      <c r="A18" s="77"/>
      <c r="B18" s="78"/>
      <c r="C18" s="868"/>
      <c r="D18" s="67">
        <f>[3]BEGINBLAD!D17</f>
        <v>8</v>
      </c>
      <c r="E18" s="68">
        <v>12</v>
      </c>
      <c r="F18" s="329">
        <f>BEGINBLAD!C15</f>
        <v>0</v>
      </c>
      <c r="G18" s="1146"/>
      <c r="H18" s="1146"/>
      <c r="I18" s="1146"/>
      <c r="J18" s="1146"/>
      <c r="K18" s="1146"/>
      <c r="L18" s="1146"/>
      <c r="M18" s="1146"/>
      <c r="N18" s="1146"/>
      <c r="O18" s="1146"/>
      <c r="P18" s="1146"/>
      <c r="Q18" s="1146"/>
      <c r="R18" s="1146"/>
      <c r="S18" s="1146"/>
      <c r="T18" s="1146"/>
      <c r="U18" s="1146"/>
      <c r="V18" s="1147"/>
      <c r="W18" s="75"/>
      <c r="X18" s="332"/>
      <c r="Z18" s="341" t="b">
        <v>0</v>
      </c>
      <c r="AB18" s="486"/>
      <c r="AC18" s="487"/>
      <c r="AD18" s="486"/>
      <c r="AE18" s="487"/>
      <c r="AG18" s="486"/>
      <c r="AH18" s="487"/>
      <c r="AI18" s="486"/>
      <c r="AJ18" s="487"/>
      <c r="AL18" s="179"/>
      <c r="AM18" s="180"/>
      <c r="AN18" s="180"/>
      <c r="AO18" s="181"/>
      <c r="AP18" s="446"/>
      <c r="AQ18" s="179"/>
      <c r="AR18" s="180"/>
      <c r="AS18" s="180"/>
      <c r="AT18" s="181"/>
    </row>
    <row r="19" spans="1:46" ht="19.5" customHeight="1" x14ac:dyDescent="0.25">
      <c r="A19" s="77"/>
      <c r="B19" s="78"/>
      <c r="C19" s="868"/>
      <c r="D19" s="80">
        <f>[3]BEGINBLAD!D18</f>
        <v>8</v>
      </c>
      <c r="E19" s="68">
        <v>13</v>
      </c>
      <c r="F19" s="329">
        <f>BEGINBLAD!C16</f>
        <v>0</v>
      </c>
      <c r="G19" s="1146"/>
      <c r="H19" s="1146"/>
      <c r="I19" s="1146"/>
      <c r="J19" s="1146"/>
      <c r="K19" s="1146"/>
      <c r="L19" s="1146"/>
      <c r="M19" s="1146"/>
      <c r="N19" s="1146"/>
      <c r="O19" s="1146"/>
      <c r="P19" s="1146"/>
      <c r="Q19" s="1146"/>
      <c r="R19" s="1146"/>
      <c r="S19" s="1146"/>
      <c r="T19" s="1146"/>
      <c r="U19" s="1146"/>
      <c r="V19" s="1147"/>
      <c r="W19" s="330"/>
      <c r="X19" s="332"/>
      <c r="Z19" s="341" t="b">
        <v>0</v>
      </c>
      <c r="AB19" s="486"/>
      <c r="AC19" s="487"/>
      <c r="AD19" s="486"/>
      <c r="AE19" s="487"/>
      <c r="AG19" s="486"/>
      <c r="AH19" s="487"/>
      <c r="AI19" s="486"/>
      <c r="AJ19" s="487"/>
      <c r="AL19" s="179"/>
      <c r="AM19" s="180"/>
      <c r="AN19" s="180"/>
      <c r="AO19" s="181"/>
      <c r="AP19" s="446"/>
      <c r="AQ19" s="179"/>
      <c r="AR19" s="180"/>
      <c r="AS19" s="180"/>
      <c r="AT19" s="181"/>
    </row>
    <row r="20" spans="1:46" ht="19.5" customHeight="1" x14ac:dyDescent="0.25">
      <c r="A20" s="77"/>
      <c r="B20" s="78"/>
      <c r="C20" s="868"/>
      <c r="D20" s="85">
        <f>[3]BEGINBLAD!D19</f>
        <v>8</v>
      </c>
      <c r="E20" s="68">
        <v>14</v>
      </c>
      <c r="F20" s="329">
        <f>BEGINBLAD!C17</f>
        <v>0</v>
      </c>
      <c r="G20" s="1179"/>
      <c r="H20" s="1180"/>
      <c r="I20" s="1180"/>
      <c r="J20" s="1180"/>
      <c r="K20" s="1180"/>
      <c r="L20" s="1180"/>
      <c r="M20" s="1180"/>
      <c r="N20" s="1180"/>
      <c r="O20" s="1180"/>
      <c r="P20" s="1180"/>
      <c r="Q20" s="1180"/>
      <c r="R20" s="1180"/>
      <c r="S20" s="1180"/>
      <c r="T20" s="1180"/>
      <c r="U20" s="1180"/>
      <c r="V20" s="1181"/>
      <c r="W20" s="330"/>
      <c r="X20" s="332"/>
      <c r="Z20" s="341" t="b">
        <v>0</v>
      </c>
      <c r="AB20" s="486"/>
      <c r="AC20" s="487"/>
      <c r="AD20" s="486"/>
      <c r="AE20" s="487"/>
      <c r="AG20" s="486"/>
      <c r="AH20" s="487"/>
      <c r="AI20" s="486"/>
      <c r="AJ20" s="487"/>
      <c r="AL20" s="179"/>
      <c r="AM20" s="180"/>
      <c r="AN20" s="180"/>
      <c r="AO20" s="181"/>
      <c r="AP20" s="446"/>
      <c r="AQ20" s="179"/>
      <c r="AR20" s="180"/>
      <c r="AS20" s="180"/>
      <c r="AT20" s="181"/>
    </row>
    <row r="21" spans="1:46" ht="19.5" customHeight="1" x14ac:dyDescent="0.25">
      <c r="D21" s="85">
        <f>[3]BEGINBLAD!D20</f>
        <v>8</v>
      </c>
      <c r="E21" s="68">
        <v>15</v>
      </c>
      <c r="F21" s="329">
        <f>BEGINBLAD!C18</f>
        <v>0</v>
      </c>
      <c r="G21" s="1146"/>
      <c r="H21" s="1146"/>
      <c r="I21" s="1146"/>
      <c r="J21" s="1146"/>
      <c r="K21" s="1146"/>
      <c r="L21" s="1146"/>
      <c r="M21" s="1146"/>
      <c r="N21" s="1146"/>
      <c r="O21" s="1146"/>
      <c r="P21" s="1146"/>
      <c r="Q21" s="1146"/>
      <c r="R21" s="1146"/>
      <c r="S21" s="1146"/>
      <c r="T21" s="1146"/>
      <c r="U21" s="1146"/>
      <c r="V21" s="1147"/>
      <c r="W21" s="330"/>
      <c r="X21" s="332"/>
      <c r="Z21" s="341" t="b">
        <v>0</v>
      </c>
      <c r="AB21" s="486"/>
      <c r="AC21" s="487"/>
      <c r="AD21" s="486"/>
      <c r="AE21" s="487"/>
      <c r="AG21" s="486"/>
      <c r="AH21" s="487"/>
      <c r="AI21" s="486"/>
      <c r="AJ21" s="487"/>
      <c r="AL21" s="179"/>
      <c r="AM21" s="180"/>
      <c r="AN21" s="180"/>
      <c r="AO21" s="181"/>
      <c r="AP21" s="446"/>
      <c r="AQ21" s="179"/>
      <c r="AR21" s="180"/>
      <c r="AS21" s="180"/>
      <c r="AT21" s="181"/>
    </row>
    <row r="22" spans="1:46" ht="19.5" customHeight="1" x14ac:dyDescent="0.3">
      <c r="D22" s="85">
        <f>[3]BEGINBLAD!D21</f>
        <v>8</v>
      </c>
      <c r="E22" s="68">
        <v>16</v>
      </c>
      <c r="F22" s="329">
        <f>BEGINBLAD!C19</f>
        <v>0</v>
      </c>
      <c r="G22" s="1146"/>
      <c r="H22" s="1146"/>
      <c r="I22" s="1146"/>
      <c r="J22" s="1146"/>
      <c r="K22" s="1146"/>
      <c r="L22" s="1146"/>
      <c r="M22" s="1146"/>
      <c r="N22" s="1146"/>
      <c r="O22" s="1146"/>
      <c r="P22" s="1146"/>
      <c r="Q22" s="1146"/>
      <c r="R22" s="1146"/>
      <c r="S22" s="1146"/>
      <c r="T22" s="1146"/>
      <c r="U22" s="1146"/>
      <c r="V22" s="1147"/>
      <c r="W22" s="330"/>
      <c r="X22" s="332"/>
      <c r="Z22" s="341" t="b">
        <v>0</v>
      </c>
      <c r="AB22" s="486"/>
      <c r="AC22" s="487"/>
      <c r="AD22" s="486"/>
      <c r="AE22" s="487"/>
      <c r="AG22" s="486"/>
      <c r="AH22" s="487"/>
      <c r="AI22" s="486"/>
      <c r="AJ22" s="487"/>
      <c r="AK22" s="88"/>
      <c r="AL22" s="179"/>
      <c r="AM22" s="180"/>
      <c r="AN22" s="180"/>
      <c r="AO22" s="181"/>
      <c r="AP22" s="446"/>
      <c r="AQ22" s="179"/>
      <c r="AR22" s="180"/>
      <c r="AS22" s="180"/>
      <c r="AT22" s="181"/>
    </row>
    <row r="23" spans="1:46" ht="19.5" customHeight="1" x14ac:dyDescent="0.25">
      <c r="D23" s="85">
        <f>[3]BEGINBLAD!D22</f>
        <v>8</v>
      </c>
      <c r="E23" s="68">
        <v>17</v>
      </c>
      <c r="F23" s="329">
        <f>BEGINBLAD!C20</f>
        <v>0</v>
      </c>
      <c r="G23" s="1144"/>
      <c r="H23" s="1144"/>
      <c r="I23" s="1144"/>
      <c r="J23" s="1144"/>
      <c r="K23" s="1144"/>
      <c r="L23" s="1144"/>
      <c r="M23" s="1144"/>
      <c r="N23" s="1144"/>
      <c r="O23" s="1144"/>
      <c r="P23" s="1144"/>
      <c r="Q23" s="1144"/>
      <c r="R23" s="1144"/>
      <c r="S23" s="1144"/>
      <c r="T23" s="1144"/>
      <c r="U23" s="1144"/>
      <c r="V23" s="1145"/>
      <c r="W23" s="75"/>
      <c r="X23" s="332"/>
      <c r="Z23" s="341" t="b">
        <v>0</v>
      </c>
      <c r="AB23" s="486"/>
      <c r="AC23" s="487"/>
      <c r="AD23" s="486"/>
      <c r="AE23" s="487"/>
      <c r="AG23" s="486"/>
      <c r="AH23" s="487"/>
      <c r="AI23" s="486"/>
      <c r="AJ23" s="487"/>
      <c r="AL23" s="179"/>
      <c r="AM23" s="180"/>
      <c r="AN23" s="180"/>
      <c r="AO23" s="181"/>
      <c r="AP23" s="446"/>
      <c r="AQ23" s="179"/>
      <c r="AR23" s="180"/>
      <c r="AS23" s="180"/>
      <c r="AT23" s="181"/>
    </row>
    <row r="24" spans="1:46" ht="19.5" customHeight="1" x14ac:dyDescent="0.25">
      <c r="D24" s="85">
        <f>[3]BEGINBLAD!D23</f>
        <v>8</v>
      </c>
      <c r="E24" s="68">
        <v>18</v>
      </c>
      <c r="F24" s="329">
        <f>BEGINBLAD!C21</f>
        <v>0</v>
      </c>
      <c r="G24" s="1144"/>
      <c r="H24" s="1144"/>
      <c r="I24" s="1144"/>
      <c r="J24" s="1144"/>
      <c r="K24" s="1144"/>
      <c r="L24" s="1144"/>
      <c r="M24" s="1144"/>
      <c r="N24" s="1144"/>
      <c r="O24" s="1144"/>
      <c r="P24" s="1144"/>
      <c r="Q24" s="1144"/>
      <c r="R24" s="1144"/>
      <c r="S24" s="1144"/>
      <c r="T24" s="1144"/>
      <c r="U24" s="1144"/>
      <c r="V24" s="1145"/>
      <c r="W24" s="330"/>
      <c r="X24" s="332"/>
      <c r="Z24" s="341" t="b">
        <v>0</v>
      </c>
      <c r="AB24" s="486"/>
      <c r="AC24" s="487"/>
      <c r="AD24" s="486"/>
      <c r="AE24" s="487"/>
      <c r="AG24" s="486"/>
      <c r="AH24" s="487"/>
      <c r="AI24" s="486"/>
      <c r="AJ24" s="487"/>
      <c r="AL24" s="179"/>
      <c r="AM24" s="180"/>
      <c r="AN24" s="180"/>
      <c r="AO24" s="181"/>
      <c r="AP24" s="446"/>
      <c r="AQ24" s="179"/>
      <c r="AR24" s="180"/>
      <c r="AS24" s="180"/>
      <c r="AT24" s="181"/>
    </row>
    <row r="25" spans="1:46" ht="19.5" customHeight="1" x14ac:dyDescent="0.25">
      <c r="B25" s="53"/>
      <c r="C25" s="53"/>
      <c r="D25" s="85">
        <f>[3]BEGINBLAD!D24</f>
        <v>8</v>
      </c>
      <c r="E25" s="68">
        <v>19</v>
      </c>
      <c r="F25" s="329">
        <f>BEGINBLAD!C22</f>
        <v>0</v>
      </c>
      <c r="G25" s="1144"/>
      <c r="H25" s="1144"/>
      <c r="I25" s="1144"/>
      <c r="J25" s="1144"/>
      <c r="K25" s="1144"/>
      <c r="L25" s="1144"/>
      <c r="M25" s="1144"/>
      <c r="N25" s="1144"/>
      <c r="O25" s="1144"/>
      <c r="P25" s="1144"/>
      <c r="Q25" s="1144"/>
      <c r="R25" s="1144"/>
      <c r="S25" s="1144"/>
      <c r="T25" s="1144"/>
      <c r="U25" s="1144"/>
      <c r="V25" s="1145"/>
      <c r="W25" s="330"/>
      <c r="X25" s="332"/>
      <c r="Z25" s="341" t="b">
        <v>0</v>
      </c>
      <c r="AB25" s="486"/>
      <c r="AC25" s="487"/>
      <c r="AD25" s="486"/>
      <c r="AE25" s="487"/>
      <c r="AG25" s="486"/>
      <c r="AH25" s="487"/>
      <c r="AI25" s="486"/>
      <c r="AJ25" s="487"/>
      <c r="AL25" s="179"/>
      <c r="AM25" s="180"/>
      <c r="AN25" s="180"/>
      <c r="AO25" s="181"/>
      <c r="AP25" s="446"/>
      <c r="AQ25" s="179"/>
      <c r="AR25" s="180"/>
      <c r="AS25" s="180"/>
      <c r="AT25" s="181"/>
    </row>
    <row r="26" spans="1:46" ht="19.5" customHeight="1" x14ac:dyDescent="0.25">
      <c r="B26" s="89"/>
      <c r="C26" s="53"/>
      <c r="D26" s="85">
        <f>[3]BEGINBLAD!D25</f>
        <v>8</v>
      </c>
      <c r="E26" s="68">
        <v>20</v>
      </c>
      <c r="F26" s="329">
        <f>BEGINBLAD!C23</f>
        <v>0</v>
      </c>
      <c r="G26" s="1144"/>
      <c r="H26" s="1144"/>
      <c r="I26" s="1144"/>
      <c r="J26" s="1144"/>
      <c r="K26" s="1144"/>
      <c r="L26" s="1144"/>
      <c r="M26" s="1144"/>
      <c r="N26" s="1144"/>
      <c r="O26" s="1144"/>
      <c r="P26" s="1144"/>
      <c r="Q26" s="1144"/>
      <c r="R26" s="1144"/>
      <c r="S26" s="1144"/>
      <c r="T26" s="1144"/>
      <c r="U26" s="1144"/>
      <c r="V26" s="1145"/>
      <c r="W26" s="330"/>
      <c r="X26" s="332"/>
      <c r="Z26" s="341" t="b">
        <v>0</v>
      </c>
      <c r="AB26" s="486"/>
      <c r="AC26" s="487"/>
      <c r="AD26" s="486"/>
      <c r="AE26" s="487"/>
      <c r="AG26" s="486"/>
      <c r="AH26" s="487"/>
      <c r="AI26" s="486"/>
      <c r="AJ26" s="487"/>
      <c r="AL26" s="179"/>
      <c r="AM26" s="180"/>
      <c r="AN26" s="180"/>
      <c r="AO26" s="181"/>
      <c r="AP26" s="446"/>
      <c r="AQ26" s="179"/>
      <c r="AR26" s="180"/>
      <c r="AS26" s="180"/>
      <c r="AT26" s="181"/>
    </row>
    <row r="27" spans="1:46" ht="19.5" customHeight="1" x14ac:dyDescent="0.25">
      <c r="B27" s="89"/>
      <c r="C27" s="53"/>
      <c r="D27" s="85">
        <f>[3]BEGINBLAD!D26</f>
        <v>8</v>
      </c>
      <c r="E27" s="68">
        <v>21</v>
      </c>
      <c r="F27" s="329">
        <f>BEGINBLAD!C24</f>
        <v>0</v>
      </c>
      <c r="G27" s="1144"/>
      <c r="H27" s="1144"/>
      <c r="I27" s="1144"/>
      <c r="J27" s="1144"/>
      <c r="K27" s="1144"/>
      <c r="L27" s="1144"/>
      <c r="M27" s="1144"/>
      <c r="N27" s="1144"/>
      <c r="O27" s="1144"/>
      <c r="P27" s="1144"/>
      <c r="Q27" s="1144"/>
      <c r="R27" s="1144"/>
      <c r="S27" s="1144"/>
      <c r="T27" s="1144"/>
      <c r="U27" s="1144"/>
      <c r="V27" s="1145"/>
      <c r="W27" s="330"/>
      <c r="X27" s="332"/>
      <c r="Z27" s="341" t="b">
        <v>0</v>
      </c>
      <c r="AB27" s="486"/>
      <c r="AC27" s="487"/>
      <c r="AD27" s="486"/>
      <c r="AE27" s="487"/>
      <c r="AG27" s="486"/>
      <c r="AH27" s="487"/>
      <c r="AI27" s="486"/>
      <c r="AJ27" s="487"/>
      <c r="AL27" s="179"/>
      <c r="AM27" s="180"/>
      <c r="AN27" s="180"/>
      <c r="AO27" s="181"/>
      <c r="AP27" s="446"/>
      <c r="AQ27" s="179"/>
      <c r="AR27" s="180"/>
      <c r="AS27" s="180"/>
      <c r="AT27" s="181"/>
    </row>
    <row r="28" spans="1:46" ht="19.5" customHeight="1" x14ac:dyDescent="0.25">
      <c r="D28" s="85">
        <f>[3]BEGINBLAD!D27</f>
        <v>8</v>
      </c>
      <c r="E28" s="68">
        <v>22</v>
      </c>
      <c r="F28" s="329">
        <f>BEGINBLAD!C25</f>
        <v>0</v>
      </c>
      <c r="G28" s="1144"/>
      <c r="H28" s="1144"/>
      <c r="I28" s="1144"/>
      <c r="J28" s="1144"/>
      <c r="K28" s="1144"/>
      <c r="L28" s="1144"/>
      <c r="M28" s="1144"/>
      <c r="N28" s="1144"/>
      <c r="O28" s="1144"/>
      <c r="P28" s="1144"/>
      <c r="Q28" s="1144"/>
      <c r="R28" s="1144"/>
      <c r="S28" s="1144"/>
      <c r="T28" s="1144"/>
      <c r="U28" s="1144"/>
      <c r="V28" s="1145"/>
      <c r="W28" s="75"/>
      <c r="X28" s="332"/>
      <c r="Z28" s="341" t="b">
        <v>0</v>
      </c>
      <c r="AB28" s="486"/>
      <c r="AC28" s="487"/>
      <c r="AD28" s="486"/>
      <c r="AE28" s="487"/>
      <c r="AG28" s="486"/>
      <c r="AH28" s="487"/>
      <c r="AI28" s="486"/>
      <c r="AJ28" s="487"/>
      <c r="AL28" s="179"/>
      <c r="AM28" s="180"/>
      <c r="AN28" s="180"/>
      <c r="AO28" s="181"/>
      <c r="AP28" s="446"/>
      <c r="AQ28" s="179"/>
      <c r="AR28" s="180"/>
      <c r="AS28" s="180"/>
      <c r="AT28" s="181"/>
    </row>
    <row r="29" spans="1:46" s="92" customFormat="1" ht="19.5" customHeight="1" x14ac:dyDescent="0.55000000000000004">
      <c r="A29" s="51"/>
      <c r="B29" s="1164" t="s">
        <v>62</v>
      </c>
      <c r="C29" s="66" t="s">
        <v>275</v>
      </c>
      <c r="D29" s="80">
        <f>[3]BEGINBLAD!D28</f>
        <v>8</v>
      </c>
      <c r="E29" s="68">
        <v>23</v>
      </c>
      <c r="F29" s="329">
        <f>BEGINBLAD!C26</f>
        <v>0</v>
      </c>
      <c r="G29" s="1144"/>
      <c r="H29" s="1144"/>
      <c r="I29" s="1144"/>
      <c r="J29" s="1144"/>
      <c r="K29" s="1144"/>
      <c r="L29" s="1144"/>
      <c r="M29" s="1144"/>
      <c r="N29" s="1144"/>
      <c r="O29" s="1144"/>
      <c r="P29" s="1144"/>
      <c r="Q29" s="1144"/>
      <c r="R29" s="1144"/>
      <c r="S29" s="1144"/>
      <c r="T29" s="1144"/>
      <c r="U29" s="1144"/>
      <c r="V29" s="1145"/>
      <c r="W29" s="330"/>
      <c r="X29" s="332"/>
      <c r="Y29" s="91"/>
      <c r="Z29" s="341" t="b">
        <v>0</v>
      </c>
      <c r="AA29" s="281"/>
      <c r="AB29" s="486"/>
      <c r="AC29" s="487"/>
      <c r="AD29" s="486"/>
      <c r="AE29" s="487"/>
      <c r="AF29" s="281"/>
      <c r="AG29" s="486"/>
      <c r="AH29" s="487"/>
      <c r="AI29" s="486"/>
      <c r="AJ29" s="487"/>
      <c r="AL29" s="179"/>
      <c r="AM29" s="180"/>
      <c r="AN29" s="180"/>
      <c r="AO29" s="181"/>
      <c r="AP29" s="446"/>
      <c r="AQ29" s="179"/>
      <c r="AR29" s="180"/>
      <c r="AS29" s="180"/>
      <c r="AT29" s="181"/>
    </row>
    <row r="30" spans="1:46" ht="19.5" customHeight="1" x14ac:dyDescent="0.25">
      <c r="B30" s="1164"/>
      <c r="C30" s="76" t="s">
        <v>274</v>
      </c>
      <c r="D30" s="80">
        <f>[3]BEGINBLAD!D29</f>
        <v>8</v>
      </c>
      <c r="E30" s="68">
        <v>24</v>
      </c>
      <c r="F30" s="329">
        <f>BEGINBLAD!C27</f>
        <v>0</v>
      </c>
      <c r="G30" s="1144"/>
      <c r="H30" s="1144"/>
      <c r="I30" s="1144"/>
      <c r="J30" s="1144"/>
      <c r="K30" s="1144"/>
      <c r="L30" s="1144"/>
      <c r="M30" s="1144"/>
      <c r="N30" s="1144"/>
      <c r="O30" s="1144"/>
      <c r="P30" s="1144"/>
      <c r="Q30" s="1144"/>
      <c r="R30" s="1144"/>
      <c r="S30" s="1144"/>
      <c r="T30" s="1144"/>
      <c r="U30" s="1144"/>
      <c r="V30" s="1145"/>
      <c r="W30" s="330"/>
      <c r="X30" s="332"/>
      <c r="Y30" s="56"/>
      <c r="Z30" s="341" t="b">
        <v>0</v>
      </c>
      <c r="AA30" s="54"/>
      <c r="AB30" s="486"/>
      <c r="AC30" s="487"/>
      <c r="AD30" s="486"/>
      <c r="AE30" s="487"/>
      <c r="AF30" s="54"/>
      <c r="AG30" s="486"/>
      <c r="AH30" s="487"/>
      <c r="AI30" s="486"/>
      <c r="AJ30" s="487"/>
      <c r="AL30" s="179"/>
      <c r="AM30" s="180"/>
      <c r="AN30" s="180"/>
      <c r="AO30" s="181"/>
      <c r="AP30" s="446"/>
      <c r="AQ30" s="179"/>
      <c r="AR30" s="180"/>
      <c r="AS30" s="180"/>
      <c r="AT30" s="181"/>
    </row>
    <row r="31" spans="1:46" ht="19.5" customHeight="1" x14ac:dyDescent="0.25">
      <c r="A31" s="77"/>
      <c r="B31" s="78"/>
      <c r="C31" s="868"/>
      <c r="D31" s="67">
        <f>[3]BEGINBLAD!D30</f>
        <v>8</v>
      </c>
      <c r="E31" s="68">
        <v>25</v>
      </c>
      <c r="F31" s="329">
        <f>BEGINBLAD!C28</f>
        <v>0</v>
      </c>
      <c r="G31" s="1144"/>
      <c r="H31" s="1144"/>
      <c r="I31" s="1144"/>
      <c r="J31" s="1144"/>
      <c r="K31" s="1144"/>
      <c r="L31" s="1144"/>
      <c r="M31" s="1144"/>
      <c r="N31" s="1144"/>
      <c r="O31" s="1144"/>
      <c r="P31" s="1144"/>
      <c r="Q31" s="1144"/>
      <c r="R31" s="1144"/>
      <c r="S31" s="1144"/>
      <c r="T31" s="1144"/>
      <c r="U31" s="1144"/>
      <c r="V31" s="1145"/>
      <c r="W31" s="330"/>
      <c r="X31" s="332"/>
      <c r="Z31" s="341" t="b">
        <v>0</v>
      </c>
      <c r="AB31" s="486"/>
      <c r="AC31" s="487"/>
      <c r="AD31" s="486"/>
      <c r="AE31" s="487"/>
      <c r="AG31" s="486"/>
      <c r="AH31" s="487"/>
      <c r="AI31" s="486"/>
      <c r="AJ31" s="487"/>
      <c r="AL31" s="179"/>
      <c r="AM31" s="180"/>
      <c r="AN31" s="180"/>
      <c r="AO31" s="181"/>
      <c r="AP31" s="446"/>
      <c r="AQ31" s="179"/>
      <c r="AR31" s="180"/>
      <c r="AS31" s="180"/>
      <c r="AT31" s="181"/>
    </row>
    <row r="32" spans="1:46" ht="19.5" customHeight="1" x14ac:dyDescent="0.25">
      <c r="A32" s="77"/>
      <c r="B32" s="78"/>
      <c r="C32" s="868"/>
      <c r="D32" s="67">
        <f>[3]BEGINBLAD!D31</f>
        <v>8</v>
      </c>
      <c r="E32" s="68">
        <v>26</v>
      </c>
      <c r="F32" s="329">
        <f>BEGINBLAD!C29</f>
        <v>0</v>
      </c>
      <c r="G32" s="1144"/>
      <c r="H32" s="1144"/>
      <c r="I32" s="1144"/>
      <c r="J32" s="1144"/>
      <c r="K32" s="1144"/>
      <c r="L32" s="1144"/>
      <c r="M32" s="1144"/>
      <c r="N32" s="1144"/>
      <c r="O32" s="1144"/>
      <c r="P32" s="1144"/>
      <c r="Q32" s="1144"/>
      <c r="R32" s="1144"/>
      <c r="S32" s="1144"/>
      <c r="T32" s="1144"/>
      <c r="U32" s="1144"/>
      <c r="V32" s="1145"/>
      <c r="W32" s="330"/>
      <c r="X32" s="332"/>
      <c r="Z32" s="341" t="b">
        <v>0</v>
      </c>
      <c r="AB32" s="486"/>
      <c r="AC32" s="487"/>
      <c r="AD32" s="486"/>
      <c r="AE32" s="487"/>
      <c r="AG32" s="486"/>
      <c r="AH32" s="487"/>
      <c r="AI32" s="486"/>
      <c r="AJ32" s="487"/>
      <c r="AL32" s="179"/>
      <c r="AM32" s="180"/>
      <c r="AN32" s="180"/>
      <c r="AO32" s="181"/>
      <c r="AP32" s="446"/>
      <c r="AQ32" s="179"/>
      <c r="AR32" s="180"/>
      <c r="AS32" s="180"/>
      <c r="AT32" s="181"/>
    </row>
    <row r="33" spans="1:46" ht="19.5" customHeight="1" x14ac:dyDescent="0.25">
      <c r="A33" s="77"/>
      <c r="B33" s="78"/>
      <c r="C33" s="868"/>
      <c r="D33" s="67">
        <f>[3]BEGINBLAD!D32</f>
        <v>8</v>
      </c>
      <c r="E33" s="68">
        <v>27</v>
      </c>
      <c r="F33" s="329">
        <f>BEGINBLAD!C30</f>
        <v>0</v>
      </c>
      <c r="G33" s="1144"/>
      <c r="H33" s="1144"/>
      <c r="I33" s="1144"/>
      <c r="J33" s="1144"/>
      <c r="K33" s="1144"/>
      <c r="L33" s="1144"/>
      <c r="M33" s="1144"/>
      <c r="N33" s="1144"/>
      <c r="O33" s="1144"/>
      <c r="P33" s="1144"/>
      <c r="Q33" s="1144"/>
      <c r="R33" s="1144"/>
      <c r="S33" s="1144"/>
      <c r="T33" s="1144"/>
      <c r="U33" s="1144"/>
      <c r="V33" s="1145"/>
      <c r="W33" s="75"/>
      <c r="X33" s="332"/>
      <c r="Z33" s="341" t="b">
        <v>0</v>
      </c>
      <c r="AB33" s="486"/>
      <c r="AC33" s="487"/>
      <c r="AD33" s="486"/>
      <c r="AE33" s="487"/>
      <c r="AG33" s="486"/>
      <c r="AH33" s="487"/>
      <c r="AI33" s="486"/>
      <c r="AJ33" s="487"/>
      <c r="AL33" s="179"/>
      <c r="AM33" s="180"/>
      <c r="AN33" s="180"/>
      <c r="AO33" s="181"/>
      <c r="AP33" s="446"/>
      <c r="AQ33" s="179"/>
      <c r="AR33" s="180"/>
      <c r="AS33" s="180"/>
      <c r="AT33" s="181"/>
    </row>
    <row r="34" spans="1:46" ht="19.5" customHeight="1" x14ac:dyDescent="0.25">
      <c r="A34" s="77"/>
      <c r="B34" s="78"/>
      <c r="C34" s="868"/>
      <c r="D34" s="67">
        <f>[3]BEGINBLAD!D33</f>
        <v>8</v>
      </c>
      <c r="E34" s="68">
        <v>28</v>
      </c>
      <c r="F34" s="329">
        <f>BEGINBLAD!C31</f>
        <v>0</v>
      </c>
      <c r="G34" s="1144"/>
      <c r="H34" s="1144"/>
      <c r="I34" s="1144"/>
      <c r="J34" s="1144"/>
      <c r="K34" s="1144"/>
      <c r="L34" s="1144"/>
      <c r="M34" s="1144"/>
      <c r="N34" s="1144"/>
      <c r="O34" s="1144"/>
      <c r="P34" s="1144"/>
      <c r="Q34" s="1144"/>
      <c r="R34" s="1144"/>
      <c r="S34" s="1144"/>
      <c r="T34" s="1144"/>
      <c r="U34" s="1144"/>
      <c r="V34" s="1145"/>
      <c r="W34" s="330"/>
      <c r="X34" s="332"/>
      <c r="Z34" s="341" t="b">
        <v>0</v>
      </c>
      <c r="AB34" s="486"/>
      <c r="AC34" s="487"/>
      <c r="AD34" s="486"/>
      <c r="AE34" s="487"/>
      <c r="AG34" s="486"/>
      <c r="AH34" s="487"/>
      <c r="AI34" s="486"/>
      <c r="AJ34" s="487"/>
      <c r="AL34" s="179"/>
      <c r="AM34" s="180"/>
      <c r="AN34" s="180"/>
      <c r="AO34" s="181"/>
      <c r="AP34" s="446"/>
      <c r="AQ34" s="179"/>
      <c r="AR34" s="180"/>
      <c r="AS34" s="180"/>
      <c r="AT34" s="181"/>
    </row>
    <row r="35" spans="1:46" ht="19.5" customHeight="1" x14ac:dyDescent="0.25">
      <c r="A35" s="77"/>
      <c r="B35" s="78"/>
      <c r="C35" s="868"/>
      <c r="D35" s="67">
        <f>[3]BEGINBLAD!D34</f>
        <v>8</v>
      </c>
      <c r="E35" s="68">
        <v>29</v>
      </c>
      <c r="F35" s="329">
        <f>BEGINBLAD!C32</f>
        <v>0</v>
      </c>
      <c r="G35" s="1144"/>
      <c r="H35" s="1144"/>
      <c r="I35" s="1144"/>
      <c r="J35" s="1144"/>
      <c r="K35" s="1144"/>
      <c r="L35" s="1144"/>
      <c r="M35" s="1144"/>
      <c r="N35" s="1144"/>
      <c r="O35" s="1144"/>
      <c r="P35" s="1144"/>
      <c r="Q35" s="1144"/>
      <c r="R35" s="1144"/>
      <c r="S35" s="1144"/>
      <c r="T35" s="1144"/>
      <c r="U35" s="1144"/>
      <c r="V35" s="1145"/>
      <c r="W35" s="330"/>
      <c r="X35" s="332"/>
      <c r="Z35" s="341" t="b">
        <v>0</v>
      </c>
      <c r="AB35" s="486"/>
      <c r="AC35" s="487"/>
      <c r="AD35" s="486"/>
      <c r="AE35" s="487"/>
      <c r="AG35" s="486"/>
      <c r="AH35" s="487"/>
      <c r="AI35" s="486"/>
      <c r="AJ35" s="487"/>
      <c r="AL35" s="179"/>
      <c r="AM35" s="180"/>
      <c r="AN35" s="180"/>
      <c r="AO35" s="181"/>
      <c r="AP35" s="446"/>
      <c r="AQ35" s="179"/>
      <c r="AR35" s="180"/>
      <c r="AS35" s="180"/>
      <c r="AT35" s="181"/>
    </row>
    <row r="36" spans="1:46" ht="19.5" customHeight="1" x14ac:dyDescent="0.25">
      <c r="A36" s="77"/>
      <c r="B36" s="78"/>
      <c r="C36" s="868"/>
      <c r="D36" s="67">
        <f>[3]BEGINBLAD!D35</f>
        <v>0</v>
      </c>
      <c r="E36" s="68">
        <v>30</v>
      </c>
      <c r="F36" s="329">
        <f>BEGINBLAD!C33</f>
        <v>0</v>
      </c>
      <c r="G36" s="1144"/>
      <c r="H36" s="1144"/>
      <c r="I36" s="1144"/>
      <c r="J36" s="1144"/>
      <c r="K36" s="1144"/>
      <c r="L36" s="1144"/>
      <c r="M36" s="1144"/>
      <c r="N36" s="1144"/>
      <c r="O36" s="1144"/>
      <c r="P36" s="1144"/>
      <c r="Q36" s="1144"/>
      <c r="R36" s="1144"/>
      <c r="S36" s="1144"/>
      <c r="T36" s="1144"/>
      <c r="U36" s="1144"/>
      <c r="V36" s="1145"/>
      <c r="W36" s="330"/>
      <c r="X36" s="332"/>
      <c r="Z36" s="341" t="b">
        <v>0</v>
      </c>
      <c r="AB36" s="486"/>
      <c r="AC36" s="487"/>
      <c r="AD36" s="486"/>
      <c r="AE36" s="487"/>
      <c r="AG36" s="486"/>
      <c r="AH36" s="487"/>
      <c r="AI36" s="486"/>
      <c r="AJ36" s="487"/>
      <c r="AL36" s="179"/>
      <c r="AM36" s="180"/>
      <c r="AN36" s="180"/>
      <c r="AO36" s="181"/>
      <c r="AP36" s="446"/>
      <c r="AQ36" s="179"/>
      <c r="AR36" s="180"/>
      <c r="AS36" s="180"/>
      <c r="AT36" s="181"/>
    </row>
    <row r="37" spans="1:46" ht="19.5" customHeight="1" x14ac:dyDescent="0.25">
      <c r="A37" s="77"/>
      <c r="B37" s="78"/>
      <c r="C37" s="868"/>
      <c r="D37" s="67">
        <f>[3]BEGINBLAD!D36</f>
        <v>0</v>
      </c>
      <c r="E37" s="68">
        <v>31</v>
      </c>
      <c r="F37" s="329">
        <f>BEGINBLAD!C34</f>
        <v>0</v>
      </c>
      <c r="G37" s="1144"/>
      <c r="H37" s="1144"/>
      <c r="I37" s="1144"/>
      <c r="J37" s="1144"/>
      <c r="K37" s="1144"/>
      <c r="L37" s="1144"/>
      <c r="M37" s="1144"/>
      <c r="N37" s="1144"/>
      <c r="O37" s="1144"/>
      <c r="P37" s="1144"/>
      <c r="Q37" s="1144"/>
      <c r="R37" s="1144"/>
      <c r="S37" s="1144"/>
      <c r="T37" s="1144"/>
      <c r="U37" s="1144"/>
      <c r="V37" s="1145"/>
      <c r="W37" s="330"/>
      <c r="X37" s="332"/>
      <c r="Z37" s="341" t="b">
        <v>0</v>
      </c>
      <c r="AB37" s="486"/>
      <c r="AC37" s="487"/>
      <c r="AD37" s="486"/>
      <c r="AE37" s="487"/>
      <c r="AG37" s="486"/>
      <c r="AH37" s="487"/>
      <c r="AI37" s="486"/>
      <c r="AJ37" s="487"/>
      <c r="AL37" s="179"/>
      <c r="AM37" s="180"/>
      <c r="AN37" s="180"/>
      <c r="AO37" s="181"/>
      <c r="AP37" s="446"/>
      <c r="AQ37" s="179"/>
      <c r="AR37" s="180"/>
      <c r="AS37" s="180"/>
      <c r="AT37" s="181"/>
    </row>
    <row r="38" spans="1:46" ht="19.5" customHeight="1" x14ac:dyDescent="0.25">
      <c r="A38" s="77"/>
      <c r="B38" s="78"/>
      <c r="C38" s="868"/>
      <c r="D38" s="67">
        <f>[3]BEGINBLAD!D37</f>
        <v>0</v>
      </c>
      <c r="E38" s="68">
        <v>32</v>
      </c>
      <c r="F38" s="329">
        <f>BEGINBLAD!C35</f>
        <v>0</v>
      </c>
      <c r="G38" s="1144"/>
      <c r="H38" s="1144"/>
      <c r="I38" s="1144"/>
      <c r="J38" s="1144"/>
      <c r="K38" s="1144"/>
      <c r="L38" s="1144"/>
      <c r="M38" s="1144"/>
      <c r="N38" s="1144"/>
      <c r="O38" s="1144"/>
      <c r="P38" s="1144"/>
      <c r="Q38" s="1144"/>
      <c r="R38" s="1144"/>
      <c r="S38" s="1144"/>
      <c r="T38" s="1144"/>
      <c r="U38" s="1144"/>
      <c r="V38" s="1145"/>
      <c r="W38" s="75"/>
      <c r="X38" s="332"/>
      <c r="Z38" s="341" t="b">
        <v>0</v>
      </c>
      <c r="AB38" s="486"/>
      <c r="AC38" s="487"/>
      <c r="AD38" s="486"/>
      <c r="AE38" s="487"/>
      <c r="AG38" s="486"/>
      <c r="AH38" s="487"/>
      <c r="AI38" s="486"/>
      <c r="AJ38" s="487"/>
      <c r="AL38" s="179"/>
      <c r="AM38" s="180"/>
      <c r="AN38" s="180"/>
      <c r="AO38" s="181"/>
      <c r="AP38" s="446"/>
      <c r="AQ38" s="179"/>
      <c r="AR38" s="180"/>
      <c r="AS38" s="180"/>
      <c r="AT38" s="181"/>
    </row>
    <row r="39" spans="1:46" ht="19.5" customHeight="1" x14ac:dyDescent="0.25">
      <c r="A39" s="77"/>
      <c r="B39" s="78"/>
      <c r="C39" s="868"/>
      <c r="D39" s="67">
        <f>[3]BEGINBLAD!D38</f>
        <v>0</v>
      </c>
      <c r="E39" s="68">
        <v>33</v>
      </c>
      <c r="F39" s="329">
        <f>BEGINBLAD!C36</f>
        <v>0</v>
      </c>
      <c r="G39" s="1144"/>
      <c r="H39" s="1144"/>
      <c r="I39" s="1144"/>
      <c r="J39" s="1144"/>
      <c r="K39" s="1144"/>
      <c r="L39" s="1144"/>
      <c r="M39" s="1144"/>
      <c r="N39" s="1144"/>
      <c r="O39" s="1144"/>
      <c r="P39" s="1144"/>
      <c r="Q39" s="1144"/>
      <c r="R39" s="1144"/>
      <c r="S39" s="1144"/>
      <c r="T39" s="1144"/>
      <c r="U39" s="1144"/>
      <c r="V39" s="1145"/>
      <c r="W39" s="330"/>
      <c r="X39" s="332"/>
      <c r="Z39" s="341" t="b">
        <v>0</v>
      </c>
      <c r="AB39" s="486"/>
      <c r="AC39" s="487"/>
      <c r="AD39" s="486"/>
      <c r="AE39" s="487"/>
      <c r="AG39" s="486"/>
      <c r="AH39" s="487"/>
      <c r="AI39" s="486"/>
      <c r="AJ39" s="487"/>
      <c r="AL39" s="179"/>
      <c r="AM39" s="180"/>
      <c r="AN39" s="180"/>
      <c r="AO39" s="181"/>
      <c r="AP39" s="446"/>
      <c r="AQ39" s="179"/>
      <c r="AR39" s="180"/>
      <c r="AS39" s="180"/>
      <c r="AT39" s="181"/>
    </row>
    <row r="40" spans="1:46" ht="19.5" customHeight="1" x14ac:dyDescent="0.25">
      <c r="A40" s="77"/>
      <c r="B40" s="78"/>
      <c r="C40" s="868"/>
      <c r="D40" s="67">
        <f>[3]BEGINBLAD!D39</f>
        <v>0</v>
      </c>
      <c r="E40" s="68">
        <v>34</v>
      </c>
      <c r="F40" s="329">
        <f>BEGINBLAD!C37</f>
        <v>0</v>
      </c>
      <c r="G40" s="1144"/>
      <c r="H40" s="1144"/>
      <c r="I40" s="1144"/>
      <c r="J40" s="1144"/>
      <c r="K40" s="1144"/>
      <c r="L40" s="1144"/>
      <c r="M40" s="1144"/>
      <c r="N40" s="1144"/>
      <c r="O40" s="1144"/>
      <c r="P40" s="1144"/>
      <c r="Q40" s="1144"/>
      <c r="R40" s="1144"/>
      <c r="S40" s="1144"/>
      <c r="T40" s="1144"/>
      <c r="U40" s="1144"/>
      <c r="V40" s="1145"/>
      <c r="W40" s="330"/>
      <c r="X40" s="332"/>
      <c r="Z40" s="341" t="b">
        <v>0</v>
      </c>
      <c r="AB40" s="486"/>
      <c r="AC40" s="487"/>
      <c r="AD40" s="486"/>
      <c r="AE40" s="487"/>
      <c r="AG40" s="486"/>
      <c r="AH40" s="487"/>
      <c r="AI40" s="486"/>
      <c r="AJ40" s="487"/>
      <c r="AL40" s="179"/>
      <c r="AM40" s="180"/>
      <c r="AN40" s="180"/>
      <c r="AO40" s="181"/>
      <c r="AP40" s="446"/>
      <c r="AQ40" s="179"/>
      <c r="AR40" s="180"/>
      <c r="AS40" s="180"/>
      <c r="AT40" s="181"/>
    </row>
    <row r="41" spans="1:46" ht="19.5" customHeight="1" x14ac:dyDescent="0.25">
      <c r="A41" s="77"/>
      <c r="B41" s="78"/>
      <c r="C41" s="868"/>
      <c r="D41" s="67">
        <f>[3]BEGINBLAD!D40</f>
        <v>0</v>
      </c>
      <c r="E41" s="68">
        <v>35</v>
      </c>
      <c r="F41" s="329">
        <f>BEGINBLAD!C38</f>
        <v>0</v>
      </c>
      <c r="G41" s="1144"/>
      <c r="H41" s="1144"/>
      <c r="I41" s="1144"/>
      <c r="J41" s="1144"/>
      <c r="K41" s="1144"/>
      <c r="L41" s="1144"/>
      <c r="M41" s="1144"/>
      <c r="N41" s="1144"/>
      <c r="O41" s="1144"/>
      <c r="P41" s="1144"/>
      <c r="Q41" s="1144"/>
      <c r="R41" s="1144"/>
      <c r="S41" s="1144"/>
      <c r="T41" s="1144"/>
      <c r="U41" s="1144"/>
      <c r="V41" s="1145"/>
      <c r="W41" s="330"/>
      <c r="X41" s="332"/>
      <c r="Z41" s="341" t="b">
        <v>0</v>
      </c>
      <c r="AB41" s="486"/>
      <c r="AC41" s="487"/>
      <c r="AD41" s="486"/>
      <c r="AE41" s="487"/>
      <c r="AG41" s="486"/>
      <c r="AH41" s="487"/>
      <c r="AI41" s="486"/>
      <c r="AJ41" s="487"/>
      <c r="AL41" s="179"/>
      <c r="AM41" s="180"/>
      <c r="AN41" s="180"/>
      <c r="AO41" s="181"/>
      <c r="AP41" s="446"/>
      <c r="AQ41" s="179"/>
      <c r="AR41" s="180"/>
      <c r="AS41" s="180"/>
      <c r="AT41" s="181"/>
    </row>
    <row r="42" spans="1:46" ht="19.5" customHeight="1" thickBot="1" x14ac:dyDescent="0.3">
      <c r="A42" s="77"/>
      <c r="B42" s="78"/>
      <c r="C42" s="868"/>
      <c r="D42" s="67">
        <f>[3]BEGINBLAD!D41</f>
        <v>0</v>
      </c>
      <c r="E42" s="94">
        <v>36</v>
      </c>
      <c r="F42" s="282">
        <f>BEGINBLAD!C39</f>
        <v>0</v>
      </c>
      <c r="G42" s="1166"/>
      <c r="H42" s="1166"/>
      <c r="I42" s="1166"/>
      <c r="J42" s="1166"/>
      <c r="K42" s="1166"/>
      <c r="L42" s="1166"/>
      <c r="M42" s="1166"/>
      <c r="N42" s="1166"/>
      <c r="O42" s="1166"/>
      <c r="P42" s="1166"/>
      <c r="Q42" s="1166"/>
      <c r="R42" s="1166"/>
      <c r="S42" s="1166"/>
      <c r="T42" s="1166"/>
      <c r="U42" s="1166"/>
      <c r="V42" s="1167"/>
      <c r="W42" s="330"/>
      <c r="X42" s="333"/>
      <c r="Z42" s="341" t="b">
        <v>0</v>
      </c>
      <c r="AB42" s="488"/>
      <c r="AC42" s="489"/>
      <c r="AD42" s="488"/>
      <c r="AE42" s="489"/>
      <c r="AG42" s="488"/>
      <c r="AH42" s="489"/>
      <c r="AI42" s="488"/>
      <c r="AJ42" s="489"/>
      <c r="AL42" s="183"/>
      <c r="AM42" s="184"/>
      <c r="AN42" s="184"/>
      <c r="AO42" s="185"/>
      <c r="AP42" s="446"/>
      <c r="AQ42" s="183"/>
      <c r="AR42" s="184"/>
      <c r="AS42" s="184"/>
      <c r="AT42" s="185"/>
    </row>
    <row r="43" spans="1:46" ht="19.5" customHeight="1" thickBot="1" x14ac:dyDescent="0.35">
      <c r="B43" s="100"/>
      <c r="C43" s="78" t="s">
        <v>276</v>
      </c>
      <c r="D43" s="1165" t="s">
        <v>277</v>
      </c>
      <c r="E43" s="1165"/>
      <c r="F43" s="1165"/>
      <c r="G43" s="51"/>
      <c r="H43" s="1165" t="s">
        <v>278</v>
      </c>
      <c r="I43" s="1165"/>
      <c r="J43" s="1165"/>
      <c r="K43" s="1165"/>
      <c r="L43" s="1165"/>
      <c r="M43" s="1165"/>
      <c r="N43" s="1165"/>
      <c r="O43" s="1165"/>
      <c r="P43" s="1165"/>
      <c r="Q43" s="1165"/>
      <c r="R43" s="1165"/>
      <c r="S43" s="1165"/>
      <c r="T43" s="1165"/>
      <c r="U43" s="1165"/>
      <c r="V43" s="1165"/>
      <c r="W43" s="1165"/>
      <c r="X43" s="1165"/>
      <c r="Z43" s="101"/>
      <c r="AA43" s="101"/>
      <c r="AB43" s="101"/>
      <c r="AC43" s="101"/>
      <c r="AD43" s="101"/>
      <c r="AE43" s="101"/>
      <c r="AF43" s="101"/>
      <c r="AG43" s="101"/>
      <c r="AH43" s="101"/>
      <c r="AI43" s="101"/>
      <c r="AJ43" s="101"/>
    </row>
    <row r="44" spans="1:46" ht="19.5" customHeight="1" x14ac:dyDescent="0.25">
      <c r="A44" s="284"/>
      <c r="B44" s="284"/>
      <c r="C44" s="334" t="s">
        <v>279</v>
      </c>
      <c r="D44" s="1149"/>
      <c r="E44" s="1149"/>
      <c r="F44" s="1150"/>
      <c r="G44" s="337"/>
      <c r="H44" s="1151"/>
      <c r="I44" s="1152"/>
      <c r="J44" s="1152"/>
      <c r="K44" s="1152"/>
      <c r="L44" s="1152"/>
      <c r="M44" s="1152"/>
      <c r="N44" s="1152"/>
      <c r="O44" s="1152"/>
      <c r="P44" s="1152"/>
      <c r="Q44" s="1152"/>
      <c r="R44" s="1152"/>
      <c r="S44" s="1152"/>
      <c r="T44" s="1152"/>
      <c r="U44" s="1152"/>
      <c r="V44" s="1152"/>
      <c r="W44" s="1152"/>
      <c r="X44" s="1153"/>
      <c r="Z44" s="101"/>
      <c r="AA44" s="101"/>
      <c r="AB44" s="101"/>
      <c r="AC44" s="101"/>
      <c r="AD44" s="101"/>
      <c r="AE44" s="101"/>
      <c r="AF44" s="101"/>
      <c r="AG44" s="101"/>
      <c r="AH44" s="101"/>
      <c r="AI44" s="101"/>
      <c r="AJ44" s="101"/>
    </row>
    <row r="45" spans="1:46" ht="19.5" customHeight="1" x14ac:dyDescent="0.25">
      <c r="A45" s="284"/>
      <c r="B45" s="285"/>
      <c r="C45" s="335" t="s">
        <v>280</v>
      </c>
      <c r="D45" s="1160"/>
      <c r="E45" s="1160"/>
      <c r="F45" s="1161"/>
      <c r="G45" s="337"/>
      <c r="H45" s="1154"/>
      <c r="I45" s="1155"/>
      <c r="J45" s="1155"/>
      <c r="K45" s="1155"/>
      <c r="L45" s="1155"/>
      <c r="M45" s="1155"/>
      <c r="N45" s="1155"/>
      <c r="O45" s="1155"/>
      <c r="P45" s="1155"/>
      <c r="Q45" s="1155"/>
      <c r="R45" s="1155"/>
      <c r="S45" s="1155"/>
      <c r="T45" s="1155"/>
      <c r="U45" s="1155"/>
      <c r="V45" s="1155"/>
      <c r="W45" s="1155"/>
      <c r="X45" s="1156"/>
      <c r="Z45" s="101"/>
      <c r="AA45" s="101"/>
      <c r="AB45" s="101"/>
      <c r="AC45" s="101"/>
      <c r="AD45" s="101"/>
      <c r="AE45" s="101"/>
      <c r="AF45" s="101"/>
      <c r="AG45" s="101"/>
      <c r="AH45" s="101"/>
      <c r="AI45" s="101"/>
      <c r="AJ45" s="101"/>
    </row>
    <row r="46" spans="1:46" ht="19.5" customHeight="1" x14ac:dyDescent="0.25">
      <c r="A46" s="284"/>
      <c r="B46" s="285"/>
      <c r="C46" s="335" t="s">
        <v>281</v>
      </c>
      <c r="D46" s="1160"/>
      <c r="E46" s="1160"/>
      <c r="F46" s="1161"/>
      <c r="G46" s="337"/>
      <c r="H46" s="1154"/>
      <c r="I46" s="1155"/>
      <c r="J46" s="1155"/>
      <c r="K46" s="1155"/>
      <c r="L46" s="1155"/>
      <c r="M46" s="1155"/>
      <c r="N46" s="1155"/>
      <c r="O46" s="1155"/>
      <c r="P46" s="1155"/>
      <c r="Q46" s="1155"/>
      <c r="R46" s="1155"/>
      <c r="S46" s="1155"/>
      <c r="T46" s="1155"/>
      <c r="U46" s="1155"/>
      <c r="V46" s="1155"/>
      <c r="W46" s="1155"/>
      <c r="X46" s="1156"/>
      <c r="Z46" s="101"/>
      <c r="AA46" s="101"/>
      <c r="AB46" s="101"/>
      <c r="AC46" s="101"/>
      <c r="AD46" s="101"/>
      <c r="AE46" s="101"/>
      <c r="AF46" s="101"/>
      <c r="AG46" s="101"/>
      <c r="AH46" s="101"/>
      <c r="AI46" s="101"/>
      <c r="AJ46" s="101"/>
    </row>
    <row r="47" spans="1:46" ht="19.5" customHeight="1" x14ac:dyDescent="0.25">
      <c r="A47" s="284"/>
      <c r="B47" s="285"/>
      <c r="C47" s="335" t="s">
        <v>282</v>
      </c>
      <c r="D47" s="1160"/>
      <c r="E47" s="1160"/>
      <c r="F47" s="1161"/>
      <c r="G47" s="337"/>
      <c r="H47" s="1154"/>
      <c r="I47" s="1155"/>
      <c r="J47" s="1155"/>
      <c r="K47" s="1155"/>
      <c r="L47" s="1155"/>
      <c r="M47" s="1155"/>
      <c r="N47" s="1155"/>
      <c r="O47" s="1155"/>
      <c r="P47" s="1155"/>
      <c r="Q47" s="1155"/>
      <c r="R47" s="1155"/>
      <c r="S47" s="1155"/>
      <c r="T47" s="1155"/>
      <c r="U47" s="1155"/>
      <c r="V47" s="1155"/>
      <c r="W47" s="1155"/>
      <c r="X47" s="1156"/>
      <c r="Z47" s="101"/>
      <c r="AA47" s="101"/>
      <c r="AB47" s="101"/>
      <c r="AC47" s="101"/>
      <c r="AD47" s="101"/>
      <c r="AE47" s="101"/>
      <c r="AF47" s="101"/>
      <c r="AG47" s="101"/>
      <c r="AH47" s="101"/>
      <c r="AI47" s="101"/>
      <c r="AJ47" s="101"/>
    </row>
    <row r="48" spans="1:46" ht="19.5" customHeight="1" thickBot="1" x14ac:dyDescent="0.3">
      <c r="A48" s="284"/>
      <c r="B48" s="285"/>
      <c r="C48" s="336" t="s">
        <v>283</v>
      </c>
      <c r="D48" s="1162"/>
      <c r="E48" s="1162"/>
      <c r="F48" s="1163"/>
      <c r="G48" s="337"/>
      <c r="H48" s="1157"/>
      <c r="I48" s="1158"/>
      <c r="J48" s="1158"/>
      <c r="K48" s="1158"/>
      <c r="L48" s="1158"/>
      <c r="M48" s="1158"/>
      <c r="N48" s="1158"/>
      <c r="O48" s="1158"/>
      <c r="P48" s="1158"/>
      <c r="Q48" s="1158"/>
      <c r="R48" s="1158"/>
      <c r="S48" s="1158"/>
      <c r="T48" s="1158"/>
      <c r="U48" s="1158"/>
      <c r="V48" s="1158"/>
      <c r="W48" s="1158"/>
      <c r="X48" s="1159"/>
    </row>
    <row r="49" spans="4:19" x14ac:dyDescent="0.25">
      <c r="D49" s="283"/>
    </row>
    <row r="50" spans="4:19" x14ac:dyDescent="0.25">
      <c r="D50" s="283"/>
      <c r="E50" s="283"/>
      <c r="F50" s="286"/>
      <c r="G50" s="287" t="s">
        <v>284</v>
      </c>
      <c r="H50" s="287"/>
      <c r="I50" s="288"/>
      <c r="J50" s="287"/>
      <c r="K50" s="287"/>
      <c r="L50" s="287"/>
      <c r="M50" s="288"/>
      <c r="N50" s="288"/>
      <c r="O50" s="279"/>
      <c r="P50" s="279"/>
      <c r="Q50" s="279"/>
      <c r="R50" s="279"/>
      <c r="S50" s="279"/>
    </row>
    <row r="51" spans="4:19" x14ac:dyDescent="0.25">
      <c r="D51" s="283"/>
      <c r="E51" s="283"/>
      <c r="F51" s="133"/>
      <c r="G51" s="287" t="s">
        <v>285</v>
      </c>
      <c r="H51" s="287"/>
      <c r="I51" s="288"/>
      <c r="J51" s="287"/>
      <c r="K51" s="287"/>
      <c r="L51" s="287"/>
      <c r="M51" s="288"/>
      <c r="N51" s="288"/>
      <c r="O51" s="289"/>
      <c r="P51" s="289"/>
      <c r="Q51" s="289"/>
      <c r="R51" s="289"/>
      <c r="S51" s="289"/>
    </row>
    <row r="52" spans="4:19" x14ac:dyDescent="0.25">
      <c r="D52" s="283"/>
      <c r="E52" s="283"/>
      <c r="F52" s="289"/>
      <c r="G52" s="287" t="s">
        <v>286</v>
      </c>
      <c r="H52" s="287"/>
      <c r="I52" s="288"/>
      <c r="J52" s="287"/>
      <c r="K52" s="287"/>
      <c r="L52" s="287"/>
      <c r="M52" s="288"/>
      <c r="N52" s="288"/>
      <c r="O52" s="289">
        <v>0.25</v>
      </c>
      <c r="P52" s="289"/>
      <c r="Q52" s="289"/>
      <c r="R52" s="289"/>
      <c r="S52" s="289"/>
    </row>
    <row r="53" spans="4:19" x14ac:dyDescent="0.25">
      <c r="D53" s="283"/>
      <c r="E53" s="283"/>
      <c r="F53" s="290"/>
      <c r="G53" s="287" t="s">
        <v>287</v>
      </c>
      <c r="H53" s="287"/>
      <c r="I53" s="288"/>
      <c r="J53" s="287"/>
      <c r="K53" s="287"/>
      <c r="L53" s="287"/>
      <c r="M53" s="288"/>
      <c r="N53" s="288"/>
      <c r="O53" s="289">
        <v>0.15</v>
      </c>
      <c r="P53" s="289"/>
      <c r="Q53" s="289"/>
      <c r="R53" s="289"/>
      <c r="S53" s="289"/>
    </row>
    <row r="54" spans="4:19" x14ac:dyDescent="0.25">
      <c r="D54" s="283"/>
      <c r="E54" s="283"/>
      <c r="F54" s="290"/>
      <c r="G54" s="287" t="s">
        <v>288</v>
      </c>
      <c r="H54" s="287"/>
      <c r="I54" s="288"/>
      <c r="J54" s="287"/>
      <c r="K54" s="287"/>
      <c r="L54" s="287"/>
      <c r="M54" s="288"/>
      <c r="N54" s="288"/>
      <c r="O54" s="289">
        <v>0.1</v>
      </c>
      <c r="P54" s="289"/>
      <c r="Q54" s="289"/>
      <c r="R54" s="289"/>
      <c r="S54" s="289"/>
    </row>
    <row r="55" spans="4:19" x14ac:dyDescent="0.25">
      <c r="D55" s="283"/>
      <c r="E55" s="283"/>
      <c r="F55" s="289"/>
      <c r="G55" s="287" t="s">
        <v>289</v>
      </c>
      <c r="H55" s="287"/>
      <c r="I55" s="288"/>
      <c r="J55" s="287"/>
      <c r="K55" s="287"/>
      <c r="L55" s="287"/>
      <c r="M55" s="288"/>
      <c r="N55" s="288"/>
      <c r="O55" s="289">
        <v>0.15</v>
      </c>
      <c r="P55" s="289"/>
      <c r="Q55" s="289"/>
      <c r="R55" s="289"/>
      <c r="S55" s="289"/>
    </row>
    <row r="56" spans="4:19" x14ac:dyDescent="0.25">
      <c r="D56" s="283"/>
      <c r="E56" s="283"/>
      <c r="F56" s="289"/>
      <c r="G56" s="287" t="s">
        <v>290</v>
      </c>
      <c r="H56" s="287"/>
      <c r="I56" s="288"/>
      <c r="J56" s="287"/>
      <c r="K56" s="287"/>
      <c r="L56" s="287"/>
      <c r="M56" s="288"/>
      <c r="N56" s="288"/>
      <c r="O56" s="289">
        <v>0.1</v>
      </c>
      <c r="P56" s="289"/>
      <c r="Q56" s="289"/>
      <c r="R56" s="289"/>
      <c r="S56" s="289"/>
    </row>
    <row r="57" spans="4:19" x14ac:dyDescent="0.25">
      <c r="D57" s="283"/>
      <c r="E57" s="283"/>
      <c r="F57" s="283"/>
      <c r="G57" s="78"/>
      <c r="H57" s="78"/>
      <c r="I57" s="78"/>
      <c r="J57" s="51"/>
    </row>
    <row r="58" spans="4:19" x14ac:dyDescent="0.25">
      <c r="D58" s="283"/>
      <c r="E58" s="283"/>
      <c r="F58" s="283"/>
      <c r="G58" s="78"/>
      <c r="H58" s="78"/>
      <c r="I58" s="78"/>
      <c r="J58" s="51"/>
    </row>
    <row r="59" spans="4:19" x14ac:dyDescent="0.25">
      <c r="D59" s="283"/>
      <c r="E59" s="283"/>
      <c r="F59" s="283"/>
      <c r="G59" s="78"/>
      <c r="H59" s="78"/>
      <c r="I59" s="78"/>
      <c r="J59" s="51"/>
    </row>
    <row r="60" spans="4:19" x14ac:dyDescent="0.25">
      <c r="J60" s="51"/>
    </row>
    <row r="61" spans="4:19" x14ac:dyDescent="0.25">
      <c r="J61" s="51"/>
    </row>
    <row r="62" spans="4:19" x14ac:dyDescent="0.25">
      <c r="J62" s="51"/>
    </row>
    <row r="63" spans="4:19" x14ac:dyDescent="0.25">
      <c r="J63" s="51"/>
    </row>
    <row r="67" spans="11:37" ht="13" x14ac:dyDescent="0.3">
      <c r="K67" s="280"/>
      <c r="L67" s="280"/>
      <c r="M67" s="280"/>
      <c r="N67" s="280"/>
      <c r="O67" s="280"/>
      <c r="P67" s="280"/>
      <c r="Q67" s="280"/>
      <c r="R67" s="280"/>
      <c r="S67" s="280"/>
      <c r="T67" s="280"/>
      <c r="U67" s="280"/>
      <c r="V67" s="280"/>
      <c r="W67" s="280"/>
      <c r="X67" s="280"/>
      <c r="AG67" s="88"/>
      <c r="AH67" s="88"/>
      <c r="AI67" s="88"/>
      <c r="AJ67" s="88"/>
      <c r="AK67" s="88"/>
    </row>
    <row r="85" spans="2:9" x14ac:dyDescent="0.25">
      <c r="B85" s="1148" t="s">
        <v>291</v>
      </c>
      <c r="C85" s="1148"/>
      <c r="D85" s="291"/>
      <c r="E85" s="291"/>
      <c r="F85" s="291"/>
      <c r="G85" s="292"/>
      <c r="H85" s="292"/>
      <c r="I85" s="292"/>
    </row>
  </sheetData>
  <sheetProtection algorithmName="SHA-512" hashValue="4Prgr/WC5yPjnD4l76FFTEqz09md44pUbvmkLQwJhq5uOrLszo4BmB0Dt+3OSFKhIceRVHRSMpPYZJIYkzWeRg==" saltValue="2PLyHbDNcPWglXns32qV8A==" spinCount="100000" sheet="1" objects="1" scenarios="1"/>
  <dataConsolidate link="1"/>
  <mergeCells count="60">
    <mergeCell ref="AQ5:AT5"/>
    <mergeCell ref="G21:V21"/>
    <mergeCell ref="C1:J1"/>
    <mergeCell ref="C2:D2"/>
    <mergeCell ref="G2:I2"/>
    <mergeCell ref="G20:V20"/>
    <mergeCell ref="G9:V9"/>
    <mergeCell ref="G10:V10"/>
    <mergeCell ref="G11:V11"/>
    <mergeCell ref="G12:V12"/>
    <mergeCell ref="G13:V13"/>
    <mergeCell ref="G14:V14"/>
    <mergeCell ref="G15:V15"/>
    <mergeCell ref="G16:V16"/>
    <mergeCell ref="G17:V17"/>
    <mergeCell ref="G18:V18"/>
    <mergeCell ref="B7:B8"/>
    <mergeCell ref="G7:V7"/>
    <mergeCell ref="G8:V8"/>
    <mergeCell ref="F4:F6"/>
    <mergeCell ref="E4:E6"/>
    <mergeCell ref="G4:V6"/>
    <mergeCell ref="B29:B30"/>
    <mergeCell ref="G29:V29"/>
    <mergeCell ref="G30:V30"/>
    <mergeCell ref="D43:F43"/>
    <mergeCell ref="H43:X43"/>
    <mergeCell ref="G41:V41"/>
    <mergeCell ref="G42:V42"/>
    <mergeCell ref="G38:V38"/>
    <mergeCell ref="G39:V39"/>
    <mergeCell ref="G40:V40"/>
    <mergeCell ref="G36:V36"/>
    <mergeCell ref="G37:V37"/>
    <mergeCell ref="G32:V32"/>
    <mergeCell ref="G33:V33"/>
    <mergeCell ref="G31:V31"/>
    <mergeCell ref="G34:V34"/>
    <mergeCell ref="B85:C85"/>
    <mergeCell ref="D44:F44"/>
    <mergeCell ref="H44:X48"/>
    <mergeCell ref="D45:F45"/>
    <mergeCell ref="D46:F46"/>
    <mergeCell ref="D47:F47"/>
    <mergeCell ref="D48:F48"/>
    <mergeCell ref="G35:V35"/>
    <mergeCell ref="G19:V19"/>
    <mergeCell ref="G22:V22"/>
    <mergeCell ref="G23:V23"/>
    <mergeCell ref="G24:V24"/>
    <mergeCell ref="G25:V25"/>
    <mergeCell ref="G26:V26"/>
    <mergeCell ref="G27:V27"/>
    <mergeCell ref="G28:V28"/>
    <mergeCell ref="AL5:AO5"/>
    <mergeCell ref="AD4:AE5"/>
    <mergeCell ref="AG4:AH5"/>
    <mergeCell ref="AB4:AC5"/>
    <mergeCell ref="X4:X6"/>
    <mergeCell ref="AI4:AJ5"/>
  </mergeCells>
  <conditionalFormatting sqref="C9:C20">
    <cfRule type="expression" dxfId="1100" priority="58" stopIfTrue="1">
      <formula>B9=5</formula>
    </cfRule>
    <cfRule type="expression" dxfId="1099" priority="57" stopIfTrue="1">
      <formula>B9=4</formula>
    </cfRule>
    <cfRule type="expression" dxfId="1098" priority="56" stopIfTrue="1">
      <formula>B9=3</formula>
    </cfRule>
    <cfRule type="expression" dxfId="1097" priority="55" stopIfTrue="1">
      <formula>B9=6</formula>
    </cfRule>
    <cfRule type="expression" dxfId="1096" priority="54" stopIfTrue="1">
      <formula>B9=7</formula>
    </cfRule>
    <cfRule type="expression" dxfId="1095" priority="53" stopIfTrue="1">
      <formula>B9=8</formula>
    </cfRule>
    <cfRule type="cellIs" dxfId="1094" priority="52" operator="equal">
      <formula>""</formula>
    </cfRule>
  </conditionalFormatting>
  <conditionalFormatting sqref="C31:C42">
    <cfRule type="expression" dxfId="1093" priority="51" stopIfTrue="1">
      <formula>B31=5</formula>
    </cfRule>
    <cfRule type="expression" dxfId="1092" priority="50" stopIfTrue="1">
      <formula>B31=4</formula>
    </cfRule>
    <cfRule type="expression" dxfId="1091" priority="49" stopIfTrue="1">
      <formula>B31=3</formula>
    </cfRule>
    <cfRule type="expression" dxfId="1090" priority="48" stopIfTrue="1">
      <formula>B31=6</formula>
    </cfRule>
    <cfRule type="expression" dxfId="1089" priority="47" stopIfTrue="1">
      <formula>B31=7</formula>
    </cfRule>
    <cfRule type="expression" dxfId="1088" priority="46" stopIfTrue="1">
      <formula>B31=8</formula>
    </cfRule>
    <cfRule type="cellIs" dxfId="1087" priority="45" operator="equal">
      <formula>""</formula>
    </cfRule>
  </conditionalFormatting>
  <conditionalFormatting sqref="C44:C48">
    <cfRule type="cellIs" dxfId="1086" priority="44" operator="notEqual">
      <formula>""</formula>
    </cfRule>
  </conditionalFormatting>
  <conditionalFormatting sqref="F7:F42">
    <cfRule type="expression" dxfId="1085" priority="61" stopIfTrue="1">
      <formula>$G7&gt;0</formula>
    </cfRule>
  </conditionalFormatting>
  <conditionalFormatting sqref="F50">
    <cfRule type="expression" dxfId="1084" priority="60" stopIfTrue="1">
      <formula>$K42&gt;9</formula>
    </cfRule>
    <cfRule type="expression" dxfId="1083" priority="59" stopIfTrue="1">
      <formula>$K42&lt;0</formula>
    </cfRule>
  </conditionalFormatting>
  <conditionalFormatting sqref="G7:V42">
    <cfRule type="expression" dxfId="1082" priority="23">
      <formula>$Z7=TRUE</formula>
    </cfRule>
  </conditionalFormatting>
  <conditionalFormatting sqref="X7">
    <cfRule type="expression" dxfId="1081" priority="22">
      <formula>$Z$7=TRUE</formula>
    </cfRule>
  </conditionalFormatting>
  <conditionalFormatting sqref="X8">
    <cfRule type="expression" dxfId="1080" priority="21">
      <formula>$Z$8=TRUE</formula>
    </cfRule>
  </conditionalFormatting>
  <conditionalFormatting sqref="X9">
    <cfRule type="expression" dxfId="1079" priority="20">
      <formula>$Z$9=TRUE</formula>
    </cfRule>
  </conditionalFormatting>
  <conditionalFormatting sqref="X10">
    <cfRule type="expression" dxfId="1078" priority="19">
      <formula>$Z$10=TRUE</formula>
    </cfRule>
  </conditionalFormatting>
  <conditionalFormatting sqref="X11">
    <cfRule type="expression" dxfId="1077" priority="18">
      <formula>$Z$11=TRUE</formula>
    </cfRule>
  </conditionalFormatting>
  <conditionalFormatting sqref="X12">
    <cfRule type="expression" dxfId="1076" priority="17">
      <formula>$Z$12=TRUE</formula>
    </cfRule>
  </conditionalFormatting>
  <conditionalFormatting sqref="X13">
    <cfRule type="expression" dxfId="1075" priority="16">
      <formula>$Z$13=TRUE</formula>
    </cfRule>
  </conditionalFormatting>
  <conditionalFormatting sqref="X14">
    <cfRule type="expression" dxfId="1074" priority="15">
      <formula>$Z$14=TRUE</formula>
    </cfRule>
  </conditionalFormatting>
  <conditionalFormatting sqref="X15:X42">
    <cfRule type="expression" dxfId="1073" priority="13">
      <formula>$Z15=TRUE</formula>
    </cfRule>
  </conditionalFormatting>
  <conditionalFormatting sqref="AB7:AB42">
    <cfRule type="cellIs" dxfId="1072" priority="6" operator="equal">
      <formula>"x"</formula>
    </cfRule>
    <cfRule type="cellIs" dxfId="1071" priority="5" operator="equal">
      <formula>"xx"</formula>
    </cfRule>
  </conditionalFormatting>
  <conditionalFormatting sqref="AC7:AC42 AE7:AE42">
    <cfRule type="cellIs" dxfId="1070" priority="4" operator="equal">
      <formula>"x"</formula>
    </cfRule>
    <cfRule type="cellIs" dxfId="1069" priority="3" operator="equal">
      <formula>"xx"</formula>
    </cfRule>
  </conditionalFormatting>
  <conditionalFormatting sqref="AD7:AD42">
    <cfRule type="cellIs" dxfId="1068" priority="2" operator="equal">
      <formula>"x"</formula>
    </cfRule>
    <cfRule type="cellIs" dxfId="1067" priority="1" operator="equal">
      <formula>"xx"</formula>
    </cfRule>
  </conditionalFormatting>
  <conditionalFormatting sqref="AG7:AJ42">
    <cfRule type="cellIs" dxfId="1066" priority="9" operator="equal">
      <formula>"j"</formula>
    </cfRule>
    <cfRule type="cellIs" dxfId="1065" priority="8" operator="equal">
      <formula>"n"</formula>
    </cfRule>
    <cfRule type="cellIs" dxfId="1064" priority="7" operator="equal">
      <formula>"?"</formula>
    </cfRule>
  </conditionalFormatting>
  <conditionalFormatting sqref="AL7:AT42">
    <cfRule type="cellIs" dxfId="1063" priority="12" stopIfTrue="1" operator="equal">
      <formula>3</formula>
    </cfRule>
    <cfRule type="cellIs" dxfId="1062" priority="11" stopIfTrue="1" operator="equal">
      <formula>2</formula>
    </cfRule>
    <cfRule type="cellIs" dxfId="1061" priority="10" stopIfTrue="1" operator="equal">
      <formula>1</formula>
    </cfRule>
  </conditionalFormatting>
  <dataValidations count="14">
    <dataValidation allowBlank="1" showInputMessage="1" showErrorMessage="1" promptTitle="Pulldown menu" prompt="groeps  HP: -_x000a_indiv.    HP:#_x000a_hele groep: $" sqref="C20 C42" xr:uid="{00000000-0002-0000-2100-000000000000}"/>
    <dataValidation allowBlank="1" showInputMessage="1" showErrorMessage="1" promptTitle="Pulldown venster" prompt="groeps  HP: -_x000a_indiv.    HP:#_x000a_hele groep: $" sqref="C9:C19 C31:C41" xr:uid="{00000000-0002-0000-2100-000001000000}"/>
    <dataValidation allowBlank="1" showInputMessage="1" showErrorMessage="1" promptTitle="Nieuwe regel:" prompt="druk op: Alt-Enter" sqref="W29:X32 W34:X37 W39:X42 W19:X22 W24:X27" xr:uid="{00000000-0002-0000-2100-000002000000}"/>
    <dataValidation type="list" allowBlank="1" showInputMessage="1" showErrorMessage="1" sqref="B9:B20 B31:B42" xr:uid="{00000000-0002-0000-2100-000003000000}">
      <formula1>"3,4,5,6,7,8,"</formula1>
    </dataValidation>
    <dataValidation type="list" allowBlank="1" showInputMessage="1" showErrorMessage="1" sqref="C44" xr:uid="{00000000-0002-0000-2100-000004000000}">
      <formula1>"maandag,"</formula1>
    </dataValidation>
    <dataValidation type="list" allowBlank="1" showInputMessage="1" showErrorMessage="1" sqref="C45" xr:uid="{00000000-0002-0000-2100-000005000000}">
      <formula1>"dinsdag,"</formula1>
    </dataValidation>
    <dataValidation type="list" allowBlank="1" showInputMessage="1" showErrorMessage="1" sqref="C46" xr:uid="{00000000-0002-0000-2100-000006000000}">
      <formula1>"woensdag,"</formula1>
    </dataValidation>
    <dataValidation type="list" allowBlank="1" showInputMessage="1" showErrorMessage="1" sqref="C47" xr:uid="{00000000-0002-0000-2100-000007000000}">
      <formula1>"donderdag,"</formula1>
    </dataValidation>
    <dataValidation type="list" allowBlank="1" showInputMessage="1" showErrorMessage="1" sqref="C48" xr:uid="{00000000-0002-0000-2100-000008000000}">
      <formula1>"vrijdag,"</formula1>
    </dataValidation>
    <dataValidation type="list" allowBlank="1" showInputMessage="1" showErrorMessage="1" promptTitle="Kanjervagenlijst - leerlingen" prompt="1 = positief_x000a_2 = opvallend_x000a_3 = zorgwekkend_x000a__x000a_Alleen 2 en 3 noteren" sqref="AL7:AT42" xr:uid="{00000000-0002-0000-2100-000009000000}">
      <formula1>"1,2,3,"</formula1>
    </dataValidation>
    <dataValidation type="list" allowBlank="1" showInputMessage="1" showErrorMessage="1" sqref="AH7:AH42 AJ7:AJ42" xr:uid="{2A597CB4-DC93-44BA-9813-1CDE80750991}">
      <formula1>"j,n,?,"</formula1>
    </dataValidation>
    <dataValidation type="list" allowBlank="1" showInputMessage="1" showErrorMessage="1" promptTitle="LijV 4-5" prompt="Opvallend is_x000a_veel ????" sqref="AG7:AG42 AI7:AI42" xr:uid="{FDDE39CF-A959-48FC-A6C4-D57DE4041EB8}">
      <formula1>"j,n,?,"</formula1>
    </dataValidation>
    <dataValidation type="list" allowBlank="1" showInputMessage="1" showErrorMessage="1" prompt="xx = minst gekozen _x000a_( 0x - 1x - 2x )_x000a_x = weinig gekozen_x000a_( 3x - 4x )_x000a_" sqref="AC7:AC42 AE7:AE42" xr:uid="{02CF8C40-D4C3-4166-BA94-84FE6BA7728A}">
      <formula1>"x,xx"</formula1>
    </dataValidation>
    <dataValidation type="list" allowBlank="1" showInputMessage="1" showErrorMessage="1" prompt="x = veel gekozen _x000a_( &gt;= 15x ) _x000a_xx = meest gekozen_x000a_(&gt;= 20x )_x000a__x000a_" sqref="AB7:AB42 AD7:AD42" xr:uid="{BCFB5DC1-6B45-49BA-AC52-34C146815788}">
      <formula1>"x,xx,"</formula1>
    </dataValidation>
  </dataValidations>
  <pageMargins left="0.26" right="0.14000000000000001" top="0.82" bottom="0.33" header="0.33" footer="0.21"/>
  <pageSetup paperSize="9" scale="71" orientation="portrait" r:id="rId1"/>
  <headerFooter alignWithMargins="0">
    <oddFooter>&amp;R©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23</xdr:col>
                    <xdr:colOff>38100</xdr:colOff>
                    <xdr:row>9</xdr:row>
                    <xdr:rowOff>12700</xdr:rowOff>
                  </from>
                  <to>
                    <xdr:col>23</xdr:col>
                    <xdr:colOff>374650</xdr:colOff>
                    <xdr:row>9</xdr:row>
                    <xdr:rowOff>228600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23</xdr:col>
                    <xdr:colOff>38100</xdr:colOff>
                    <xdr:row>8</xdr:row>
                    <xdr:rowOff>12700</xdr:rowOff>
                  </from>
                  <to>
                    <xdr:col>23</xdr:col>
                    <xdr:colOff>374650</xdr:colOff>
                    <xdr:row>8</xdr:row>
                    <xdr:rowOff>228600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23</xdr:col>
                    <xdr:colOff>38100</xdr:colOff>
                    <xdr:row>10</xdr:row>
                    <xdr:rowOff>19050</xdr:rowOff>
                  </from>
                  <to>
                    <xdr:col>23</xdr:col>
                    <xdr:colOff>374650</xdr:colOff>
                    <xdr:row>10</xdr:row>
                    <xdr:rowOff>241300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23</xdr:col>
                    <xdr:colOff>38100</xdr:colOff>
                    <xdr:row>11</xdr:row>
                    <xdr:rowOff>19050</xdr:rowOff>
                  </from>
                  <to>
                    <xdr:col>23</xdr:col>
                    <xdr:colOff>374650</xdr:colOff>
                    <xdr:row>11</xdr:row>
                    <xdr:rowOff>241300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23</xdr:col>
                    <xdr:colOff>38100</xdr:colOff>
                    <xdr:row>13</xdr:row>
                    <xdr:rowOff>19050</xdr:rowOff>
                  </from>
                  <to>
                    <xdr:col>23</xdr:col>
                    <xdr:colOff>374650</xdr:colOff>
                    <xdr:row>13</xdr:row>
                    <xdr:rowOff>241300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23</xdr:col>
                    <xdr:colOff>38100</xdr:colOff>
                    <xdr:row>12</xdr:row>
                    <xdr:rowOff>19050</xdr:rowOff>
                  </from>
                  <to>
                    <xdr:col>23</xdr:col>
                    <xdr:colOff>374650</xdr:colOff>
                    <xdr:row>13</xdr:row>
                    <xdr:rowOff>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23</xdr:col>
                    <xdr:colOff>38100</xdr:colOff>
                    <xdr:row>14</xdr:row>
                    <xdr:rowOff>19050</xdr:rowOff>
                  </from>
                  <to>
                    <xdr:col>23</xdr:col>
                    <xdr:colOff>374650</xdr:colOff>
                    <xdr:row>14</xdr:row>
                    <xdr:rowOff>241300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23</xdr:col>
                    <xdr:colOff>38100</xdr:colOff>
                    <xdr:row>15</xdr:row>
                    <xdr:rowOff>19050</xdr:rowOff>
                  </from>
                  <to>
                    <xdr:col>23</xdr:col>
                    <xdr:colOff>374650</xdr:colOff>
                    <xdr:row>15</xdr:row>
                    <xdr:rowOff>241300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23</xdr:col>
                    <xdr:colOff>38100</xdr:colOff>
                    <xdr:row>17</xdr:row>
                    <xdr:rowOff>12700</xdr:rowOff>
                  </from>
                  <to>
                    <xdr:col>23</xdr:col>
                    <xdr:colOff>374650</xdr:colOff>
                    <xdr:row>17</xdr:row>
                    <xdr:rowOff>228600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23</xdr:col>
                    <xdr:colOff>38100</xdr:colOff>
                    <xdr:row>16</xdr:row>
                    <xdr:rowOff>12700</xdr:rowOff>
                  </from>
                  <to>
                    <xdr:col>23</xdr:col>
                    <xdr:colOff>374650</xdr:colOff>
                    <xdr:row>16</xdr:row>
                    <xdr:rowOff>228600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23</xdr:col>
                    <xdr:colOff>38100</xdr:colOff>
                    <xdr:row>18</xdr:row>
                    <xdr:rowOff>19050</xdr:rowOff>
                  </from>
                  <to>
                    <xdr:col>23</xdr:col>
                    <xdr:colOff>374650</xdr:colOff>
                    <xdr:row>18</xdr:row>
                    <xdr:rowOff>241300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23</xdr:col>
                    <xdr:colOff>38100</xdr:colOff>
                    <xdr:row>19</xdr:row>
                    <xdr:rowOff>19050</xdr:rowOff>
                  </from>
                  <to>
                    <xdr:col>23</xdr:col>
                    <xdr:colOff>374650</xdr:colOff>
                    <xdr:row>19</xdr:row>
                    <xdr:rowOff>241300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23</xdr:col>
                    <xdr:colOff>38100</xdr:colOff>
                    <xdr:row>21</xdr:row>
                    <xdr:rowOff>19050</xdr:rowOff>
                  </from>
                  <to>
                    <xdr:col>23</xdr:col>
                    <xdr:colOff>374650</xdr:colOff>
                    <xdr:row>21</xdr:row>
                    <xdr:rowOff>241300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23</xdr:col>
                    <xdr:colOff>38100</xdr:colOff>
                    <xdr:row>20</xdr:row>
                    <xdr:rowOff>19050</xdr:rowOff>
                  </from>
                  <to>
                    <xdr:col>23</xdr:col>
                    <xdr:colOff>374650</xdr:colOff>
                    <xdr:row>20</xdr:row>
                    <xdr:rowOff>241300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23</xdr:col>
                    <xdr:colOff>38100</xdr:colOff>
                    <xdr:row>22</xdr:row>
                    <xdr:rowOff>19050</xdr:rowOff>
                  </from>
                  <to>
                    <xdr:col>23</xdr:col>
                    <xdr:colOff>374650</xdr:colOff>
                    <xdr:row>22</xdr:row>
                    <xdr:rowOff>241300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23</xdr:col>
                    <xdr:colOff>38100</xdr:colOff>
                    <xdr:row>23</xdr:row>
                    <xdr:rowOff>19050</xdr:rowOff>
                  </from>
                  <to>
                    <xdr:col>23</xdr:col>
                    <xdr:colOff>374650</xdr:colOff>
                    <xdr:row>23</xdr:row>
                    <xdr:rowOff>241300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23</xdr:col>
                    <xdr:colOff>38100</xdr:colOff>
                    <xdr:row>25</xdr:row>
                    <xdr:rowOff>12700</xdr:rowOff>
                  </from>
                  <to>
                    <xdr:col>23</xdr:col>
                    <xdr:colOff>374650</xdr:colOff>
                    <xdr:row>25</xdr:row>
                    <xdr:rowOff>228600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23</xdr:col>
                    <xdr:colOff>38100</xdr:colOff>
                    <xdr:row>24</xdr:row>
                    <xdr:rowOff>12700</xdr:rowOff>
                  </from>
                  <to>
                    <xdr:col>23</xdr:col>
                    <xdr:colOff>374650</xdr:colOff>
                    <xdr:row>24</xdr:row>
                    <xdr:rowOff>228600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23</xdr:col>
                    <xdr:colOff>38100</xdr:colOff>
                    <xdr:row>26</xdr:row>
                    <xdr:rowOff>19050</xdr:rowOff>
                  </from>
                  <to>
                    <xdr:col>23</xdr:col>
                    <xdr:colOff>374650</xdr:colOff>
                    <xdr:row>26</xdr:row>
                    <xdr:rowOff>241300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23</xdr:col>
                    <xdr:colOff>38100</xdr:colOff>
                    <xdr:row>27</xdr:row>
                    <xdr:rowOff>19050</xdr:rowOff>
                  </from>
                  <to>
                    <xdr:col>23</xdr:col>
                    <xdr:colOff>374650</xdr:colOff>
                    <xdr:row>27</xdr:row>
                    <xdr:rowOff>241300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23</xdr:col>
                    <xdr:colOff>38100</xdr:colOff>
                    <xdr:row>29</xdr:row>
                    <xdr:rowOff>19050</xdr:rowOff>
                  </from>
                  <to>
                    <xdr:col>23</xdr:col>
                    <xdr:colOff>374650</xdr:colOff>
                    <xdr:row>29</xdr:row>
                    <xdr:rowOff>241300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23</xdr:col>
                    <xdr:colOff>38100</xdr:colOff>
                    <xdr:row>28</xdr:row>
                    <xdr:rowOff>19050</xdr:rowOff>
                  </from>
                  <to>
                    <xdr:col>23</xdr:col>
                    <xdr:colOff>374650</xdr:colOff>
                    <xdr:row>28</xdr:row>
                    <xdr:rowOff>241300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23</xdr:col>
                    <xdr:colOff>38100</xdr:colOff>
                    <xdr:row>30</xdr:row>
                    <xdr:rowOff>19050</xdr:rowOff>
                  </from>
                  <to>
                    <xdr:col>23</xdr:col>
                    <xdr:colOff>374650</xdr:colOff>
                    <xdr:row>30</xdr:row>
                    <xdr:rowOff>241300</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23</xdr:col>
                    <xdr:colOff>38100</xdr:colOff>
                    <xdr:row>31</xdr:row>
                    <xdr:rowOff>19050</xdr:rowOff>
                  </from>
                  <to>
                    <xdr:col>23</xdr:col>
                    <xdr:colOff>374650</xdr:colOff>
                    <xdr:row>31</xdr:row>
                    <xdr:rowOff>241300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23</xdr:col>
                    <xdr:colOff>38100</xdr:colOff>
                    <xdr:row>33</xdr:row>
                    <xdr:rowOff>12700</xdr:rowOff>
                  </from>
                  <to>
                    <xdr:col>23</xdr:col>
                    <xdr:colOff>374650</xdr:colOff>
                    <xdr:row>33</xdr:row>
                    <xdr:rowOff>228600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23</xdr:col>
                    <xdr:colOff>38100</xdr:colOff>
                    <xdr:row>32</xdr:row>
                    <xdr:rowOff>12700</xdr:rowOff>
                  </from>
                  <to>
                    <xdr:col>23</xdr:col>
                    <xdr:colOff>374650</xdr:colOff>
                    <xdr:row>32</xdr:row>
                    <xdr:rowOff>228600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23</xdr:col>
                    <xdr:colOff>38100</xdr:colOff>
                    <xdr:row>34</xdr:row>
                    <xdr:rowOff>19050</xdr:rowOff>
                  </from>
                  <to>
                    <xdr:col>23</xdr:col>
                    <xdr:colOff>374650</xdr:colOff>
                    <xdr:row>34</xdr:row>
                    <xdr:rowOff>241300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23</xdr:col>
                    <xdr:colOff>38100</xdr:colOff>
                    <xdr:row>35</xdr:row>
                    <xdr:rowOff>19050</xdr:rowOff>
                  </from>
                  <to>
                    <xdr:col>23</xdr:col>
                    <xdr:colOff>374650</xdr:colOff>
                    <xdr:row>35</xdr:row>
                    <xdr:rowOff>241300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23</xdr:col>
                    <xdr:colOff>38100</xdr:colOff>
                    <xdr:row>37</xdr:row>
                    <xdr:rowOff>19050</xdr:rowOff>
                  </from>
                  <to>
                    <xdr:col>23</xdr:col>
                    <xdr:colOff>374650</xdr:colOff>
                    <xdr:row>37</xdr:row>
                    <xdr:rowOff>241300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23</xdr:col>
                    <xdr:colOff>38100</xdr:colOff>
                    <xdr:row>36</xdr:row>
                    <xdr:rowOff>19050</xdr:rowOff>
                  </from>
                  <to>
                    <xdr:col>23</xdr:col>
                    <xdr:colOff>374650</xdr:colOff>
                    <xdr:row>36</xdr:row>
                    <xdr:rowOff>241300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23</xdr:col>
                    <xdr:colOff>38100</xdr:colOff>
                    <xdr:row>38</xdr:row>
                    <xdr:rowOff>19050</xdr:rowOff>
                  </from>
                  <to>
                    <xdr:col>23</xdr:col>
                    <xdr:colOff>374650</xdr:colOff>
                    <xdr:row>38</xdr:row>
                    <xdr:rowOff>241300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23</xdr:col>
                    <xdr:colOff>38100</xdr:colOff>
                    <xdr:row>39</xdr:row>
                    <xdr:rowOff>19050</xdr:rowOff>
                  </from>
                  <to>
                    <xdr:col>23</xdr:col>
                    <xdr:colOff>374650</xdr:colOff>
                    <xdr:row>39</xdr:row>
                    <xdr:rowOff>241300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23</xdr:col>
                    <xdr:colOff>38100</xdr:colOff>
                    <xdr:row>41</xdr:row>
                    <xdr:rowOff>12700</xdr:rowOff>
                  </from>
                  <to>
                    <xdr:col>23</xdr:col>
                    <xdr:colOff>374650</xdr:colOff>
                    <xdr:row>41</xdr:row>
                    <xdr:rowOff>228600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23</xdr:col>
                    <xdr:colOff>38100</xdr:colOff>
                    <xdr:row>40</xdr:row>
                    <xdr:rowOff>12700</xdr:rowOff>
                  </from>
                  <to>
                    <xdr:col>23</xdr:col>
                    <xdr:colOff>374650</xdr:colOff>
                    <xdr:row>40</xdr:row>
                    <xdr:rowOff>228600</xdr:rowOff>
                  </to>
                </anchor>
              </controlPr>
            </control>
          </mc:Choice>
        </mc:AlternateContent>
        <mc:AlternateContent xmlns:mc="http://schemas.openxmlformats.org/markup-compatibility/2006">
          <mc:Choice Requires="x14">
            <control shapeId="38947" r:id="rId38" name="Check Box 35">
              <controlPr defaultSize="0" autoFill="0" autoLine="0" autoPict="0">
                <anchor moveWithCells="1">
                  <from>
                    <xdr:col>23</xdr:col>
                    <xdr:colOff>38100</xdr:colOff>
                    <xdr:row>6</xdr:row>
                    <xdr:rowOff>12700</xdr:rowOff>
                  </from>
                  <to>
                    <xdr:col>23</xdr:col>
                    <xdr:colOff>374650</xdr:colOff>
                    <xdr:row>6</xdr:row>
                    <xdr:rowOff>228600</xdr:rowOff>
                  </to>
                </anchor>
              </controlPr>
            </control>
          </mc:Choice>
        </mc:AlternateContent>
        <mc:AlternateContent xmlns:mc="http://schemas.openxmlformats.org/markup-compatibility/2006">
          <mc:Choice Requires="x14">
            <control shapeId="38948" r:id="rId39" name="Check Box 36">
              <controlPr defaultSize="0" autoFill="0" autoLine="0" autoPict="0">
                <anchor moveWithCells="1">
                  <from>
                    <xdr:col>23</xdr:col>
                    <xdr:colOff>38100</xdr:colOff>
                    <xdr:row>7</xdr:row>
                    <xdr:rowOff>12700</xdr:rowOff>
                  </from>
                  <to>
                    <xdr:col>23</xdr:col>
                    <xdr:colOff>374650</xdr:colOff>
                    <xdr:row>7</xdr:row>
                    <xdr:rowOff>228600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66CCFF"/>
  </sheetPr>
  <dimension ref="B1:AS96"/>
  <sheetViews>
    <sheetView showGridLines="0" showRowColHeaders="0" showWhiteSpace="0" zoomScale="75" zoomScaleNormal="75" zoomScaleSheetLayoutView="85" workbookViewId="0">
      <pane xSplit="3" topLeftCell="D1" activePane="topRight" state="frozen"/>
      <selection pane="topRight" activeCell="AH17" sqref="AH17:AH20"/>
    </sheetView>
  </sheetViews>
  <sheetFormatPr defaultColWidth="9.1796875" defaultRowHeight="12.5" x14ac:dyDescent="0.25"/>
  <cols>
    <col min="1" max="1" width="3.1796875" style="51" customWidth="1"/>
    <col min="2" max="2" width="4" style="5" bestFit="1" customWidth="1"/>
    <col min="3" max="3" width="25.81640625" style="77" customWidth="1"/>
    <col min="4" max="4" width="2.81640625" style="77" customWidth="1"/>
    <col min="5" max="5" width="11.81640625" style="77" customWidth="1"/>
    <col min="6" max="6" width="2.81640625" style="77" customWidth="1"/>
    <col min="7" max="7" width="11.81640625" style="77" customWidth="1"/>
    <col min="8" max="9" width="5.81640625" style="77" customWidth="1"/>
    <col min="10" max="10" width="2.81640625" style="77" customWidth="1"/>
    <col min="11" max="11" width="11.81640625" style="77" customWidth="1"/>
    <col min="12" max="13" width="5.81640625" style="77" customWidth="1"/>
    <col min="14" max="14" width="5.81640625" style="53" customWidth="1"/>
    <col min="15" max="15" width="2.81640625" style="77" customWidth="1"/>
    <col min="16" max="17" width="5.81640625" style="77" customWidth="1"/>
    <col min="18" max="19" width="11.81640625" style="77" customWidth="1"/>
    <col min="20" max="20" width="2.81640625" style="77" customWidth="1"/>
    <col min="21" max="21" width="4.81640625" style="77" customWidth="1"/>
    <col min="22" max="22" width="5.453125" style="77" bestFit="1" customWidth="1"/>
    <col min="23" max="23" width="4.81640625" style="77" customWidth="1"/>
    <col min="24" max="24" width="2.81640625" style="77" customWidth="1"/>
    <col min="25" max="25" width="4.81640625" style="77" customWidth="1"/>
    <col min="26" max="26" width="5.453125" style="77" bestFit="1" customWidth="1"/>
    <col min="27" max="27" width="4.81640625" style="77" customWidth="1"/>
    <col min="28" max="28" width="2.81640625" style="77" customWidth="1"/>
    <col min="29" max="29" width="4.81640625" style="77" customWidth="1"/>
    <col min="30" max="30" width="5.453125" style="77" bestFit="1" customWidth="1"/>
    <col min="31" max="31" width="4.81640625" style="77" customWidth="1"/>
    <col min="32" max="32" width="3.81640625" style="77" customWidth="1"/>
    <col min="33" max="33" width="11.81640625" style="77" customWidth="1"/>
    <col min="34" max="34" width="5.81640625" style="51" customWidth="1"/>
    <col min="35" max="36" width="6.81640625" style="51" hidden="1" customWidth="1"/>
    <col min="37" max="37" width="9.1796875" style="51"/>
    <col min="38" max="39" width="13.1796875" style="51" bestFit="1" customWidth="1"/>
    <col min="40" max="40" width="9" style="51" bestFit="1" customWidth="1"/>
    <col min="41" max="42" width="7.81640625" style="51" bestFit="1" customWidth="1"/>
    <col min="43" max="44" width="8.1796875" style="51" bestFit="1" customWidth="1"/>
    <col min="45" max="16384" width="9.1796875" style="51"/>
  </cols>
  <sheetData>
    <row r="1" spans="2:45" s="293" customFormat="1" ht="15.5" x14ac:dyDescent="0.35">
      <c r="B1" s="537"/>
      <c r="C1" s="355" t="s">
        <v>292</v>
      </c>
      <c r="D1" s="186"/>
      <c r="E1" s="1189" t="s">
        <v>293</v>
      </c>
      <c r="F1" s="1189"/>
      <c r="G1" s="1189"/>
      <c r="H1" s="1189"/>
      <c r="I1" s="1189"/>
      <c r="J1" s="360"/>
      <c r="K1" s="1190" t="s">
        <v>294</v>
      </c>
      <c r="L1" s="1190"/>
      <c r="M1" s="1190"/>
      <c r="N1" s="1190"/>
      <c r="O1" s="1190"/>
      <c r="P1" s="1190"/>
      <c r="Q1" s="1190"/>
      <c r="R1" s="1190"/>
      <c r="S1" s="1190"/>
      <c r="T1" s="129"/>
      <c r="U1" s="1190" t="s">
        <v>295</v>
      </c>
      <c r="V1" s="1190"/>
      <c r="W1" s="1190"/>
      <c r="X1" s="1190"/>
      <c r="Y1" s="1190"/>
      <c r="Z1" s="1190"/>
      <c r="AA1" s="1190"/>
      <c r="AB1" s="1190"/>
      <c r="AC1" s="1190"/>
      <c r="AD1" s="1190"/>
      <c r="AE1" s="1190"/>
      <c r="AF1" s="129"/>
      <c r="AG1" s="1191" t="s">
        <v>296</v>
      </c>
      <c r="AH1" s="1191"/>
      <c r="AI1" s="1191"/>
      <c r="AJ1" s="1191"/>
      <c r="AK1" s="1191"/>
      <c r="AL1" s="1191"/>
      <c r="AM1" s="1191"/>
      <c r="AN1" s="1191"/>
      <c r="AO1" s="1191"/>
      <c r="AP1" s="1191"/>
      <c r="AQ1" s="1191"/>
      <c r="AR1" s="1191"/>
      <c r="AS1" s="1191"/>
    </row>
    <row r="2" spans="2:45" ht="13.5" thickBot="1" x14ac:dyDescent="0.3">
      <c r="B2" s="537"/>
      <c r="E2" s="361"/>
      <c r="F2" s="361"/>
      <c r="G2" s="361"/>
      <c r="H2" s="361"/>
      <c r="I2" s="361"/>
      <c r="J2" s="361"/>
      <c r="K2" s="361"/>
      <c r="L2" s="361"/>
      <c r="M2" s="361"/>
      <c r="P2" s="361"/>
      <c r="Q2" s="361"/>
      <c r="R2" s="361"/>
      <c r="S2" s="361"/>
      <c r="T2" s="361"/>
      <c r="U2" s="1185" t="s">
        <v>297</v>
      </c>
      <c r="V2" s="1185"/>
      <c r="W2" s="1185"/>
      <c r="X2" s="361"/>
      <c r="Y2" s="1185" t="s">
        <v>298</v>
      </c>
      <c r="Z2" s="1185"/>
      <c r="AA2" s="1185"/>
      <c r="AB2" s="361"/>
      <c r="AC2" s="1185" t="s">
        <v>140</v>
      </c>
      <c r="AD2" s="1185"/>
      <c r="AE2" s="1185"/>
      <c r="AF2" s="361"/>
      <c r="AG2" s="361"/>
      <c r="AH2" s="56"/>
    </row>
    <row r="3" spans="2:45" ht="117" customHeight="1" x14ac:dyDescent="0.25">
      <c r="B3" s="550"/>
      <c r="C3" s="356"/>
      <c r="E3" s="373" t="s">
        <v>299</v>
      </c>
      <c r="F3" s="362"/>
      <c r="G3" s="373" t="s">
        <v>300</v>
      </c>
      <c r="H3" s="363" t="s">
        <v>301</v>
      </c>
      <c r="I3" s="364" t="s">
        <v>302</v>
      </c>
      <c r="J3" s="362"/>
      <c r="K3" s="374" t="s">
        <v>303</v>
      </c>
      <c r="L3" s="363" t="s">
        <v>304</v>
      </c>
      <c r="M3" s="364" t="s">
        <v>305</v>
      </c>
      <c r="N3" s="365" t="s">
        <v>306</v>
      </c>
      <c r="P3" s="366" t="s">
        <v>307</v>
      </c>
      <c r="Q3" s="367" t="s">
        <v>308</v>
      </c>
      <c r="R3" s="368" t="s">
        <v>309</v>
      </c>
      <c r="S3" s="364" t="s">
        <v>310</v>
      </c>
      <c r="T3" s="362"/>
      <c r="U3" s="369" t="s">
        <v>311</v>
      </c>
      <c r="V3" s="363" t="s">
        <v>312</v>
      </c>
      <c r="W3" s="364" t="s">
        <v>313</v>
      </c>
      <c r="X3" s="362"/>
      <c r="Y3" s="369" t="s">
        <v>311</v>
      </c>
      <c r="Z3" s="363" t="s">
        <v>312</v>
      </c>
      <c r="AA3" s="364" t="s">
        <v>313</v>
      </c>
      <c r="AB3" s="362"/>
      <c r="AC3" s="369" t="s">
        <v>311</v>
      </c>
      <c r="AD3" s="363" t="s">
        <v>312</v>
      </c>
      <c r="AE3" s="364" t="s">
        <v>314</v>
      </c>
      <c r="AF3" s="370"/>
      <c r="AG3" s="908" t="s">
        <v>315</v>
      </c>
      <c r="AH3" s="375" t="s">
        <v>316</v>
      </c>
    </row>
    <row r="4" spans="2:45" ht="19.5" customHeight="1" x14ac:dyDescent="0.25">
      <c r="B4" s="315">
        <v>1</v>
      </c>
      <c r="C4" s="357" t="str">
        <f>BEGINBLAD!C4</f>
        <v>leerling 1</v>
      </c>
      <c r="E4" s="297"/>
      <c r="F4" s="371"/>
      <c r="G4" s="297"/>
      <c r="H4" s="295" t="str">
        <f t="shared" ref="H4:H39" si="0">IF(G4="","",IF(G4="VWO",547,IF(G4="HAVO/VWO",542,IF(G4="HAVO",538,IF(G4="TL/HAVO",535,IF(G4="TL",530,IF(G4="KB/TL",527,IF(G4="KB",524,IF(G4="BB/KB",521,IF(G4="BB",515,IF(G4="PRO/BB",505)))))))))))</f>
        <v/>
      </c>
      <c r="I4" s="294" t="str">
        <f t="shared" ref="I4:I39" si="1">IF(G4="","",IF(G4="VWO",93,IF(G4="HAVO/VWO",87,IF(G4="HAVO",82,IF(G4="TL/HAVO",77,IF(G4="TL",71,IF(G4="KB/TL",66,IF(G4="KB",62,IF(G4="BB/KB",55,IF(G4="BB",50,IF(G4="PRO/BB",40)))))))))))</f>
        <v/>
      </c>
      <c r="J4" s="371"/>
      <c r="K4" s="297"/>
      <c r="L4" s="295" t="str">
        <f>IF(K4="","",IF(K4="VWO",547,IF(K4="HAVO/VWO",542,IF(K4="HAVO",538,IF(K4="TL/HAVO",535,IF(K4="TL",530,IF(K4="KB/TL",527,IF(K4="KB",524,IF(K4="BB/KB",521,IF(K4="BB",515,IF(K4="PRO/BB",505)))))))))))</f>
        <v/>
      </c>
      <c r="M4" s="294" t="str">
        <f>IF(K4="","",IF(K4="VWO",93,IF(K4="HAVO/VWO",87,IF(K4="HAVO",82,IF(K4="TL/HAVO",77,IF(K4="TL",71,IF(K4="KB/TL",66,IF(K4="KB",62,IF(K4="BB/KB",55,IF(K4="BB",50,IF(K4="PRO/BB",40)))))))))))</f>
        <v/>
      </c>
      <c r="N4" s="296"/>
      <c r="P4" s="297"/>
      <c r="Q4" s="298"/>
      <c r="R4" s="299" t="str">
        <f>IF(P4="","",IF(P4&gt;=545,"VWO",IF(P4&gt;=540,"HAVO/VWO",IF(P4&gt;=537,"HAVO",IF(P4&gt;=533,"TL/HAVO",IF(P4&gt;=529,"TL",IF(P4&gt;=526,"KB/TL",IF(P4&gt;=523,"KB",IF(P4&gt;=519,"BB/KB",IF(P4&gt;=509,"BB",IF(P4&gt;=501,"PRO/BB")))))))))))</f>
        <v/>
      </c>
      <c r="S4" s="294" t="str">
        <f>IF(Q4="","",IF(Q4&gt;=92,"VWO",IF(Q4&gt;=86,"HAVO/VWO",IF(Q4&gt;=78,"TL/HAVO",IF(Q4&gt;=69,"KB/TL",IF(Q4&gt;=55,"BB/KB",IF(Q4&gt;=40,"PRO/BB")))))))</f>
        <v/>
      </c>
      <c r="T4" s="53"/>
      <c r="U4" s="297"/>
      <c r="V4" s="300"/>
      <c r="W4" s="298"/>
      <c r="X4" s="53"/>
      <c r="Y4" s="376"/>
      <c r="Z4" s="300"/>
      <c r="AA4" s="298"/>
      <c r="AB4" s="53"/>
      <c r="AC4" s="297"/>
      <c r="AD4" s="300"/>
      <c r="AE4" s="298"/>
      <c r="AF4" s="78"/>
      <c r="AG4" s="376"/>
      <c r="AH4" s="332"/>
      <c r="AJ4" s="341" t="b">
        <v>0</v>
      </c>
      <c r="AL4" s="301" t="s">
        <v>317</v>
      </c>
      <c r="AM4" s="301" t="s">
        <v>317</v>
      </c>
      <c r="AN4" s="302" t="s">
        <v>318</v>
      </c>
      <c r="AO4" s="303" t="s">
        <v>294</v>
      </c>
      <c r="AP4" s="303" t="s">
        <v>294</v>
      </c>
      <c r="AQ4" s="303" t="s">
        <v>319</v>
      </c>
      <c r="AR4" s="303" t="s">
        <v>319</v>
      </c>
    </row>
    <row r="5" spans="2:45" ht="19.5" customHeight="1" x14ac:dyDescent="0.25">
      <c r="B5" s="315">
        <v>2</v>
      </c>
      <c r="C5" s="357" t="str">
        <f>BEGINBLAD!C5</f>
        <v>leerling 2</v>
      </c>
      <c r="E5" s="297"/>
      <c r="F5" s="371"/>
      <c r="G5" s="297"/>
      <c r="H5" s="295" t="str">
        <f t="shared" si="0"/>
        <v/>
      </c>
      <c r="I5" s="294" t="str">
        <f t="shared" si="1"/>
        <v/>
      </c>
      <c r="J5" s="371"/>
      <c r="K5" s="297"/>
      <c r="L5" s="295" t="str">
        <f t="shared" ref="L5:L39" si="2">IF(K5="","",IF(K5="VWO",547,IF(K5="HAVO/VWO",542,IF(K5="HAVO",538,IF(K5="TL/HAVO",535,IF(K5="TL",530,IF(K5="KB/TL",527,IF(K5="KB",524,IF(K5="BB/KB",521,IF(K5="BB",515,IF(K5="PRO/BB",505)))))))))))</f>
        <v/>
      </c>
      <c r="M5" s="294" t="str">
        <f t="shared" ref="M5:M39" si="3">IF(K5="","",IF(K5="VWO",93,IF(K5="HAVO/VWO",87,IF(K5="HAVO",82,IF(K5="TL/HAVO",77,IF(K5="TL",71,IF(K5="KB/TL",66,IF(K5="KB",62,IF(K5="BB/KB",55,IF(K5="BB",50,IF(K5="PRO/BB",40)))))))))))</f>
        <v/>
      </c>
      <c r="N5" s="296"/>
      <c r="P5" s="297"/>
      <c r="Q5" s="298"/>
      <c r="R5" s="299" t="str">
        <f t="shared" ref="R5:R39" si="4">IF(P5="","",IF(P5&gt;=545,"VWO",IF(P5&gt;=540,"HAVO/VWO",IF(P5&gt;=537,"HAVO",IF(P5&gt;=533,"TL/HAVO",IF(P5&gt;=529,"TL",IF(P5&gt;=526,"KB/TL",IF(P5&gt;=523,"KB",IF(P5&gt;=519,"BB/KB",IF(P5&gt;=509,"BB",IF(P5&gt;=501,"PRO/BB")))))))))))</f>
        <v/>
      </c>
      <c r="S5" s="294" t="str">
        <f t="shared" ref="S5:S39" si="5">IF(Q5="","",IF(Q5&gt;=92,"VWO",IF(Q5&gt;=86,"HAVO/VWO",IF(Q5&gt;=78,"TL/HAVO",IF(Q5&gt;=69,"KB/TL",IF(Q5&gt;=55,"BB/KB",IF(Q5&gt;=40,"PRO/BB")))))))</f>
        <v/>
      </c>
      <c r="T5" s="53"/>
      <c r="U5" s="297"/>
      <c r="V5" s="300"/>
      <c r="W5" s="298"/>
      <c r="X5" s="53"/>
      <c r="Y5" s="297"/>
      <c r="Z5" s="300"/>
      <c r="AA5" s="298"/>
      <c r="AB5" s="53"/>
      <c r="AC5" s="297"/>
      <c r="AD5" s="300"/>
      <c r="AE5" s="298"/>
      <c r="AF5" s="78"/>
      <c r="AG5" s="376"/>
      <c r="AH5" s="332"/>
      <c r="AJ5" s="341" t="b">
        <v>0</v>
      </c>
      <c r="AK5" s="51">
        <v>1</v>
      </c>
      <c r="AL5" s="304" t="s">
        <v>173</v>
      </c>
      <c r="AM5" s="1192" t="s">
        <v>320</v>
      </c>
      <c r="AN5" s="551">
        <f>COUNTIF($AG4:$AG39,"PRO")</f>
        <v>0</v>
      </c>
      <c r="AO5" s="869" t="str">
        <f>IF(AN5=0,"0%",IF(AN5&gt;0,AN5/$AN$16))</f>
        <v>0%</v>
      </c>
      <c r="AP5" s="1187">
        <f>AO5+AO6</f>
        <v>0</v>
      </c>
      <c r="AQ5" s="869">
        <v>0.01</v>
      </c>
      <c r="AR5" s="1187">
        <f>AQ5+AQ6</f>
        <v>0.08</v>
      </c>
    </row>
    <row r="6" spans="2:45" ht="19.5" customHeight="1" x14ac:dyDescent="0.25">
      <c r="B6" s="315">
        <v>3</v>
      </c>
      <c r="C6" s="357" t="str">
        <f>BEGINBLAD!C6</f>
        <v>leerling 3</v>
      </c>
      <c r="E6" s="297"/>
      <c r="F6" s="371"/>
      <c r="G6" s="297"/>
      <c r="H6" s="295" t="str">
        <f t="shared" si="0"/>
        <v/>
      </c>
      <c r="I6" s="294" t="str">
        <f t="shared" si="1"/>
        <v/>
      </c>
      <c r="J6" s="371"/>
      <c r="K6" s="297"/>
      <c r="L6" s="295" t="str">
        <f t="shared" si="2"/>
        <v/>
      </c>
      <c r="M6" s="294" t="str">
        <f t="shared" si="3"/>
        <v/>
      </c>
      <c r="N6" s="296"/>
      <c r="P6" s="297"/>
      <c r="Q6" s="298"/>
      <c r="R6" s="299" t="str">
        <f t="shared" si="4"/>
        <v/>
      </c>
      <c r="S6" s="294" t="str">
        <f t="shared" si="5"/>
        <v/>
      </c>
      <c r="T6" s="53"/>
      <c r="U6" s="297"/>
      <c r="V6" s="300"/>
      <c r="W6" s="298"/>
      <c r="X6" s="53"/>
      <c r="Y6" s="297"/>
      <c r="Z6" s="300"/>
      <c r="AA6" s="298"/>
      <c r="AB6" s="53"/>
      <c r="AC6" s="297"/>
      <c r="AD6" s="300"/>
      <c r="AE6" s="298"/>
      <c r="AF6" s="78"/>
      <c r="AG6" s="376"/>
      <c r="AH6" s="332"/>
      <c r="AJ6" s="341" t="b">
        <v>0</v>
      </c>
      <c r="AK6" s="51">
        <v>2</v>
      </c>
      <c r="AL6" s="304" t="s">
        <v>321</v>
      </c>
      <c r="AM6" s="1192"/>
      <c r="AN6" s="551">
        <f>COUNTIF($AG5:$AG40,"BB")</f>
        <v>0</v>
      </c>
      <c r="AO6" s="869" t="str">
        <f t="shared" ref="AO6:AO15" si="6">IF(AN6=0,"0%",IF(AN6&gt;0,AN6/$AN$16))</f>
        <v>0%</v>
      </c>
      <c r="AP6" s="1187"/>
      <c r="AQ6" s="869">
        <v>7.0000000000000007E-2</v>
      </c>
      <c r="AR6" s="1187"/>
    </row>
    <row r="7" spans="2:45" ht="19.5" customHeight="1" x14ac:dyDescent="0.25">
      <c r="B7" s="315">
        <v>4</v>
      </c>
      <c r="C7" s="357" t="str">
        <f>BEGINBLAD!C7</f>
        <v>leerling 4</v>
      </c>
      <c r="E7" s="297"/>
      <c r="F7" s="371"/>
      <c r="G7" s="297"/>
      <c r="H7" s="295" t="str">
        <f t="shared" si="0"/>
        <v/>
      </c>
      <c r="I7" s="294" t="str">
        <f t="shared" si="1"/>
        <v/>
      </c>
      <c r="J7" s="371"/>
      <c r="K7" s="297"/>
      <c r="L7" s="295" t="str">
        <f t="shared" si="2"/>
        <v/>
      </c>
      <c r="M7" s="294" t="str">
        <f t="shared" si="3"/>
        <v/>
      </c>
      <c r="N7" s="296"/>
      <c r="P7" s="297"/>
      <c r="Q7" s="298"/>
      <c r="R7" s="299" t="str">
        <f t="shared" si="4"/>
        <v/>
      </c>
      <c r="S7" s="294" t="str">
        <f t="shared" si="5"/>
        <v/>
      </c>
      <c r="T7" s="53"/>
      <c r="U7" s="297"/>
      <c r="V7" s="300"/>
      <c r="W7" s="298"/>
      <c r="X7" s="53"/>
      <c r="Y7" s="297"/>
      <c r="Z7" s="300"/>
      <c r="AA7" s="298"/>
      <c r="AB7" s="53"/>
      <c r="AC7" s="297"/>
      <c r="AD7" s="300"/>
      <c r="AE7" s="298"/>
      <c r="AF7" s="78"/>
      <c r="AG7" s="376"/>
      <c r="AH7" s="332"/>
      <c r="AJ7" s="341" t="b">
        <v>0</v>
      </c>
      <c r="AK7" s="51">
        <v>3</v>
      </c>
      <c r="AL7" s="304" t="s">
        <v>322</v>
      </c>
      <c r="AM7" s="1192" t="s">
        <v>322</v>
      </c>
      <c r="AN7" s="551">
        <f>COUNTIF($AG6:$AG41,"BB/KB")</f>
        <v>0</v>
      </c>
      <c r="AO7" s="869" t="str">
        <f t="shared" si="6"/>
        <v>0%</v>
      </c>
      <c r="AP7" s="1187">
        <f>AO7+AO8</f>
        <v>0</v>
      </c>
      <c r="AQ7" s="869">
        <v>0.03</v>
      </c>
      <c r="AR7" s="1187">
        <f>AQ7+AQ8</f>
        <v>0.13</v>
      </c>
    </row>
    <row r="8" spans="2:45" ht="19.5" customHeight="1" x14ac:dyDescent="0.25">
      <c r="B8" s="315">
        <v>5</v>
      </c>
      <c r="C8" s="357" t="str">
        <f>BEGINBLAD!C8</f>
        <v>leerling 5</v>
      </c>
      <c r="E8" s="297"/>
      <c r="F8" s="371"/>
      <c r="G8" s="297"/>
      <c r="H8" s="295" t="str">
        <f t="shared" si="0"/>
        <v/>
      </c>
      <c r="I8" s="294" t="str">
        <f t="shared" si="1"/>
        <v/>
      </c>
      <c r="J8" s="371"/>
      <c r="K8" s="297"/>
      <c r="L8" s="295" t="str">
        <f t="shared" si="2"/>
        <v/>
      </c>
      <c r="M8" s="294" t="str">
        <f t="shared" si="3"/>
        <v/>
      </c>
      <c r="N8" s="296"/>
      <c r="P8" s="297"/>
      <c r="Q8" s="298"/>
      <c r="R8" s="299" t="str">
        <f t="shared" si="4"/>
        <v/>
      </c>
      <c r="S8" s="294" t="str">
        <f t="shared" si="5"/>
        <v/>
      </c>
      <c r="T8" s="53"/>
      <c r="U8" s="297"/>
      <c r="V8" s="300"/>
      <c r="W8" s="298"/>
      <c r="X8" s="53"/>
      <c r="Y8" s="297"/>
      <c r="Z8" s="300"/>
      <c r="AA8" s="298"/>
      <c r="AB8" s="53"/>
      <c r="AC8" s="297"/>
      <c r="AD8" s="300"/>
      <c r="AE8" s="298"/>
      <c r="AF8" s="78"/>
      <c r="AG8" s="376"/>
      <c r="AH8" s="332"/>
      <c r="AJ8" s="341" t="b">
        <v>0</v>
      </c>
      <c r="AK8" s="51">
        <v>4</v>
      </c>
      <c r="AL8" s="304" t="s">
        <v>323</v>
      </c>
      <c r="AM8" s="1192"/>
      <c r="AN8" s="551">
        <f>COUNTIF($AG7:$AG42,"KB")</f>
        <v>0</v>
      </c>
      <c r="AO8" s="869" t="str">
        <f t="shared" si="6"/>
        <v>0%</v>
      </c>
      <c r="AP8" s="1187"/>
      <c r="AQ8" s="869">
        <v>0.1</v>
      </c>
      <c r="AR8" s="1187"/>
    </row>
    <row r="9" spans="2:45" ht="19.5" customHeight="1" x14ac:dyDescent="0.25">
      <c r="B9" s="315">
        <v>6</v>
      </c>
      <c r="C9" s="357" t="str">
        <f>BEGINBLAD!C9</f>
        <v>leerling 6</v>
      </c>
      <c r="E9" s="297"/>
      <c r="F9" s="371"/>
      <c r="G9" s="297"/>
      <c r="H9" s="295" t="str">
        <f t="shared" si="0"/>
        <v/>
      </c>
      <c r="I9" s="294" t="str">
        <f t="shared" si="1"/>
        <v/>
      </c>
      <c r="J9" s="371"/>
      <c r="K9" s="297"/>
      <c r="L9" s="295" t="str">
        <f t="shared" si="2"/>
        <v/>
      </c>
      <c r="M9" s="294" t="str">
        <f t="shared" si="3"/>
        <v/>
      </c>
      <c r="N9" s="296"/>
      <c r="P9" s="297"/>
      <c r="Q9" s="298"/>
      <c r="R9" s="299" t="str">
        <f t="shared" si="4"/>
        <v/>
      </c>
      <c r="S9" s="294" t="str">
        <f t="shared" si="5"/>
        <v/>
      </c>
      <c r="T9" s="53"/>
      <c r="U9" s="297"/>
      <c r="V9" s="300"/>
      <c r="W9" s="298"/>
      <c r="X9" s="53"/>
      <c r="Y9" s="297"/>
      <c r="Z9" s="300"/>
      <c r="AA9" s="298"/>
      <c r="AB9" s="53"/>
      <c r="AC9" s="297"/>
      <c r="AD9" s="300"/>
      <c r="AE9" s="298"/>
      <c r="AF9" s="78"/>
      <c r="AG9" s="376"/>
      <c r="AH9" s="332"/>
      <c r="AJ9" s="341" t="b">
        <v>0</v>
      </c>
      <c r="AK9" s="51">
        <v>5</v>
      </c>
      <c r="AL9" s="306" t="s">
        <v>324</v>
      </c>
      <c r="AM9" s="1186" t="s">
        <v>324</v>
      </c>
      <c r="AN9" s="551">
        <f>COUNTIF($AG8:$AG43,"KB/TL")</f>
        <v>0</v>
      </c>
      <c r="AO9" s="869" t="str">
        <f t="shared" si="6"/>
        <v>0%</v>
      </c>
      <c r="AP9" s="1187">
        <f>AO9+AO10</f>
        <v>0</v>
      </c>
      <c r="AQ9" s="869">
        <v>0.03</v>
      </c>
      <c r="AR9" s="1187">
        <f>AQ9+AQ10</f>
        <v>0.24</v>
      </c>
    </row>
    <row r="10" spans="2:45" ht="19.5" customHeight="1" x14ac:dyDescent="0.25">
      <c r="B10" s="315">
        <v>7</v>
      </c>
      <c r="C10" s="357" t="str">
        <f>BEGINBLAD!C10</f>
        <v>leerling 7</v>
      </c>
      <c r="E10" s="297"/>
      <c r="F10" s="371"/>
      <c r="G10" s="297"/>
      <c r="H10" s="295" t="str">
        <f t="shared" si="0"/>
        <v/>
      </c>
      <c r="I10" s="294" t="str">
        <f t="shared" si="1"/>
        <v/>
      </c>
      <c r="J10" s="371"/>
      <c r="K10" s="297"/>
      <c r="L10" s="295" t="str">
        <f t="shared" si="2"/>
        <v/>
      </c>
      <c r="M10" s="294" t="str">
        <f t="shared" si="3"/>
        <v/>
      </c>
      <c r="N10" s="296"/>
      <c r="P10" s="297"/>
      <c r="Q10" s="298"/>
      <c r="R10" s="299" t="str">
        <f t="shared" si="4"/>
        <v/>
      </c>
      <c r="S10" s="294" t="str">
        <f t="shared" si="5"/>
        <v/>
      </c>
      <c r="T10" s="53"/>
      <c r="U10" s="297"/>
      <c r="V10" s="300"/>
      <c r="W10" s="298"/>
      <c r="X10" s="53"/>
      <c r="Y10" s="297"/>
      <c r="Z10" s="300"/>
      <c r="AA10" s="298"/>
      <c r="AB10" s="53"/>
      <c r="AC10" s="297"/>
      <c r="AD10" s="300"/>
      <c r="AE10" s="298"/>
      <c r="AF10" s="78"/>
      <c r="AG10" s="376"/>
      <c r="AH10" s="332"/>
      <c r="AJ10" s="341" t="b">
        <v>0</v>
      </c>
      <c r="AK10" s="51">
        <v>6</v>
      </c>
      <c r="AL10" s="306" t="s">
        <v>168</v>
      </c>
      <c r="AM10" s="1186"/>
      <c r="AN10" s="551">
        <f>COUNTIF($AG9:$AG44,"TL")</f>
        <v>0</v>
      </c>
      <c r="AO10" s="869" t="str">
        <f t="shared" si="6"/>
        <v>0%</v>
      </c>
      <c r="AP10" s="1187"/>
      <c r="AQ10" s="869">
        <v>0.21</v>
      </c>
      <c r="AR10" s="1187"/>
    </row>
    <row r="11" spans="2:45" ht="19.5" customHeight="1" x14ac:dyDescent="0.25">
      <c r="B11" s="315">
        <v>8</v>
      </c>
      <c r="C11" s="357" t="str">
        <f>BEGINBLAD!C11</f>
        <v>leerling 8</v>
      </c>
      <c r="E11" s="297"/>
      <c r="F11" s="371"/>
      <c r="G11" s="297"/>
      <c r="H11" s="295" t="str">
        <f t="shared" si="0"/>
        <v/>
      </c>
      <c r="I11" s="294" t="str">
        <f t="shared" si="1"/>
        <v/>
      </c>
      <c r="J11" s="371"/>
      <c r="K11" s="297"/>
      <c r="L11" s="295" t="str">
        <f t="shared" si="2"/>
        <v/>
      </c>
      <c r="M11" s="294" t="str">
        <f t="shared" si="3"/>
        <v/>
      </c>
      <c r="N11" s="296"/>
      <c r="P11" s="297"/>
      <c r="Q11" s="298"/>
      <c r="R11" s="299" t="str">
        <f t="shared" si="4"/>
        <v/>
      </c>
      <c r="S11" s="294" t="str">
        <f t="shared" si="5"/>
        <v/>
      </c>
      <c r="T11" s="53"/>
      <c r="U11" s="297"/>
      <c r="V11" s="300"/>
      <c r="W11" s="298"/>
      <c r="X11" s="53"/>
      <c r="Y11" s="297"/>
      <c r="Z11" s="300"/>
      <c r="AA11" s="298"/>
      <c r="AB11" s="53"/>
      <c r="AC11" s="297"/>
      <c r="AD11" s="300"/>
      <c r="AE11" s="298"/>
      <c r="AF11" s="78"/>
      <c r="AG11" s="376"/>
      <c r="AH11" s="332"/>
      <c r="AJ11" s="341" t="b">
        <v>0</v>
      </c>
      <c r="AK11" s="51">
        <v>7</v>
      </c>
      <c r="AL11" s="306" t="s">
        <v>325</v>
      </c>
      <c r="AM11" s="1186" t="s">
        <v>325</v>
      </c>
      <c r="AN11" s="551">
        <f>COUNTIF($AG10:$AG45,"TL/HAVO")</f>
        <v>0</v>
      </c>
      <c r="AO11" s="869" t="str">
        <f t="shared" si="6"/>
        <v>0%</v>
      </c>
      <c r="AP11" s="1187">
        <f>AO11+AO12</f>
        <v>0</v>
      </c>
      <c r="AQ11" s="869">
        <v>7.0000000000000007E-2</v>
      </c>
      <c r="AR11" s="1187">
        <f>AQ11+AQ12</f>
        <v>0.27</v>
      </c>
    </row>
    <row r="12" spans="2:45" ht="19.5" customHeight="1" x14ac:dyDescent="0.25">
      <c r="B12" s="315">
        <v>9</v>
      </c>
      <c r="C12" s="357">
        <f>BEGINBLAD!C12</f>
        <v>0</v>
      </c>
      <c r="E12" s="297"/>
      <c r="F12" s="371"/>
      <c r="G12" s="297"/>
      <c r="H12" s="295" t="str">
        <f t="shared" si="0"/>
        <v/>
      </c>
      <c r="I12" s="294" t="str">
        <f t="shared" si="1"/>
        <v/>
      </c>
      <c r="J12" s="371"/>
      <c r="K12" s="297"/>
      <c r="L12" s="295" t="str">
        <f t="shared" si="2"/>
        <v/>
      </c>
      <c r="M12" s="294" t="str">
        <f t="shared" si="3"/>
        <v/>
      </c>
      <c r="N12" s="296"/>
      <c r="P12" s="297"/>
      <c r="Q12" s="298"/>
      <c r="R12" s="299" t="str">
        <f t="shared" si="4"/>
        <v/>
      </c>
      <c r="S12" s="294" t="str">
        <f t="shared" si="5"/>
        <v/>
      </c>
      <c r="T12" s="53"/>
      <c r="U12" s="297"/>
      <c r="V12" s="300"/>
      <c r="W12" s="298"/>
      <c r="X12" s="53"/>
      <c r="Y12" s="297"/>
      <c r="Z12" s="300"/>
      <c r="AA12" s="298"/>
      <c r="AB12" s="53"/>
      <c r="AC12" s="297"/>
      <c r="AD12" s="300"/>
      <c r="AE12" s="298"/>
      <c r="AF12" s="78"/>
      <c r="AG12" s="376"/>
      <c r="AH12" s="332"/>
      <c r="AJ12" s="341" t="b">
        <v>0</v>
      </c>
      <c r="AK12" s="51">
        <v>8</v>
      </c>
      <c r="AL12" s="306" t="s">
        <v>177</v>
      </c>
      <c r="AM12" s="1186"/>
      <c r="AN12" s="551">
        <f>COUNTIF($AG11:$AG46,"HAVO")</f>
        <v>0</v>
      </c>
      <c r="AO12" s="869" t="str">
        <f t="shared" si="6"/>
        <v>0%</v>
      </c>
      <c r="AP12" s="1187"/>
      <c r="AQ12" s="869">
        <v>0.2</v>
      </c>
      <c r="AR12" s="1187"/>
    </row>
    <row r="13" spans="2:45" ht="19.5" customHeight="1" x14ac:dyDescent="0.25">
      <c r="B13" s="315">
        <v>10</v>
      </c>
      <c r="C13" s="357">
        <f>BEGINBLAD!C13</f>
        <v>0</v>
      </c>
      <c r="E13" s="297"/>
      <c r="F13" s="371"/>
      <c r="G13" s="297"/>
      <c r="H13" s="295" t="str">
        <f t="shared" si="0"/>
        <v/>
      </c>
      <c r="I13" s="294" t="str">
        <f t="shared" si="1"/>
        <v/>
      </c>
      <c r="J13" s="371"/>
      <c r="K13" s="297"/>
      <c r="L13" s="295" t="str">
        <f t="shared" si="2"/>
        <v/>
      </c>
      <c r="M13" s="294" t="str">
        <f t="shared" si="3"/>
        <v/>
      </c>
      <c r="N13" s="296"/>
      <c r="P13" s="297"/>
      <c r="Q13" s="298"/>
      <c r="R13" s="299" t="str">
        <f t="shared" si="4"/>
        <v/>
      </c>
      <c r="S13" s="294" t="str">
        <f t="shared" si="5"/>
        <v/>
      </c>
      <c r="T13" s="53"/>
      <c r="U13" s="297"/>
      <c r="V13" s="300"/>
      <c r="W13" s="298"/>
      <c r="X13" s="53"/>
      <c r="Y13" s="297"/>
      <c r="Z13" s="300"/>
      <c r="AA13" s="298"/>
      <c r="AB13" s="53"/>
      <c r="AC13" s="297"/>
      <c r="AD13" s="300"/>
      <c r="AE13" s="298"/>
      <c r="AF13" s="78"/>
      <c r="AG13" s="376"/>
      <c r="AH13" s="332"/>
      <c r="AJ13" s="341" t="b">
        <v>0</v>
      </c>
      <c r="AK13" s="51">
        <v>9</v>
      </c>
      <c r="AL13" s="306" t="s">
        <v>326</v>
      </c>
      <c r="AM13" s="1193" t="s">
        <v>326</v>
      </c>
      <c r="AN13" s="551">
        <f>COUNTIF($AG12:$AG47,"HAVO/VWO")</f>
        <v>0</v>
      </c>
      <c r="AO13" s="869" t="str">
        <f t="shared" si="6"/>
        <v>0%</v>
      </c>
      <c r="AP13" s="1182">
        <f>AO13+AO14+AO15</f>
        <v>0</v>
      </c>
      <c r="AQ13" s="869">
        <v>0.08</v>
      </c>
      <c r="AR13" s="1182">
        <f>AQ13+AQ14</f>
        <v>0.28000000000000003</v>
      </c>
    </row>
    <row r="14" spans="2:45" ht="19.5" customHeight="1" x14ac:dyDescent="0.25">
      <c r="B14" s="315">
        <v>11</v>
      </c>
      <c r="C14" s="357">
        <f>BEGINBLAD!C14</f>
        <v>0</v>
      </c>
      <c r="E14" s="297"/>
      <c r="F14" s="371"/>
      <c r="G14" s="297"/>
      <c r="H14" s="295" t="str">
        <f t="shared" si="0"/>
        <v/>
      </c>
      <c r="I14" s="294" t="str">
        <f t="shared" si="1"/>
        <v/>
      </c>
      <c r="J14" s="371"/>
      <c r="K14" s="297"/>
      <c r="L14" s="295" t="str">
        <f t="shared" si="2"/>
        <v/>
      </c>
      <c r="M14" s="294" t="str">
        <f t="shared" si="3"/>
        <v/>
      </c>
      <c r="N14" s="296"/>
      <c r="P14" s="297"/>
      <c r="Q14" s="298"/>
      <c r="R14" s="299" t="str">
        <f t="shared" si="4"/>
        <v/>
      </c>
      <c r="S14" s="294" t="str">
        <f t="shared" si="5"/>
        <v/>
      </c>
      <c r="T14" s="53"/>
      <c r="U14" s="297"/>
      <c r="V14" s="300"/>
      <c r="W14" s="298"/>
      <c r="X14" s="53"/>
      <c r="Y14" s="297"/>
      <c r="Z14" s="300"/>
      <c r="AA14" s="298"/>
      <c r="AB14" s="53"/>
      <c r="AC14" s="297"/>
      <c r="AD14" s="300"/>
      <c r="AE14" s="298"/>
      <c r="AF14" s="78"/>
      <c r="AG14" s="376"/>
      <c r="AH14" s="332"/>
      <c r="AJ14" s="341" t="b">
        <v>0</v>
      </c>
      <c r="AK14" s="51">
        <v>10</v>
      </c>
      <c r="AL14" s="306" t="s">
        <v>178</v>
      </c>
      <c r="AM14" s="1194"/>
      <c r="AN14" s="551">
        <f>COUNTIF($AG13:$AG48,"VWO")</f>
        <v>0</v>
      </c>
      <c r="AO14" s="869" t="str">
        <f t="shared" si="6"/>
        <v>0%</v>
      </c>
      <c r="AP14" s="1184"/>
      <c r="AQ14" s="1182">
        <v>0.2</v>
      </c>
      <c r="AR14" s="1184"/>
    </row>
    <row r="15" spans="2:45" ht="19.5" customHeight="1" x14ac:dyDescent="0.25">
      <c r="B15" s="315">
        <v>12</v>
      </c>
      <c r="C15" s="357">
        <f>BEGINBLAD!C15</f>
        <v>0</v>
      </c>
      <c r="E15" s="297"/>
      <c r="F15" s="371"/>
      <c r="G15" s="297"/>
      <c r="H15" s="295" t="str">
        <f t="shared" si="0"/>
        <v/>
      </c>
      <c r="I15" s="294" t="str">
        <f t="shared" si="1"/>
        <v/>
      </c>
      <c r="J15" s="371"/>
      <c r="K15" s="297"/>
      <c r="L15" s="295" t="str">
        <f t="shared" si="2"/>
        <v/>
      </c>
      <c r="M15" s="294" t="str">
        <f t="shared" si="3"/>
        <v/>
      </c>
      <c r="N15" s="296"/>
      <c r="P15" s="297"/>
      <c r="Q15" s="298"/>
      <c r="R15" s="299" t="str">
        <f t="shared" si="4"/>
        <v/>
      </c>
      <c r="S15" s="294" t="str">
        <f t="shared" si="5"/>
        <v/>
      </c>
      <c r="T15" s="53"/>
      <c r="U15" s="297"/>
      <c r="V15" s="300"/>
      <c r="W15" s="298"/>
      <c r="X15" s="53"/>
      <c r="Y15" s="297"/>
      <c r="Z15" s="300"/>
      <c r="AA15" s="298"/>
      <c r="AB15" s="53"/>
      <c r="AC15" s="297"/>
      <c r="AD15" s="300"/>
      <c r="AE15" s="298"/>
      <c r="AF15" s="78"/>
      <c r="AG15" s="376"/>
      <c r="AH15" s="332"/>
      <c r="AJ15" s="341" t="b">
        <v>0</v>
      </c>
      <c r="AK15" s="51">
        <v>11</v>
      </c>
      <c r="AL15" s="306" t="s">
        <v>327</v>
      </c>
      <c r="AM15" s="1195"/>
      <c r="AN15" s="551">
        <f>COUNTIF($AG14:$AG49,"VWO+")</f>
        <v>0</v>
      </c>
      <c r="AO15" s="869" t="str">
        <f t="shared" si="6"/>
        <v>0%</v>
      </c>
      <c r="AP15" s="1183"/>
      <c r="AQ15" s="1183"/>
      <c r="AR15" s="1183"/>
    </row>
    <row r="16" spans="2:45" ht="19.5" customHeight="1" x14ac:dyDescent="0.25">
      <c r="B16" s="315">
        <v>13</v>
      </c>
      <c r="C16" s="357">
        <f>BEGINBLAD!C16</f>
        <v>0</v>
      </c>
      <c r="E16" s="297"/>
      <c r="F16" s="371"/>
      <c r="G16" s="297"/>
      <c r="H16" s="295" t="str">
        <f t="shared" si="0"/>
        <v/>
      </c>
      <c r="I16" s="294" t="str">
        <f t="shared" si="1"/>
        <v/>
      </c>
      <c r="J16" s="371"/>
      <c r="K16" s="297"/>
      <c r="L16" s="295" t="str">
        <f t="shared" si="2"/>
        <v/>
      </c>
      <c r="M16" s="294" t="str">
        <f t="shared" si="3"/>
        <v/>
      </c>
      <c r="N16" s="296"/>
      <c r="P16" s="297"/>
      <c r="Q16" s="298"/>
      <c r="R16" s="299" t="str">
        <f t="shared" si="4"/>
        <v/>
      </c>
      <c r="S16" s="294" t="str">
        <f t="shared" si="5"/>
        <v/>
      </c>
      <c r="T16" s="53"/>
      <c r="U16" s="297"/>
      <c r="V16" s="300"/>
      <c r="W16" s="298"/>
      <c r="X16" s="53"/>
      <c r="Y16" s="297"/>
      <c r="Z16" s="300"/>
      <c r="AA16" s="298"/>
      <c r="AB16" s="53"/>
      <c r="AC16" s="297"/>
      <c r="AD16" s="300"/>
      <c r="AE16" s="298"/>
      <c r="AF16" s="78"/>
      <c r="AG16" s="376"/>
      <c r="AH16" s="332"/>
      <c r="AJ16" s="341" t="b">
        <v>0</v>
      </c>
      <c r="AL16" s="307" t="s">
        <v>85</v>
      </c>
      <c r="AM16" s="554"/>
      <c r="AN16" s="552">
        <f>SUM(AN6:AN15)</f>
        <v>0</v>
      </c>
      <c r="AO16" s="553" t="str">
        <f>IF(AN16=0,"0%",IF(AN16&gt;0,AN16/$AN$16))</f>
        <v>0%</v>
      </c>
      <c r="AP16" s="553"/>
      <c r="AQ16" s="553">
        <f>SUM(AQ6:AQ15)</f>
        <v>0.99</v>
      </c>
      <c r="AR16" s="553">
        <f>SUM(AR5:AR15)</f>
        <v>1</v>
      </c>
    </row>
    <row r="17" spans="2:36" ht="19.5" customHeight="1" x14ac:dyDescent="0.25">
      <c r="B17" s="315">
        <v>14</v>
      </c>
      <c r="C17" s="357">
        <f>BEGINBLAD!C17</f>
        <v>0</v>
      </c>
      <c r="E17" s="297"/>
      <c r="F17" s="371"/>
      <c r="G17" s="297"/>
      <c r="H17" s="295" t="str">
        <f t="shared" si="0"/>
        <v/>
      </c>
      <c r="I17" s="294" t="str">
        <f>IF(G17="","",IF(G17="VWO",93,IF(G17="HAVO/VWO",87,IF(G17="HAVO",82,IF(G17="TL/HAVO",77,IF(G17="TL",71,IF(G17="KB/TL",69,IF(G17="KB",62,IF(G17="BB/KB",55,IF(G17="BB",50,IF(G17="PRO/BB",40)))))))))))</f>
        <v/>
      </c>
      <c r="J17" s="371"/>
      <c r="K17" s="297"/>
      <c r="L17" s="295" t="str">
        <f t="shared" si="2"/>
        <v/>
      </c>
      <c r="M17" s="294" t="str">
        <f>IF(K17="","",IF(K17="VWO",93,IF(K17="HAVO/VWO",87,IF(K17="HAVO",82,IF(K17="TL/HAVO",77,IF(K17="TL",71,IF(K17="KB/TL",69,IF(K17="KB",62,IF(K17="BB/KB",55,IF(K17="BB",50,IF(K17="PRO/BB",40)))))))))))</f>
        <v/>
      </c>
      <c r="N17" s="296"/>
      <c r="P17" s="297"/>
      <c r="Q17" s="298"/>
      <c r="R17" s="299" t="str">
        <f t="shared" si="4"/>
        <v/>
      </c>
      <c r="S17" s="294" t="str">
        <f t="shared" si="5"/>
        <v/>
      </c>
      <c r="T17" s="53"/>
      <c r="U17" s="297"/>
      <c r="V17" s="300"/>
      <c r="W17" s="298"/>
      <c r="X17" s="53"/>
      <c r="Y17" s="297"/>
      <c r="Z17" s="300"/>
      <c r="AA17" s="298"/>
      <c r="AB17" s="53"/>
      <c r="AC17" s="297"/>
      <c r="AD17" s="300"/>
      <c r="AE17" s="298"/>
      <c r="AF17" s="78"/>
      <c r="AG17" s="376"/>
      <c r="AH17" s="332"/>
      <c r="AJ17" s="341" t="b">
        <v>0</v>
      </c>
    </row>
    <row r="18" spans="2:36" ht="19.5" customHeight="1" x14ac:dyDescent="0.25">
      <c r="B18" s="315">
        <v>15</v>
      </c>
      <c r="C18" s="357">
        <f>BEGINBLAD!C18</f>
        <v>0</v>
      </c>
      <c r="E18" s="297"/>
      <c r="F18" s="371"/>
      <c r="G18" s="297"/>
      <c r="H18" s="295" t="str">
        <f t="shared" si="0"/>
        <v/>
      </c>
      <c r="I18" s="294" t="str">
        <f t="shared" si="1"/>
        <v/>
      </c>
      <c r="J18" s="371"/>
      <c r="K18" s="297"/>
      <c r="L18" s="295" t="str">
        <f t="shared" si="2"/>
        <v/>
      </c>
      <c r="M18" s="294" t="str">
        <f t="shared" si="3"/>
        <v/>
      </c>
      <c r="N18" s="296"/>
      <c r="P18" s="297"/>
      <c r="Q18" s="298"/>
      <c r="R18" s="299" t="str">
        <f t="shared" si="4"/>
        <v/>
      </c>
      <c r="S18" s="294" t="str">
        <f t="shared" si="5"/>
        <v/>
      </c>
      <c r="T18" s="53"/>
      <c r="U18" s="297"/>
      <c r="V18" s="300"/>
      <c r="W18" s="298"/>
      <c r="X18" s="53"/>
      <c r="Y18" s="297"/>
      <c r="Z18" s="300"/>
      <c r="AA18" s="298"/>
      <c r="AB18" s="53"/>
      <c r="AC18" s="297"/>
      <c r="AD18" s="300"/>
      <c r="AE18" s="298"/>
      <c r="AF18" s="78"/>
      <c r="AG18" s="376"/>
      <c r="AH18" s="332"/>
      <c r="AJ18" s="341" t="b">
        <v>0</v>
      </c>
    </row>
    <row r="19" spans="2:36" ht="19.5" customHeight="1" x14ac:dyDescent="0.25">
      <c r="B19" s="315">
        <v>16</v>
      </c>
      <c r="C19" s="357">
        <f>BEGINBLAD!C19</f>
        <v>0</v>
      </c>
      <c r="E19" s="297"/>
      <c r="F19" s="371"/>
      <c r="G19" s="297"/>
      <c r="H19" s="295" t="str">
        <f t="shared" si="0"/>
        <v/>
      </c>
      <c r="I19" s="294" t="str">
        <f t="shared" si="1"/>
        <v/>
      </c>
      <c r="J19" s="371"/>
      <c r="K19" s="297"/>
      <c r="L19" s="295" t="str">
        <f t="shared" si="2"/>
        <v/>
      </c>
      <c r="M19" s="294" t="str">
        <f t="shared" si="3"/>
        <v/>
      </c>
      <c r="N19" s="296"/>
      <c r="P19" s="297"/>
      <c r="Q19" s="298"/>
      <c r="R19" s="299" t="str">
        <f t="shared" si="4"/>
        <v/>
      </c>
      <c r="S19" s="294" t="str">
        <f t="shared" si="5"/>
        <v/>
      </c>
      <c r="T19" s="53"/>
      <c r="U19" s="297"/>
      <c r="V19" s="300"/>
      <c r="W19" s="298"/>
      <c r="X19" s="53"/>
      <c r="Y19" s="297"/>
      <c r="Z19" s="300"/>
      <c r="AA19" s="298"/>
      <c r="AB19" s="53"/>
      <c r="AC19" s="297"/>
      <c r="AD19" s="300"/>
      <c r="AE19" s="298"/>
      <c r="AF19" s="78"/>
      <c r="AG19" s="376"/>
      <c r="AH19" s="332"/>
      <c r="AJ19" s="341" t="b">
        <v>0</v>
      </c>
    </row>
    <row r="20" spans="2:36" ht="19.5" customHeight="1" x14ac:dyDescent="0.25">
      <c r="B20" s="315">
        <v>17</v>
      </c>
      <c r="C20" s="357">
        <f>BEGINBLAD!C20</f>
        <v>0</v>
      </c>
      <c r="E20" s="297"/>
      <c r="F20" s="371"/>
      <c r="G20" s="297"/>
      <c r="H20" s="295" t="str">
        <f t="shared" si="0"/>
        <v/>
      </c>
      <c r="I20" s="294" t="str">
        <f t="shared" si="1"/>
        <v/>
      </c>
      <c r="J20" s="371"/>
      <c r="K20" s="297"/>
      <c r="L20" s="295" t="str">
        <f t="shared" si="2"/>
        <v/>
      </c>
      <c r="M20" s="294" t="str">
        <f t="shared" si="3"/>
        <v/>
      </c>
      <c r="N20" s="296"/>
      <c r="P20" s="297"/>
      <c r="Q20" s="298"/>
      <c r="R20" s="299" t="str">
        <f t="shared" si="4"/>
        <v/>
      </c>
      <c r="S20" s="294" t="str">
        <f t="shared" si="5"/>
        <v/>
      </c>
      <c r="T20" s="53"/>
      <c r="U20" s="297"/>
      <c r="V20" s="300"/>
      <c r="W20" s="298"/>
      <c r="X20" s="53"/>
      <c r="Y20" s="297"/>
      <c r="Z20" s="300"/>
      <c r="AA20" s="298"/>
      <c r="AB20" s="53"/>
      <c r="AC20" s="297"/>
      <c r="AD20" s="300"/>
      <c r="AE20" s="298"/>
      <c r="AF20" s="78"/>
      <c r="AG20" s="376"/>
      <c r="AH20" s="332"/>
      <c r="AJ20" s="341" t="b">
        <v>0</v>
      </c>
    </row>
    <row r="21" spans="2:36" ht="19.5" customHeight="1" x14ac:dyDescent="0.25">
      <c r="B21" s="315">
        <v>18</v>
      </c>
      <c r="C21" s="357">
        <f>BEGINBLAD!C21</f>
        <v>0</v>
      </c>
      <c r="E21" s="297"/>
      <c r="F21" s="371"/>
      <c r="G21" s="297"/>
      <c r="H21" s="295" t="str">
        <f t="shared" si="0"/>
        <v/>
      </c>
      <c r="I21" s="294" t="str">
        <f t="shared" si="1"/>
        <v/>
      </c>
      <c r="J21" s="371"/>
      <c r="K21" s="297"/>
      <c r="L21" s="295" t="str">
        <f t="shared" si="2"/>
        <v/>
      </c>
      <c r="M21" s="294" t="str">
        <f t="shared" si="3"/>
        <v/>
      </c>
      <c r="N21" s="296"/>
      <c r="P21" s="297"/>
      <c r="Q21" s="298"/>
      <c r="R21" s="299" t="str">
        <f t="shared" si="4"/>
        <v/>
      </c>
      <c r="S21" s="294" t="str">
        <f t="shared" si="5"/>
        <v/>
      </c>
      <c r="T21" s="53"/>
      <c r="U21" s="297"/>
      <c r="V21" s="300"/>
      <c r="W21" s="298"/>
      <c r="X21" s="53"/>
      <c r="Y21" s="297"/>
      <c r="Z21" s="300"/>
      <c r="AA21" s="298"/>
      <c r="AB21" s="53"/>
      <c r="AC21" s="297"/>
      <c r="AD21" s="300"/>
      <c r="AE21" s="298"/>
      <c r="AF21" s="78"/>
      <c r="AG21" s="376"/>
      <c r="AH21" s="332"/>
      <c r="AJ21" s="341" t="b">
        <v>0</v>
      </c>
    </row>
    <row r="22" spans="2:36" ht="19.5" customHeight="1" x14ac:dyDescent="0.25">
      <c r="B22" s="315">
        <v>19</v>
      </c>
      <c r="C22" s="357">
        <f>BEGINBLAD!C22</f>
        <v>0</v>
      </c>
      <c r="E22" s="297"/>
      <c r="F22" s="371"/>
      <c r="G22" s="297"/>
      <c r="H22" s="295" t="str">
        <f t="shared" si="0"/>
        <v/>
      </c>
      <c r="I22" s="294" t="str">
        <f t="shared" si="1"/>
        <v/>
      </c>
      <c r="J22" s="371"/>
      <c r="K22" s="297"/>
      <c r="L22" s="295" t="str">
        <f t="shared" si="2"/>
        <v/>
      </c>
      <c r="M22" s="294" t="str">
        <f t="shared" si="3"/>
        <v/>
      </c>
      <c r="N22" s="296"/>
      <c r="P22" s="297"/>
      <c r="Q22" s="298"/>
      <c r="R22" s="299" t="str">
        <f t="shared" si="4"/>
        <v/>
      </c>
      <c r="S22" s="294" t="str">
        <f t="shared" si="5"/>
        <v/>
      </c>
      <c r="T22" s="53"/>
      <c r="U22" s="297"/>
      <c r="V22" s="300"/>
      <c r="W22" s="298"/>
      <c r="X22" s="53"/>
      <c r="Y22" s="297"/>
      <c r="Z22" s="300"/>
      <c r="AA22" s="298"/>
      <c r="AB22" s="53"/>
      <c r="AC22" s="297"/>
      <c r="AD22" s="300"/>
      <c r="AE22" s="298"/>
      <c r="AF22" s="78"/>
      <c r="AG22" s="376"/>
      <c r="AH22" s="332"/>
      <c r="AJ22" s="341" t="b">
        <v>0</v>
      </c>
    </row>
    <row r="23" spans="2:36" ht="19.5" customHeight="1" x14ac:dyDescent="0.25">
      <c r="B23" s="315">
        <v>20</v>
      </c>
      <c r="C23" s="357">
        <f>BEGINBLAD!C23</f>
        <v>0</v>
      </c>
      <c r="E23" s="297"/>
      <c r="F23" s="371"/>
      <c r="G23" s="297"/>
      <c r="H23" s="295" t="str">
        <f t="shared" si="0"/>
        <v/>
      </c>
      <c r="I23" s="294" t="str">
        <f t="shared" si="1"/>
        <v/>
      </c>
      <c r="J23" s="371"/>
      <c r="K23" s="297"/>
      <c r="L23" s="295" t="str">
        <f t="shared" si="2"/>
        <v/>
      </c>
      <c r="M23" s="294" t="str">
        <f t="shared" si="3"/>
        <v/>
      </c>
      <c r="N23" s="296"/>
      <c r="P23" s="297"/>
      <c r="Q23" s="298"/>
      <c r="R23" s="299" t="str">
        <f t="shared" si="4"/>
        <v/>
      </c>
      <c r="S23" s="294" t="str">
        <f t="shared" si="5"/>
        <v/>
      </c>
      <c r="T23" s="53"/>
      <c r="U23" s="297"/>
      <c r="V23" s="300"/>
      <c r="W23" s="298"/>
      <c r="X23" s="53"/>
      <c r="Y23" s="297"/>
      <c r="Z23" s="300"/>
      <c r="AA23" s="298"/>
      <c r="AB23" s="53"/>
      <c r="AC23" s="297"/>
      <c r="AD23" s="300"/>
      <c r="AE23" s="298"/>
      <c r="AF23" s="78"/>
      <c r="AG23" s="376"/>
      <c r="AH23" s="332"/>
      <c r="AJ23" s="341" t="b">
        <v>0</v>
      </c>
    </row>
    <row r="24" spans="2:36" ht="19.5" customHeight="1" x14ac:dyDescent="0.25">
      <c r="B24" s="315">
        <v>21</v>
      </c>
      <c r="C24" s="357">
        <f>BEGINBLAD!C24</f>
        <v>0</v>
      </c>
      <c r="E24" s="297"/>
      <c r="F24" s="371"/>
      <c r="G24" s="297"/>
      <c r="H24" s="295" t="str">
        <f t="shared" si="0"/>
        <v/>
      </c>
      <c r="I24" s="294" t="str">
        <f t="shared" si="1"/>
        <v/>
      </c>
      <c r="J24" s="371"/>
      <c r="K24" s="297"/>
      <c r="L24" s="295" t="str">
        <f t="shared" si="2"/>
        <v/>
      </c>
      <c r="M24" s="294" t="str">
        <f t="shared" si="3"/>
        <v/>
      </c>
      <c r="N24" s="296"/>
      <c r="P24" s="297"/>
      <c r="Q24" s="298"/>
      <c r="R24" s="299" t="str">
        <f t="shared" si="4"/>
        <v/>
      </c>
      <c r="S24" s="294" t="str">
        <f t="shared" si="5"/>
        <v/>
      </c>
      <c r="T24" s="53"/>
      <c r="U24" s="297"/>
      <c r="V24" s="300"/>
      <c r="W24" s="298"/>
      <c r="X24" s="53"/>
      <c r="Y24" s="297"/>
      <c r="Z24" s="300"/>
      <c r="AA24" s="298"/>
      <c r="AB24" s="53"/>
      <c r="AC24" s="297"/>
      <c r="AD24" s="300"/>
      <c r="AE24" s="298"/>
      <c r="AF24" s="78"/>
      <c r="AG24" s="376"/>
      <c r="AH24" s="332"/>
      <c r="AJ24" s="341" t="b">
        <v>0</v>
      </c>
    </row>
    <row r="25" spans="2:36" ht="19.5" customHeight="1" x14ac:dyDescent="0.25">
      <c r="B25" s="315">
        <v>22</v>
      </c>
      <c r="C25" s="357">
        <f>BEGINBLAD!C25</f>
        <v>0</v>
      </c>
      <c r="E25" s="297"/>
      <c r="F25" s="371"/>
      <c r="G25" s="297"/>
      <c r="H25" s="295" t="str">
        <f t="shared" si="0"/>
        <v/>
      </c>
      <c r="I25" s="294" t="str">
        <f t="shared" si="1"/>
        <v/>
      </c>
      <c r="J25" s="371"/>
      <c r="K25" s="297"/>
      <c r="L25" s="295" t="str">
        <f t="shared" si="2"/>
        <v/>
      </c>
      <c r="M25" s="294" t="str">
        <f t="shared" si="3"/>
        <v/>
      </c>
      <c r="N25" s="296"/>
      <c r="P25" s="297"/>
      <c r="Q25" s="298"/>
      <c r="R25" s="299" t="str">
        <f t="shared" si="4"/>
        <v/>
      </c>
      <c r="S25" s="294" t="str">
        <f t="shared" si="5"/>
        <v/>
      </c>
      <c r="T25" s="53"/>
      <c r="U25" s="297"/>
      <c r="V25" s="300"/>
      <c r="W25" s="298"/>
      <c r="X25" s="53"/>
      <c r="Y25" s="297"/>
      <c r="Z25" s="300"/>
      <c r="AA25" s="298"/>
      <c r="AB25" s="53"/>
      <c r="AC25" s="297"/>
      <c r="AD25" s="300"/>
      <c r="AE25" s="298"/>
      <c r="AF25" s="78"/>
      <c r="AG25" s="376"/>
      <c r="AH25" s="332"/>
      <c r="AJ25" s="341" t="b">
        <v>0</v>
      </c>
    </row>
    <row r="26" spans="2:36" ht="19.5" customHeight="1" x14ac:dyDescent="0.55000000000000004">
      <c r="B26" s="315">
        <v>23</v>
      </c>
      <c r="C26" s="357">
        <f>BEGINBLAD!C26</f>
        <v>0</v>
      </c>
      <c r="E26" s="297"/>
      <c r="F26" s="371"/>
      <c r="G26" s="297"/>
      <c r="H26" s="295" t="str">
        <f t="shared" si="0"/>
        <v/>
      </c>
      <c r="I26" s="294" t="str">
        <f t="shared" si="1"/>
        <v/>
      </c>
      <c r="J26" s="371"/>
      <c r="K26" s="297"/>
      <c r="L26" s="295" t="str">
        <f t="shared" si="2"/>
        <v/>
      </c>
      <c r="M26" s="294" t="str">
        <f t="shared" si="3"/>
        <v/>
      </c>
      <c r="N26" s="296"/>
      <c r="P26" s="297"/>
      <c r="Q26" s="298"/>
      <c r="R26" s="299" t="str">
        <f t="shared" si="4"/>
        <v/>
      </c>
      <c r="S26" s="294" t="str">
        <f t="shared" si="5"/>
        <v/>
      </c>
      <c r="T26" s="53"/>
      <c r="U26" s="297"/>
      <c r="V26" s="300"/>
      <c r="W26" s="298"/>
      <c r="X26" s="53"/>
      <c r="Y26" s="297"/>
      <c r="Z26" s="300"/>
      <c r="AA26" s="298"/>
      <c r="AB26" s="53"/>
      <c r="AC26" s="297"/>
      <c r="AD26" s="300"/>
      <c r="AE26" s="298"/>
      <c r="AF26" s="78"/>
      <c r="AG26" s="376"/>
      <c r="AH26" s="332"/>
      <c r="AI26" s="91"/>
      <c r="AJ26" s="341" t="b">
        <v>0</v>
      </c>
    </row>
    <row r="27" spans="2:36" ht="19.5" customHeight="1" x14ac:dyDescent="0.25">
      <c r="B27" s="315">
        <v>24</v>
      </c>
      <c r="C27" s="357">
        <f>BEGINBLAD!C27</f>
        <v>0</v>
      </c>
      <c r="E27" s="297"/>
      <c r="F27" s="371"/>
      <c r="G27" s="297"/>
      <c r="H27" s="295" t="str">
        <f t="shared" si="0"/>
        <v/>
      </c>
      <c r="I27" s="294" t="str">
        <f t="shared" si="1"/>
        <v/>
      </c>
      <c r="J27" s="371"/>
      <c r="K27" s="297"/>
      <c r="L27" s="295" t="str">
        <f t="shared" si="2"/>
        <v/>
      </c>
      <c r="M27" s="294" t="str">
        <f t="shared" si="3"/>
        <v/>
      </c>
      <c r="N27" s="296"/>
      <c r="P27" s="297"/>
      <c r="Q27" s="298"/>
      <c r="R27" s="299" t="str">
        <f t="shared" si="4"/>
        <v/>
      </c>
      <c r="S27" s="294" t="str">
        <f t="shared" si="5"/>
        <v/>
      </c>
      <c r="T27" s="53"/>
      <c r="U27" s="297"/>
      <c r="V27" s="300"/>
      <c r="W27" s="298"/>
      <c r="X27" s="53"/>
      <c r="Y27" s="297"/>
      <c r="Z27" s="300"/>
      <c r="AA27" s="298"/>
      <c r="AB27" s="53"/>
      <c r="AC27" s="297"/>
      <c r="AD27" s="300"/>
      <c r="AE27" s="298"/>
      <c r="AF27" s="78"/>
      <c r="AG27" s="376"/>
      <c r="AH27" s="332"/>
      <c r="AI27" s="56"/>
      <c r="AJ27" s="341" t="b">
        <v>0</v>
      </c>
    </row>
    <row r="28" spans="2:36" ht="19.5" customHeight="1" x14ac:dyDescent="0.25">
      <c r="B28" s="315">
        <v>25</v>
      </c>
      <c r="C28" s="357">
        <f>BEGINBLAD!C28</f>
        <v>0</v>
      </c>
      <c r="E28" s="297"/>
      <c r="F28" s="371"/>
      <c r="G28" s="297"/>
      <c r="H28" s="295" t="str">
        <f t="shared" si="0"/>
        <v/>
      </c>
      <c r="I28" s="294" t="str">
        <f t="shared" si="1"/>
        <v/>
      </c>
      <c r="J28" s="371"/>
      <c r="K28" s="297"/>
      <c r="L28" s="295" t="str">
        <f t="shared" si="2"/>
        <v/>
      </c>
      <c r="M28" s="294" t="str">
        <f t="shared" si="3"/>
        <v/>
      </c>
      <c r="N28" s="296"/>
      <c r="P28" s="297"/>
      <c r="Q28" s="298"/>
      <c r="R28" s="299" t="str">
        <f t="shared" si="4"/>
        <v/>
      </c>
      <c r="S28" s="294" t="str">
        <f t="shared" si="5"/>
        <v/>
      </c>
      <c r="T28" s="53"/>
      <c r="U28" s="297"/>
      <c r="V28" s="300"/>
      <c r="W28" s="298"/>
      <c r="X28" s="53"/>
      <c r="Y28" s="297"/>
      <c r="Z28" s="300"/>
      <c r="AA28" s="298"/>
      <c r="AB28" s="53"/>
      <c r="AC28" s="297"/>
      <c r="AD28" s="300"/>
      <c r="AE28" s="298"/>
      <c r="AF28" s="78"/>
      <c r="AG28" s="376"/>
      <c r="AH28" s="332"/>
      <c r="AJ28" s="341" t="b">
        <v>0</v>
      </c>
    </row>
    <row r="29" spans="2:36" ht="19.5" customHeight="1" x14ac:dyDescent="0.25">
      <c r="B29" s="315">
        <v>26</v>
      </c>
      <c r="C29" s="357">
        <f>BEGINBLAD!C29</f>
        <v>0</v>
      </c>
      <c r="E29" s="297"/>
      <c r="F29" s="371"/>
      <c r="G29" s="297"/>
      <c r="H29" s="295" t="str">
        <f t="shared" si="0"/>
        <v/>
      </c>
      <c r="I29" s="294" t="str">
        <f t="shared" si="1"/>
        <v/>
      </c>
      <c r="J29" s="371"/>
      <c r="K29" s="297"/>
      <c r="L29" s="295" t="str">
        <f t="shared" si="2"/>
        <v/>
      </c>
      <c r="M29" s="294" t="str">
        <f t="shared" si="3"/>
        <v/>
      </c>
      <c r="N29" s="296"/>
      <c r="P29" s="297"/>
      <c r="Q29" s="298"/>
      <c r="R29" s="299" t="str">
        <f t="shared" si="4"/>
        <v/>
      </c>
      <c r="S29" s="294" t="str">
        <f t="shared" si="5"/>
        <v/>
      </c>
      <c r="T29" s="53"/>
      <c r="U29" s="297"/>
      <c r="V29" s="300"/>
      <c r="W29" s="298"/>
      <c r="X29" s="53"/>
      <c r="Y29" s="297"/>
      <c r="Z29" s="300"/>
      <c r="AA29" s="298"/>
      <c r="AB29" s="53"/>
      <c r="AC29" s="297"/>
      <c r="AD29" s="300"/>
      <c r="AE29" s="298"/>
      <c r="AF29" s="78"/>
      <c r="AG29" s="376"/>
      <c r="AH29" s="332"/>
      <c r="AJ29" s="341" t="b">
        <v>0</v>
      </c>
    </row>
    <row r="30" spans="2:36" ht="19.5" customHeight="1" x14ac:dyDescent="0.25">
      <c r="B30" s="315">
        <v>27</v>
      </c>
      <c r="C30" s="357">
        <f>BEGINBLAD!C30</f>
        <v>0</v>
      </c>
      <c r="E30" s="297"/>
      <c r="F30" s="371"/>
      <c r="G30" s="297"/>
      <c r="H30" s="295" t="str">
        <f t="shared" si="0"/>
        <v/>
      </c>
      <c r="I30" s="294" t="str">
        <f t="shared" si="1"/>
        <v/>
      </c>
      <c r="J30" s="371"/>
      <c r="K30" s="297"/>
      <c r="L30" s="295" t="str">
        <f t="shared" si="2"/>
        <v/>
      </c>
      <c r="M30" s="294" t="str">
        <f t="shared" si="3"/>
        <v/>
      </c>
      <c r="N30" s="296"/>
      <c r="P30" s="297"/>
      <c r="Q30" s="298"/>
      <c r="R30" s="299" t="str">
        <f t="shared" si="4"/>
        <v/>
      </c>
      <c r="S30" s="294" t="str">
        <f t="shared" si="5"/>
        <v/>
      </c>
      <c r="T30" s="53"/>
      <c r="U30" s="297"/>
      <c r="V30" s="300"/>
      <c r="W30" s="298"/>
      <c r="X30" s="53"/>
      <c r="Y30" s="297"/>
      <c r="Z30" s="300"/>
      <c r="AA30" s="298"/>
      <c r="AB30" s="53"/>
      <c r="AC30" s="297"/>
      <c r="AD30" s="300"/>
      <c r="AE30" s="298"/>
      <c r="AF30" s="78"/>
      <c r="AG30" s="376"/>
      <c r="AH30" s="332"/>
      <c r="AJ30" s="341" t="b">
        <v>0</v>
      </c>
    </row>
    <row r="31" spans="2:36" ht="19.5" customHeight="1" x14ac:dyDescent="0.25">
      <c r="B31" s="315">
        <v>28</v>
      </c>
      <c r="C31" s="357">
        <f>BEGINBLAD!C31</f>
        <v>0</v>
      </c>
      <c r="E31" s="297"/>
      <c r="F31" s="371"/>
      <c r="G31" s="297"/>
      <c r="H31" s="295" t="str">
        <f t="shared" si="0"/>
        <v/>
      </c>
      <c r="I31" s="294" t="str">
        <f t="shared" si="1"/>
        <v/>
      </c>
      <c r="J31" s="371"/>
      <c r="K31" s="297"/>
      <c r="L31" s="295" t="str">
        <f t="shared" si="2"/>
        <v/>
      </c>
      <c r="M31" s="294" t="str">
        <f t="shared" si="3"/>
        <v/>
      </c>
      <c r="N31" s="296"/>
      <c r="P31" s="297"/>
      <c r="Q31" s="298"/>
      <c r="R31" s="299" t="str">
        <f t="shared" si="4"/>
        <v/>
      </c>
      <c r="S31" s="294" t="str">
        <f t="shared" si="5"/>
        <v/>
      </c>
      <c r="T31" s="53"/>
      <c r="U31" s="297"/>
      <c r="V31" s="300"/>
      <c r="W31" s="298"/>
      <c r="X31" s="53"/>
      <c r="Y31" s="297"/>
      <c r="Z31" s="300"/>
      <c r="AA31" s="298"/>
      <c r="AB31" s="53"/>
      <c r="AC31" s="297"/>
      <c r="AD31" s="300"/>
      <c r="AE31" s="298"/>
      <c r="AF31" s="78"/>
      <c r="AG31" s="376"/>
      <c r="AH31" s="332"/>
      <c r="AJ31" s="341" t="b">
        <v>0</v>
      </c>
    </row>
    <row r="32" spans="2:36" ht="19.5" customHeight="1" x14ac:dyDescent="0.25">
      <c r="B32" s="315">
        <v>29</v>
      </c>
      <c r="C32" s="357">
        <f>BEGINBLAD!C32</f>
        <v>0</v>
      </c>
      <c r="E32" s="297"/>
      <c r="F32" s="371"/>
      <c r="G32" s="297"/>
      <c r="H32" s="295" t="str">
        <f t="shared" si="0"/>
        <v/>
      </c>
      <c r="I32" s="294" t="str">
        <f t="shared" si="1"/>
        <v/>
      </c>
      <c r="J32" s="371"/>
      <c r="K32" s="297"/>
      <c r="L32" s="295" t="str">
        <f t="shared" si="2"/>
        <v/>
      </c>
      <c r="M32" s="294" t="str">
        <f t="shared" si="3"/>
        <v/>
      </c>
      <c r="N32" s="296"/>
      <c r="P32" s="297"/>
      <c r="Q32" s="298"/>
      <c r="R32" s="299" t="str">
        <f t="shared" si="4"/>
        <v/>
      </c>
      <c r="S32" s="294" t="str">
        <f t="shared" si="5"/>
        <v/>
      </c>
      <c r="T32" s="53"/>
      <c r="U32" s="297"/>
      <c r="V32" s="300"/>
      <c r="W32" s="298"/>
      <c r="X32" s="53"/>
      <c r="Y32" s="297"/>
      <c r="Z32" s="300"/>
      <c r="AA32" s="298"/>
      <c r="AB32" s="53"/>
      <c r="AC32" s="297"/>
      <c r="AD32" s="300"/>
      <c r="AE32" s="298"/>
      <c r="AF32" s="78"/>
      <c r="AG32" s="376"/>
      <c r="AH32" s="332"/>
      <c r="AJ32" s="341" t="b">
        <v>0</v>
      </c>
    </row>
    <row r="33" spans="2:36" ht="19.5" customHeight="1" x14ac:dyDescent="0.25">
      <c r="B33" s="315">
        <v>30</v>
      </c>
      <c r="C33" s="357">
        <f>BEGINBLAD!C33</f>
        <v>0</v>
      </c>
      <c r="E33" s="297"/>
      <c r="F33" s="371"/>
      <c r="G33" s="297"/>
      <c r="H33" s="295" t="str">
        <f t="shared" si="0"/>
        <v/>
      </c>
      <c r="I33" s="294" t="str">
        <f t="shared" si="1"/>
        <v/>
      </c>
      <c r="J33" s="371"/>
      <c r="K33" s="297"/>
      <c r="L33" s="295" t="str">
        <f t="shared" si="2"/>
        <v/>
      </c>
      <c r="M33" s="294" t="str">
        <f t="shared" si="3"/>
        <v/>
      </c>
      <c r="N33" s="296"/>
      <c r="P33" s="297"/>
      <c r="Q33" s="298"/>
      <c r="R33" s="299" t="str">
        <f t="shared" si="4"/>
        <v/>
      </c>
      <c r="S33" s="294" t="str">
        <f t="shared" si="5"/>
        <v/>
      </c>
      <c r="T33" s="53"/>
      <c r="U33" s="297"/>
      <c r="V33" s="300"/>
      <c r="W33" s="298"/>
      <c r="X33" s="53"/>
      <c r="Y33" s="297"/>
      <c r="Z33" s="300"/>
      <c r="AA33" s="298"/>
      <c r="AB33" s="53"/>
      <c r="AC33" s="297"/>
      <c r="AD33" s="300"/>
      <c r="AE33" s="298"/>
      <c r="AF33" s="78"/>
      <c r="AG33" s="376"/>
      <c r="AH33" s="332"/>
      <c r="AJ33" s="341" t="b">
        <v>0</v>
      </c>
    </row>
    <row r="34" spans="2:36" ht="19.5" customHeight="1" x14ac:dyDescent="0.25">
      <c r="B34" s="315">
        <v>31</v>
      </c>
      <c r="C34" s="357">
        <f>BEGINBLAD!C34</f>
        <v>0</v>
      </c>
      <c r="E34" s="297"/>
      <c r="F34" s="371"/>
      <c r="G34" s="297"/>
      <c r="H34" s="295" t="str">
        <f t="shared" si="0"/>
        <v/>
      </c>
      <c r="I34" s="294" t="str">
        <f t="shared" si="1"/>
        <v/>
      </c>
      <c r="J34" s="371"/>
      <c r="K34" s="297"/>
      <c r="L34" s="295" t="str">
        <f t="shared" si="2"/>
        <v/>
      </c>
      <c r="M34" s="294" t="str">
        <f t="shared" si="3"/>
        <v/>
      </c>
      <c r="N34" s="296"/>
      <c r="P34" s="297"/>
      <c r="Q34" s="298"/>
      <c r="R34" s="299" t="str">
        <f t="shared" si="4"/>
        <v/>
      </c>
      <c r="S34" s="294" t="str">
        <f t="shared" si="5"/>
        <v/>
      </c>
      <c r="T34" s="53"/>
      <c r="U34" s="297"/>
      <c r="V34" s="300"/>
      <c r="W34" s="298"/>
      <c r="X34" s="53"/>
      <c r="Y34" s="297"/>
      <c r="Z34" s="300"/>
      <c r="AA34" s="298"/>
      <c r="AB34" s="53"/>
      <c r="AC34" s="297"/>
      <c r="AD34" s="300"/>
      <c r="AE34" s="298"/>
      <c r="AF34" s="78"/>
      <c r="AG34" s="376"/>
      <c r="AH34" s="332"/>
      <c r="AJ34" s="341" t="b">
        <v>0</v>
      </c>
    </row>
    <row r="35" spans="2:36" ht="19.5" customHeight="1" x14ac:dyDescent="0.25">
      <c r="B35" s="315">
        <v>32</v>
      </c>
      <c r="C35" s="357">
        <f>BEGINBLAD!C35</f>
        <v>0</v>
      </c>
      <c r="E35" s="297"/>
      <c r="F35" s="371"/>
      <c r="G35" s="297"/>
      <c r="H35" s="295" t="str">
        <f t="shared" si="0"/>
        <v/>
      </c>
      <c r="I35" s="294" t="str">
        <f t="shared" si="1"/>
        <v/>
      </c>
      <c r="J35" s="371"/>
      <c r="K35" s="297"/>
      <c r="L35" s="295" t="str">
        <f t="shared" si="2"/>
        <v/>
      </c>
      <c r="M35" s="294" t="str">
        <f t="shared" si="3"/>
        <v/>
      </c>
      <c r="N35" s="296"/>
      <c r="P35" s="297"/>
      <c r="Q35" s="298"/>
      <c r="R35" s="299" t="str">
        <f t="shared" si="4"/>
        <v/>
      </c>
      <c r="S35" s="294" t="str">
        <f t="shared" si="5"/>
        <v/>
      </c>
      <c r="T35" s="53"/>
      <c r="U35" s="297"/>
      <c r="V35" s="300"/>
      <c r="W35" s="298"/>
      <c r="X35" s="53"/>
      <c r="Y35" s="297"/>
      <c r="Z35" s="300"/>
      <c r="AA35" s="298"/>
      <c r="AB35" s="53"/>
      <c r="AC35" s="297"/>
      <c r="AD35" s="300"/>
      <c r="AE35" s="298"/>
      <c r="AF35" s="78"/>
      <c r="AG35" s="376"/>
      <c r="AH35" s="332"/>
      <c r="AJ35" s="341" t="b">
        <v>0</v>
      </c>
    </row>
    <row r="36" spans="2:36" ht="19.5" customHeight="1" x14ac:dyDescent="0.25">
      <c r="B36" s="315">
        <v>33</v>
      </c>
      <c r="C36" s="357">
        <f>BEGINBLAD!C36</f>
        <v>0</v>
      </c>
      <c r="E36" s="297"/>
      <c r="F36" s="371"/>
      <c r="G36" s="297"/>
      <c r="H36" s="295" t="str">
        <f t="shared" si="0"/>
        <v/>
      </c>
      <c r="I36" s="294" t="str">
        <f t="shared" si="1"/>
        <v/>
      </c>
      <c r="J36" s="371"/>
      <c r="K36" s="297"/>
      <c r="L36" s="295" t="str">
        <f t="shared" si="2"/>
        <v/>
      </c>
      <c r="M36" s="294" t="str">
        <f t="shared" si="3"/>
        <v/>
      </c>
      <c r="N36" s="296"/>
      <c r="P36" s="297"/>
      <c r="Q36" s="298"/>
      <c r="R36" s="299" t="str">
        <f t="shared" si="4"/>
        <v/>
      </c>
      <c r="S36" s="294" t="str">
        <f t="shared" si="5"/>
        <v/>
      </c>
      <c r="T36" s="53"/>
      <c r="U36" s="297"/>
      <c r="V36" s="300"/>
      <c r="W36" s="298"/>
      <c r="X36" s="53"/>
      <c r="Y36" s="297"/>
      <c r="Z36" s="300"/>
      <c r="AA36" s="298"/>
      <c r="AB36" s="53"/>
      <c r="AC36" s="297"/>
      <c r="AD36" s="300"/>
      <c r="AE36" s="298"/>
      <c r="AF36" s="78"/>
      <c r="AG36" s="376"/>
      <c r="AH36" s="332"/>
      <c r="AJ36" s="341" t="b">
        <v>0</v>
      </c>
    </row>
    <row r="37" spans="2:36" ht="19.5" customHeight="1" x14ac:dyDescent="0.25">
      <c r="B37" s="315">
        <v>34</v>
      </c>
      <c r="C37" s="357">
        <f>BEGINBLAD!C37</f>
        <v>0</v>
      </c>
      <c r="E37" s="297"/>
      <c r="F37" s="371"/>
      <c r="G37" s="297"/>
      <c r="H37" s="295" t="str">
        <f t="shared" si="0"/>
        <v/>
      </c>
      <c r="I37" s="294" t="str">
        <f t="shared" si="1"/>
        <v/>
      </c>
      <c r="J37" s="371"/>
      <c r="K37" s="297"/>
      <c r="L37" s="295" t="str">
        <f t="shared" si="2"/>
        <v/>
      </c>
      <c r="M37" s="294" t="str">
        <f t="shared" si="3"/>
        <v/>
      </c>
      <c r="N37" s="296"/>
      <c r="P37" s="297"/>
      <c r="Q37" s="298"/>
      <c r="R37" s="299" t="str">
        <f t="shared" si="4"/>
        <v/>
      </c>
      <c r="S37" s="294" t="str">
        <f t="shared" si="5"/>
        <v/>
      </c>
      <c r="T37" s="53"/>
      <c r="U37" s="297"/>
      <c r="V37" s="300"/>
      <c r="W37" s="298"/>
      <c r="X37" s="53"/>
      <c r="Y37" s="297"/>
      <c r="Z37" s="300"/>
      <c r="AA37" s="298"/>
      <c r="AB37" s="53"/>
      <c r="AC37" s="297"/>
      <c r="AD37" s="300"/>
      <c r="AE37" s="298"/>
      <c r="AF37" s="78"/>
      <c r="AG37" s="376"/>
      <c r="AH37" s="332"/>
      <c r="AJ37" s="341" t="b">
        <v>0</v>
      </c>
    </row>
    <row r="38" spans="2:36" ht="19.5" customHeight="1" x14ac:dyDescent="0.25">
      <c r="B38" s="315">
        <v>35</v>
      </c>
      <c r="C38" s="357">
        <f>BEGINBLAD!C38</f>
        <v>0</v>
      </c>
      <c r="E38" s="297"/>
      <c r="F38" s="371"/>
      <c r="G38" s="297"/>
      <c r="H38" s="295" t="str">
        <f t="shared" si="0"/>
        <v/>
      </c>
      <c r="I38" s="294" t="str">
        <f t="shared" si="1"/>
        <v/>
      </c>
      <c r="J38" s="371"/>
      <c r="K38" s="297"/>
      <c r="L38" s="295" t="str">
        <f t="shared" si="2"/>
        <v/>
      </c>
      <c r="M38" s="294" t="str">
        <f t="shared" si="3"/>
        <v/>
      </c>
      <c r="N38" s="296"/>
      <c r="P38" s="297"/>
      <c r="Q38" s="298"/>
      <c r="R38" s="299" t="str">
        <f t="shared" si="4"/>
        <v/>
      </c>
      <c r="S38" s="294" t="str">
        <f t="shared" si="5"/>
        <v/>
      </c>
      <c r="T38" s="53"/>
      <c r="U38" s="297"/>
      <c r="V38" s="300"/>
      <c r="W38" s="298"/>
      <c r="X38" s="53"/>
      <c r="Y38" s="297"/>
      <c r="Z38" s="300"/>
      <c r="AA38" s="298"/>
      <c r="AB38" s="53"/>
      <c r="AC38" s="297"/>
      <c r="AD38" s="300"/>
      <c r="AE38" s="298"/>
      <c r="AF38" s="78"/>
      <c r="AG38" s="376"/>
      <c r="AH38" s="332"/>
      <c r="AJ38" s="341" t="b">
        <v>0</v>
      </c>
    </row>
    <row r="39" spans="2:36" ht="19.5" customHeight="1" thickBot="1" x14ac:dyDescent="0.3">
      <c r="B39" s="550">
        <v>36</v>
      </c>
      <c r="C39" s="358">
        <f>BEGINBLAD!C39</f>
        <v>0</v>
      </c>
      <c r="E39" s="311"/>
      <c r="F39" s="371"/>
      <c r="G39" s="311"/>
      <c r="H39" s="309" t="str">
        <f t="shared" si="0"/>
        <v/>
      </c>
      <c r="I39" s="308" t="str">
        <f t="shared" si="1"/>
        <v/>
      </c>
      <c r="J39" s="371"/>
      <c r="K39" s="311"/>
      <c r="L39" s="309" t="str">
        <f t="shared" si="2"/>
        <v/>
      </c>
      <c r="M39" s="308" t="str">
        <f t="shared" si="3"/>
        <v/>
      </c>
      <c r="N39" s="310"/>
      <c r="P39" s="311"/>
      <c r="Q39" s="312"/>
      <c r="R39" s="313" t="str">
        <f t="shared" si="4"/>
        <v/>
      </c>
      <c r="S39" s="294" t="str">
        <f t="shared" si="5"/>
        <v/>
      </c>
      <c r="T39" s="53"/>
      <c r="U39" s="311"/>
      <c r="V39" s="314"/>
      <c r="W39" s="312"/>
      <c r="X39" s="53"/>
      <c r="Y39" s="311"/>
      <c r="Z39" s="314"/>
      <c r="AA39" s="312"/>
      <c r="AB39" s="53"/>
      <c r="AC39" s="311"/>
      <c r="AD39" s="314"/>
      <c r="AE39" s="312"/>
      <c r="AF39" s="78"/>
      <c r="AG39" s="909"/>
      <c r="AH39" s="333"/>
      <c r="AJ39" s="341" t="b">
        <v>0</v>
      </c>
    </row>
    <row r="40" spans="2:36" s="102" customFormat="1" x14ac:dyDescent="0.25">
      <c r="B40" s="316"/>
      <c r="C40" s="359"/>
      <c r="D40" s="359"/>
      <c r="E40" s="319" t="s">
        <v>328</v>
      </c>
      <c r="F40" s="319"/>
      <c r="G40" s="319" t="s">
        <v>328</v>
      </c>
      <c r="H40" s="320" t="e">
        <f>H41/H42</f>
        <v>#DIV/0!</v>
      </c>
      <c r="I40" s="320" t="e">
        <f>I41/I42</f>
        <v>#DIV/0!</v>
      </c>
      <c r="J40" s="319"/>
      <c r="K40" s="319" t="s">
        <v>328</v>
      </c>
      <c r="L40" s="320" t="e">
        <f>L41/L42</f>
        <v>#DIV/0!</v>
      </c>
      <c r="M40" s="320" t="e">
        <f>M41/M42</f>
        <v>#DIV/0!</v>
      </c>
      <c r="N40" s="319"/>
      <c r="O40" s="321"/>
      <c r="P40" s="320" t="e">
        <f>P41/P42</f>
        <v>#DIV/0!</v>
      </c>
      <c r="Q40" s="320"/>
      <c r="R40" s="320"/>
      <c r="S40" s="322"/>
      <c r="T40" s="322"/>
      <c r="U40" s="640">
        <f>U42/U41</f>
        <v>0</v>
      </c>
      <c r="V40" s="640">
        <f>V42/V41</f>
        <v>0</v>
      </c>
      <c r="W40" s="640">
        <f>W42/W41</f>
        <v>0</v>
      </c>
      <c r="X40" s="322"/>
      <c r="Y40" s="641">
        <f>Y42/Y41</f>
        <v>0</v>
      </c>
      <c r="Z40" s="641">
        <f>Z42/Z41</f>
        <v>0</v>
      </c>
      <c r="AA40" s="641">
        <f>AA42/AA41</f>
        <v>0</v>
      </c>
      <c r="AB40" s="322"/>
      <c r="AC40" s="641">
        <f>AC42/AC41</f>
        <v>0</v>
      </c>
      <c r="AD40" s="641">
        <f>AD42/AD41</f>
        <v>0</v>
      </c>
      <c r="AE40" s="641">
        <f>AE42/AE41</f>
        <v>0</v>
      </c>
      <c r="AF40" s="323"/>
      <c r="AG40" s="319" t="s">
        <v>329</v>
      </c>
      <c r="AH40" s="319"/>
      <c r="AI40" s="51"/>
      <c r="AJ40" s="101"/>
    </row>
    <row r="41" spans="2:36" s="102" customFormat="1" ht="17.5" x14ac:dyDescent="0.25">
      <c r="B41" s="316"/>
      <c r="C41" s="359"/>
      <c r="D41" s="359"/>
      <c r="E41" s="141"/>
      <c r="F41" s="141"/>
      <c r="G41" s="141"/>
      <c r="H41" s="372">
        <f>SUM(H4:H39)</f>
        <v>0</v>
      </c>
      <c r="I41" s="372">
        <f>SUM(I4:I39)</f>
        <v>0</v>
      </c>
      <c r="J41" s="141"/>
      <c r="K41" s="141"/>
      <c r="L41" s="372">
        <f>SUM(L4:L39)</f>
        <v>0</v>
      </c>
      <c r="M41" s="372">
        <f>SUM(M4:M39)</f>
        <v>0</v>
      </c>
      <c r="N41" s="83"/>
      <c r="O41" s="141"/>
      <c r="P41" s="372">
        <f>SUM(P4:P39)</f>
        <v>0</v>
      </c>
      <c r="Q41" s="1188" t="s">
        <v>330</v>
      </c>
      <c r="R41" s="1188"/>
      <c r="S41" s="1188"/>
      <c r="T41" s="1188"/>
      <c r="U41" s="924">
        <v>2</v>
      </c>
      <c r="V41" s="643">
        <f>$U$41</f>
        <v>2</v>
      </c>
      <c r="W41" s="643">
        <f t="shared" ref="W41:AE41" si="7">$U$41</f>
        <v>2</v>
      </c>
      <c r="X41" s="643"/>
      <c r="Y41" s="643">
        <f t="shared" si="7"/>
        <v>2</v>
      </c>
      <c r="Z41" s="643">
        <f t="shared" si="7"/>
        <v>2</v>
      </c>
      <c r="AA41" s="643">
        <f t="shared" si="7"/>
        <v>2</v>
      </c>
      <c r="AB41" s="643"/>
      <c r="AC41" s="643">
        <f t="shared" si="7"/>
        <v>2</v>
      </c>
      <c r="AD41" s="643">
        <f t="shared" si="7"/>
        <v>2</v>
      </c>
      <c r="AE41" s="643">
        <f t="shared" si="7"/>
        <v>2</v>
      </c>
      <c r="AF41" s="163"/>
      <c r="AG41" s="141"/>
      <c r="AH41" s="149"/>
      <c r="AI41" s="51"/>
      <c r="AJ41" s="101"/>
    </row>
    <row r="42" spans="2:36" s="102" customFormat="1" x14ac:dyDescent="0.25">
      <c r="B42" s="316"/>
      <c r="C42" s="359"/>
      <c r="D42" s="359"/>
      <c r="E42" s="141"/>
      <c r="F42" s="141"/>
      <c r="G42" s="141"/>
      <c r="H42" s="141">
        <f>COUNTIF(H4:H39,"&gt;0")</f>
        <v>0</v>
      </c>
      <c r="I42" s="141">
        <f>COUNTIF(I4:I39,"&gt;0")</f>
        <v>0</v>
      </c>
      <c r="J42" s="141"/>
      <c r="K42" s="141"/>
      <c r="L42" s="141">
        <f>COUNTIF(L4:L39,"&gt;0")</f>
        <v>0</v>
      </c>
      <c r="M42" s="141">
        <f>COUNTIF(M4:M39,"&gt;0")</f>
        <v>0</v>
      </c>
      <c r="N42" s="83"/>
      <c r="O42" s="141"/>
      <c r="P42" s="141">
        <f>COUNTA(P4:P39)</f>
        <v>0</v>
      </c>
      <c r="Q42" s="141"/>
      <c r="R42" s="141"/>
      <c r="S42" s="141"/>
      <c r="T42" s="141"/>
      <c r="U42" s="103">
        <f>COUNTIF(U15:U39,"x")</f>
        <v>0</v>
      </c>
      <c r="V42" s="103">
        <f>COUNTIF(V15:V39,"x")</f>
        <v>0</v>
      </c>
      <c r="W42" s="103">
        <f>COUNTIF(W15:W39,"x")</f>
        <v>0</v>
      </c>
      <c r="X42" s="103"/>
      <c r="Y42" s="103">
        <f>COUNTIF(Y15:Y39,"x")</f>
        <v>0</v>
      </c>
      <c r="Z42" s="103">
        <f>COUNTIF(Z15:Z39,"x")</f>
        <v>0</v>
      </c>
      <c r="AA42" s="103">
        <f>COUNTIF(AA15:AA39,"x")</f>
        <v>0</v>
      </c>
      <c r="AB42" s="103"/>
      <c r="AC42" s="103">
        <f>COUNTIF(AC15:AC39,"x")</f>
        <v>0</v>
      </c>
      <c r="AD42" s="103">
        <f>COUNTIF(AD15:AD39,"x")</f>
        <v>0</v>
      </c>
      <c r="AE42" s="103">
        <f>COUNTIF(AE15:AE39,"x")</f>
        <v>0</v>
      </c>
      <c r="AF42" s="141"/>
      <c r="AG42" s="141"/>
      <c r="AH42" s="149"/>
      <c r="AI42" s="51"/>
      <c r="AJ42" s="101"/>
    </row>
    <row r="43" spans="2:36" s="102" customFormat="1" x14ac:dyDescent="0.25">
      <c r="B43" s="316"/>
      <c r="C43" s="359"/>
      <c r="D43" s="359"/>
      <c r="E43" s="141"/>
      <c r="F43" s="141"/>
      <c r="G43" s="141"/>
      <c r="H43" s="141"/>
      <c r="I43" s="141"/>
      <c r="J43" s="141"/>
      <c r="K43" s="141"/>
      <c r="L43" s="141"/>
      <c r="M43" s="141"/>
      <c r="N43" s="83"/>
      <c r="O43" s="141"/>
      <c r="P43" s="141">
        <v>2</v>
      </c>
      <c r="Q43" s="141"/>
      <c r="R43" s="141"/>
      <c r="S43" s="141"/>
      <c r="T43" s="141"/>
      <c r="U43" s="642">
        <f t="shared" ref="U43:AE43" si="8">U40</f>
        <v>0</v>
      </c>
      <c r="V43" s="642">
        <f>V40+W40</f>
        <v>0</v>
      </c>
      <c r="W43" s="642">
        <f t="shared" si="8"/>
        <v>0</v>
      </c>
      <c r="X43" s="642"/>
      <c r="Y43" s="642">
        <f t="shared" si="8"/>
        <v>0</v>
      </c>
      <c r="Z43" s="642">
        <f>Z40+AA40</f>
        <v>0</v>
      </c>
      <c r="AA43" s="642">
        <f t="shared" si="8"/>
        <v>0</v>
      </c>
      <c r="AB43" s="642"/>
      <c r="AC43" s="642">
        <f t="shared" si="8"/>
        <v>0</v>
      </c>
      <c r="AD43" s="642">
        <f>AD40+AE40</f>
        <v>0</v>
      </c>
      <c r="AE43" s="642">
        <f t="shared" si="8"/>
        <v>0</v>
      </c>
      <c r="AF43" s="141"/>
      <c r="AG43" s="141"/>
      <c r="AH43" s="149"/>
      <c r="AI43" s="51"/>
      <c r="AJ43" s="101"/>
    </row>
    <row r="44" spans="2:36" s="102" customFormat="1" x14ac:dyDescent="0.25">
      <c r="B44" s="316"/>
      <c r="C44" s="359"/>
      <c r="D44" s="359"/>
      <c r="E44" s="141"/>
      <c r="F44" s="141"/>
      <c r="G44" s="141"/>
      <c r="H44" s="141"/>
      <c r="I44" s="141"/>
      <c r="J44" s="141"/>
      <c r="K44" s="141"/>
      <c r="L44" s="141"/>
      <c r="M44" s="141"/>
      <c r="N44" s="83"/>
      <c r="O44" s="141"/>
      <c r="P44" s="141">
        <v>3</v>
      </c>
      <c r="Q44" s="141"/>
      <c r="R44" s="141" t="str">
        <f t="shared" ref="R44:S57" si="9">IF(R6="","",IF(R6=K6,1,IF(R6&gt;K6,"",IF(R6&lt;K6,""))))</f>
        <v/>
      </c>
      <c r="S44" s="141" t="str">
        <f t="shared" si="9"/>
        <v/>
      </c>
      <c r="T44" s="141"/>
      <c r="U44" s="359"/>
      <c r="V44" s="359"/>
      <c r="W44" s="359"/>
      <c r="X44" s="359"/>
      <c r="Y44" s="359"/>
      <c r="Z44" s="359"/>
      <c r="AA44" s="359"/>
      <c r="AB44" s="359"/>
      <c r="AC44" s="359"/>
      <c r="AD44" s="359"/>
      <c r="AE44" s="359"/>
      <c r="AF44" s="141"/>
      <c r="AG44" s="141"/>
      <c r="AH44" s="149"/>
      <c r="AI44" s="51"/>
      <c r="AJ44" s="101"/>
    </row>
    <row r="45" spans="2:36" s="102" customFormat="1" x14ac:dyDescent="0.25">
      <c r="B45" s="316"/>
      <c r="C45" s="359"/>
      <c r="D45" s="359"/>
      <c r="E45" s="141"/>
      <c r="F45" s="141"/>
      <c r="G45" s="141"/>
      <c r="H45" s="141"/>
      <c r="I45" s="141"/>
      <c r="J45" s="141"/>
      <c r="K45" s="141"/>
      <c r="L45" s="141"/>
      <c r="M45" s="141"/>
      <c r="N45" s="83"/>
      <c r="O45" s="141"/>
      <c r="P45" s="141">
        <v>4</v>
      </c>
      <c r="Q45" s="141"/>
      <c r="R45" s="141" t="str">
        <f t="shared" si="9"/>
        <v/>
      </c>
      <c r="S45" s="141" t="str">
        <f t="shared" si="9"/>
        <v/>
      </c>
      <c r="T45" s="141"/>
      <c r="U45" s="359"/>
      <c r="V45" s="359"/>
      <c r="W45" s="359"/>
      <c r="X45" s="359"/>
      <c r="Y45" s="359"/>
      <c r="Z45" s="359"/>
      <c r="AA45" s="359"/>
      <c r="AB45" s="359"/>
      <c r="AC45" s="359"/>
      <c r="AD45" s="359"/>
      <c r="AE45" s="359"/>
      <c r="AF45" s="141"/>
      <c r="AG45" s="141"/>
      <c r="AH45" s="149"/>
      <c r="AI45" s="51"/>
      <c r="AJ45" s="51"/>
    </row>
    <row r="46" spans="2:36" s="102" customFormat="1" x14ac:dyDescent="0.25">
      <c r="B46" s="316"/>
      <c r="C46" s="359"/>
      <c r="D46" s="359"/>
      <c r="E46" s="141"/>
      <c r="F46" s="141"/>
      <c r="G46" s="141"/>
      <c r="H46" s="141"/>
      <c r="I46" s="141"/>
      <c r="J46" s="141"/>
      <c r="K46" s="141"/>
      <c r="L46" s="141"/>
      <c r="M46" s="141"/>
      <c r="N46" s="83"/>
      <c r="O46" s="141"/>
      <c r="P46" s="141">
        <v>5</v>
      </c>
      <c r="Q46" s="141"/>
      <c r="R46" s="141" t="str">
        <f t="shared" si="9"/>
        <v/>
      </c>
      <c r="S46" s="141" t="str">
        <f t="shared" si="9"/>
        <v/>
      </c>
      <c r="T46" s="141"/>
      <c r="U46" s="359"/>
      <c r="V46" s="359"/>
      <c r="W46" s="359"/>
      <c r="X46" s="359"/>
      <c r="Y46" s="359"/>
      <c r="Z46" s="359"/>
      <c r="AA46" s="359"/>
      <c r="AB46" s="359"/>
      <c r="AC46" s="359"/>
      <c r="AD46" s="359"/>
      <c r="AE46" s="359"/>
      <c r="AF46" s="141"/>
      <c r="AG46" s="141"/>
      <c r="AH46" s="51"/>
      <c r="AI46" s="51"/>
      <c r="AJ46" s="51"/>
    </row>
    <row r="47" spans="2:36" s="102" customFormat="1" x14ac:dyDescent="0.25">
      <c r="B47" s="316"/>
      <c r="C47" s="359"/>
      <c r="D47" s="359"/>
      <c r="E47" s="141"/>
      <c r="F47" s="141"/>
      <c r="G47" s="141"/>
      <c r="H47" s="141"/>
      <c r="I47" s="141"/>
      <c r="J47" s="141"/>
      <c r="K47" s="141"/>
      <c r="L47" s="141"/>
      <c r="M47" s="141"/>
      <c r="N47" s="83"/>
      <c r="O47" s="141"/>
      <c r="P47" s="141">
        <v>6</v>
      </c>
      <c r="Q47" s="141"/>
      <c r="R47" s="141" t="str">
        <f t="shared" si="9"/>
        <v/>
      </c>
      <c r="S47" s="141" t="str">
        <f t="shared" si="9"/>
        <v/>
      </c>
      <c r="T47" s="141"/>
      <c r="U47" s="359"/>
      <c r="V47" s="359"/>
      <c r="W47" s="359"/>
      <c r="X47" s="359"/>
      <c r="Y47" s="359"/>
      <c r="Z47" s="359"/>
      <c r="AA47" s="359"/>
      <c r="AB47" s="359"/>
      <c r="AC47" s="359"/>
      <c r="AD47" s="359"/>
      <c r="AE47" s="359"/>
      <c r="AF47" s="141"/>
      <c r="AG47" s="141"/>
      <c r="AH47" s="51"/>
      <c r="AI47" s="51"/>
      <c r="AJ47" s="51"/>
    </row>
    <row r="48" spans="2:36" s="102" customFormat="1" x14ac:dyDescent="0.25">
      <c r="B48" s="316"/>
      <c r="C48" s="359"/>
      <c r="D48" s="359"/>
      <c r="E48" s="141"/>
      <c r="F48" s="141"/>
      <c r="G48" s="141"/>
      <c r="H48" s="141"/>
      <c r="I48" s="141"/>
      <c r="J48" s="141"/>
      <c r="K48" s="141"/>
      <c r="L48" s="141"/>
      <c r="M48" s="141"/>
      <c r="N48" s="83"/>
      <c r="O48" s="141"/>
      <c r="P48" s="141">
        <v>7</v>
      </c>
      <c r="Q48" s="141"/>
      <c r="R48" s="141" t="str">
        <f t="shared" si="9"/>
        <v/>
      </c>
      <c r="S48" s="141" t="str">
        <f t="shared" si="9"/>
        <v/>
      </c>
      <c r="T48" s="141"/>
      <c r="U48" s="359"/>
      <c r="V48" s="359"/>
      <c r="W48" s="359"/>
      <c r="X48" s="359"/>
      <c r="Y48" s="359"/>
      <c r="Z48" s="359"/>
      <c r="AA48" s="359"/>
      <c r="AB48" s="359"/>
      <c r="AC48" s="359"/>
      <c r="AD48" s="359"/>
      <c r="AE48" s="359"/>
      <c r="AF48" s="141"/>
      <c r="AG48" s="141"/>
      <c r="AH48" s="51"/>
      <c r="AI48" s="51"/>
      <c r="AJ48" s="51"/>
    </row>
    <row r="49" spans="2:36" s="102" customFormat="1" x14ac:dyDescent="0.25">
      <c r="B49" s="316"/>
      <c r="C49" s="359"/>
      <c r="D49" s="359"/>
      <c r="E49" s="141"/>
      <c r="F49" s="141"/>
      <c r="G49" s="141"/>
      <c r="H49" s="141"/>
      <c r="I49" s="141"/>
      <c r="J49" s="141"/>
      <c r="K49" s="141"/>
      <c r="L49" s="141"/>
      <c r="M49" s="141"/>
      <c r="N49" s="83"/>
      <c r="O49" s="141"/>
      <c r="P49" s="141">
        <v>8</v>
      </c>
      <c r="Q49" s="141"/>
      <c r="R49" s="141" t="str">
        <f t="shared" si="9"/>
        <v/>
      </c>
      <c r="S49" s="141" t="str">
        <f t="shared" si="9"/>
        <v/>
      </c>
      <c r="T49" s="141"/>
      <c r="U49" s="359"/>
      <c r="V49" s="359"/>
      <c r="W49" s="359"/>
      <c r="X49" s="359"/>
      <c r="Y49" s="359"/>
      <c r="Z49" s="359"/>
      <c r="AA49" s="359"/>
      <c r="AB49" s="359"/>
      <c r="AC49" s="359"/>
      <c r="AD49" s="359"/>
      <c r="AE49" s="359"/>
      <c r="AF49" s="141"/>
      <c r="AG49" s="141"/>
      <c r="AH49" s="51"/>
      <c r="AI49" s="51"/>
      <c r="AJ49" s="51"/>
    </row>
    <row r="50" spans="2:36" s="102" customFormat="1" x14ac:dyDescent="0.25">
      <c r="B50" s="316"/>
      <c r="C50" s="359"/>
      <c r="D50" s="359"/>
      <c r="E50" s="141"/>
      <c r="F50" s="141"/>
      <c r="G50" s="141"/>
      <c r="H50" s="141"/>
      <c r="I50" s="141"/>
      <c r="J50" s="141"/>
      <c r="K50" s="141"/>
      <c r="L50" s="141"/>
      <c r="M50" s="141"/>
      <c r="N50" s="83"/>
      <c r="O50" s="141"/>
      <c r="P50" s="141">
        <v>9</v>
      </c>
      <c r="Q50" s="141"/>
      <c r="R50" s="141" t="str">
        <f t="shared" si="9"/>
        <v/>
      </c>
      <c r="S50" s="141" t="str">
        <f t="shared" si="9"/>
        <v/>
      </c>
      <c r="T50" s="141"/>
      <c r="U50" s="359"/>
      <c r="V50" s="359"/>
      <c r="W50" s="359"/>
      <c r="X50" s="359"/>
      <c r="Y50" s="359"/>
      <c r="Z50" s="359"/>
      <c r="AA50" s="359"/>
      <c r="AB50" s="359"/>
      <c r="AC50" s="359"/>
      <c r="AD50" s="359"/>
      <c r="AE50" s="359"/>
      <c r="AF50" s="141"/>
      <c r="AG50" s="141"/>
      <c r="AH50" s="51"/>
      <c r="AI50" s="51"/>
      <c r="AJ50" s="51"/>
    </row>
    <row r="51" spans="2:36" s="102" customFormat="1" x14ac:dyDescent="0.25">
      <c r="B51" s="316"/>
      <c r="C51" s="359"/>
      <c r="D51" s="359"/>
      <c r="E51" s="141"/>
      <c r="F51" s="141"/>
      <c r="G51" s="141"/>
      <c r="H51" s="141"/>
      <c r="I51" s="141"/>
      <c r="J51" s="141"/>
      <c r="K51" s="141"/>
      <c r="L51" s="141"/>
      <c r="M51" s="141"/>
      <c r="N51" s="83"/>
      <c r="O51" s="141"/>
      <c r="P51" s="141">
        <v>10</v>
      </c>
      <c r="Q51" s="141"/>
      <c r="R51" s="141" t="str">
        <f t="shared" si="9"/>
        <v/>
      </c>
      <c r="S51" s="141" t="str">
        <f t="shared" si="9"/>
        <v/>
      </c>
      <c r="T51" s="141"/>
      <c r="U51" s="359"/>
      <c r="V51" s="359"/>
      <c r="W51" s="359"/>
      <c r="X51" s="359"/>
      <c r="Y51" s="359"/>
      <c r="Z51" s="359"/>
      <c r="AA51" s="359"/>
      <c r="AB51" s="359"/>
      <c r="AC51" s="359"/>
      <c r="AD51" s="359"/>
      <c r="AE51" s="359"/>
      <c r="AF51" s="141"/>
      <c r="AG51" s="141"/>
      <c r="AH51" s="51"/>
      <c r="AI51" s="51"/>
      <c r="AJ51" s="51"/>
    </row>
    <row r="52" spans="2:36" s="102" customFormat="1" x14ac:dyDescent="0.25">
      <c r="B52" s="316"/>
      <c r="C52" s="359"/>
      <c r="D52" s="359"/>
      <c r="E52" s="141"/>
      <c r="F52" s="141"/>
      <c r="G52" s="141"/>
      <c r="H52" s="141"/>
      <c r="I52" s="141"/>
      <c r="J52" s="141"/>
      <c r="K52" s="141"/>
      <c r="L52" s="141"/>
      <c r="M52" s="141"/>
      <c r="N52" s="83"/>
      <c r="O52" s="141"/>
      <c r="P52" s="141">
        <v>11</v>
      </c>
      <c r="Q52" s="141"/>
      <c r="R52" s="141" t="str">
        <f t="shared" si="9"/>
        <v/>
      </c>
      <c r="S52" s="141" t="str">
        <f t="shared" si="9"/>
        <v/>
      </c>
      <c r="T52" s="141"/>
      <c r="U52" s="359"/>
      <c r="V52" s="359"/>
      <c r="W52" s="359"/>
      <c r="X52" s="359"/>
      <c r="Y52" s="359"/>
      <c r="Z52" s="359"/>
      <c r="AA52" s="359"/>
      <c r="AB52" s="359"/>
      <c r="AC52" s="359"/>
      <c r="AD52" s="359"/>
      <c r="AE52" s="359"/>
      <c r="AF52" s="141"/>
      <c r="AG52" s="141"/>
      <c r="AH52" s="51"/>
      <c r="AI52" s="51"/>
      <c r="AJ52" s="51"/>
    </row>
    <row r="53" spans="2:36" s="149" customFormat="1" x14ac:dyDescent="0.25">
      <c r="B53" s="537"/>
      <c r="C53" s="141"/>
      <c r="D53" s="141"/>
      <c r="E53" s="141"/>
      <c r="F53" s="141"/>
      <c r="G53" s="141"/>
      <c r="H53" s="141"/>
      <c r="I53" s="141"/>
      <c r="J53" s="141"/>
      <c r="K53" s="141"/>
      <c r="L53" s="141"/>
      <c r="M53" s="141"/>
      <c r="N53" s="83"/>
      <c r="O53" s="141"/>
      <c r="P53" s="141">
        <v>12</v>
      </c>
      <c r="Q53" s="141"/>
      <c r="R53" s="141" t="str">
        <f t="shared" si="9"/>
        <v/>
      </c>
      <c r="S53" s="141" t="str">
        <f t="shared" si="9"/>
        <v/>
      </c>
      <c r="T53" s="141"/>
      <c r="U53" s="359"/>
      <c r="V53" s="359"/>
      <c r="W53" s="359"/>
      <c r="X53" s="359"/>
      <c r="Y53" s="359"/>
      <c r="Z53" s="359"/>
      <c r="AA53" s="359"/>
      <c r="AB53" s="359"/>
      <c r="AC53" s="359"/>
      <c r="AD53" s="359"/>
      <c r="AE53" s="359"/>
      <c r="AF53" s="141"/>
      <c r="AG53" s="141"/>
      <c r="AH53" s="51"/>
      <c r="AI53" s="51"/>
      <c r="AJ53" s="51"/>
    </row>
    <row r="54" spans="2:36" s="149" customFormat="1" x14ac:dyDescent="0.25">
      <c r="B54" s="537"/>
      <c r="C54" s="141"/>
      <c r="D54" s="141"/>
      <c r="E54" s="141"/>
      <c r="F54" s="141"/>
      <c r="G54" s="141"/>
      <c r="H54" s="141"/>
      <c r="I54" s="141"/>
      <c r="J54" s="141"/>
      <c r="K54" s="141"/>
      <c r="L54" s="141"/>
      <c r="M54" s="141"/>
      <c r="N54" s="83"/>
      <c r="O54" s="141"/>
      <c r="P54" s="141">
        <v>13</v>
      </c>
      <c r="Q54" s="141"/>
      <c r="R54" s="141" t="str">
        <f t="shared" si="9"/>
        <v/>
      </c>
      <c r="S54" s="141" t="str">
        <f t="shared" si="9"/>
        <v/>
      </c>
      <c r="T54" s="141"/>
      <c r="U54" s="359"/>
      <c r="V54" s="359"/>
      <c r="W54" s="359"/>
      <c r="X54" s="359"/>
      <c r="Y54" s="359"/>
      <c r="Z54" s="359"/>
      <c r="AA54" s="359"/>
      <c r="AB54" s="359"/>
      <c r="AC54" s="359"/>
      <c r="AD54" s="359"/>
      <c r="AE54" s="359"/>
      <c r="AF54" s="141"/>
      <c r="AG54" s="141"/>
      <c r="AH54" s="51"/>
      <c r="AI54" s="51"/>
      <c r="AJ54" s="51"/>
    </row>
    <row r="55" spans="2:36" s="149" customFormat="1" x14ac:dyDescent="0.25">
      <c r="B55" s="537"/>
      <c r="C55" s="141"/>
      <c r="D55" s="141"/>
      <c r="E55" s="141"/>
      <c r="F55" s="141"/>
      <c r="G55" s="141"/>
      <c r="H55" s="141"/>
      <c r="I55" s="141"/>
      <c r="J55" s="141"/>
      <c r="K55" s="141"/>
      <c r="L55" s="141"/>
      <c r="M55" s="141"/>
      <c r="N55" s="83"/>
      <c r="O55" s="141"/>
      <c r="P55" s="141">
        <v>14</v>
      </c>
      <c r="Q55" s="141"/>
      <c r="R55" s="141" t="str">
        <f t="shared" si="9"/>
        <v/>
      </c>
      <c r="S55" s="141" t="str">
        <f t="shared" si="9"/>
        <v/>
      </c>
      <c r="T55" s="141"/>
      <c r="U55" s="359"/>
      <c r="V55" s="359"/>
      <c r="W55" s="359"/>
      <c r="X55" s="359"/>
      <c r="Y55" s="359"/>
      <c r="Z55" s="359"/>
      <c r="AA55" s="359"/>
      <c r="AB55" s="359"/>
      <c r="AC55" s="359"/>
      <c r="AD55" s="359"/>
      <c r="AE55" s="359"/>
      <c r="AF55" s="141"/>
      <c r="AG55" s="141"/>
      <c r="AH55" s="51"/>
      <c r="AI55" s="51"/>
      <c r="AJ55" s="51"/>
    </row>
    <row r="56" spans="2:36" s="149" customFormat="1" x14ac:dyDescent="0.25">
      <c r="B56" s="537"/>
      <c r="C56" s="141"/>
      <c r="D56" s="141"/>
      <c r="E56" s="141"/>
      <c r="F56" s="141"/>
      <c r="G56" s="141"/>
      <c r="H56" s="141"/>
      <c r="I56" s="141"/>
      <c r="J56" s="141"/>
      <c r="K56" s="141"/>
      <c r="L56" s="141"/>
      <c r="M56" s="141"/>
      <c r="N56" s="83"/>
      <c r="O56" s="141"/>
      <c r="P56" s="141">
        <v>15</v>
      </c>
      <c r="Q56" s="141"/>
      <c r="R56" s="141" t="str">
        <f t="shared" si="9"/>
        <v/>
      </c>
      <c r="S56" s="141" t="str">
        <f t="shared" si="9"/>
        <v/>
      </c>
      <c r="T56" s="141"/>
      <c r="U56" s="359"/>
      <c r="V56" s="359"/>
      <c r="W56" s="359"/>
      <c r="X56" s="359"/>
      <c r="Y56" s="359"/>
      <c r="Z56" s="359"/>
      <c r="AA56" s="359"/>
      <c r="AB56" s="359"/>
      <c r="AC56" s="359"/>
      <c r="AD56" s="359"/>
      <c r="AE56" s="359"/>
      <c r="AF56" s="141"/>
      <c r="AG56" s="141"/>
      <c r="AH56" s="51"/>
      <c r="AI56" s="51"/>
      <c r="AJ56" s="51"/>
    </row>
    <row r="57" spans="2:36" s="149" customFormat="1" x14ac:dyDescent="0.25">
      <c r="B57" s="537"/>
      <c r="C57" s="141"/>
      <c r="D57" s="141"/>
      <c r="E57" s="141"/>
      <c r="F57" s="141"/>
      <c r="G57" s="141"/>
      <c r="H57" s="141"/>
      <c r="I57" s="141"/>
      <c r="J57" s="141"/>
      <c r="K57" s="141"/>
      <c r="L57" s="141"/>
      <c r="M57" s="141"/>
      <c r="N57" s="83"/>
      <c r="O57" s="141"/>
      <c r="P57" s="141">
        <v>16</v>
      </c>
      <c r="Q57" s="141"/>
      <c r="R57" s="141" t="str">
        <f t="shared" si="9"/>
        <v/>
      </c>
      <c r="S57" s="141" t="str">
        <f t="shared" si="9"/>
        <v/>
      </c>
      <c r="T57" s="141"/>
      <c r="U57" s="359"/>
      <c r="V57" s="359"/>
      <c r="W57" s="359"/>
      <c r="X57" s="359"/>
      <c r="Y57" s="359"/>
      <c r="Z57" s="359"/>
      <c r="AA57" s="359"/>
      <c r="AB57" s="359"/>
      <c r="AC57" s="359"/>
      <c r="AD57" s="359"/>
      <c r="AE57" s="359"/>
      <c r="AF57" s="141"/>
      <c r="AG57" s="141"/>
      <c r="AH57" s="51"/>
      <c r="AI57" s="51"/>
      <c r="AJ57" s="51"/>
    </row>
    <row r="58" spans="2:36" s="149" customFormat="1" x14ac:dyDescent="0.25">
      <c r="B58" s="537"/>
      <c r="C58" s="141"/>
      <c r="D58" s="141"/>
      <c r="E58" s="141"/>
      <c r="F58" s="141"/>
      <c r="G58" s="141"/>
      <c r="H58" s="141"/>
      <c r="I58" s="141"/>
      <c r="J58" s="141"/>
      <c r="K58" s="141"/>
      <c r="L58" s="141"/>
      <c r="M58" s="141"/>
      <c r="N58" s="83"/>
      <c r="O58" s="141"/>
      <c r="P58" s="141">
        <v>17</v>
      </c>
      <c r="Q58" s="141"/>
      <c r="R58" s="141" t="str">
        <f t="shared" ref="R58:S73" si="10">IF(R20="","",IF(R20=K20,1,IF(R20&gt;K20,"",IF(R20&lt;K20,""))))</f>
        <v/>
      </c>
      <c r="S58" s="141" t="str">
        <f t="shared" si="10"/>
        <v/>
      </c>
      <c r="T58" s="141"/>
      <c r="U58" s="141"/>
      <c r="V58" s="141"/>
      <c r="W58" s="141"/>
      <c r="X58" s="141"/>
      <c r="Y58" s="141"/>
      <c r="Z58" s="141"/>
      <c r="AA58" s="141"/>
      <c r="AB58" s="141"/>
      <c r="AC58" s="141"/>
      <c r="AD58" s="141"/>
      <c r="AE58" s="141"/>
      <c r="AF58" s="141"/>
      <c r="AG58" s="141"/>
      <c r="AH58" s="51"/>
      <c r="AI58" s="51"/>
      <c r="AJ58" s="51"/>
    </row>
    <row r="59" spans="2:36" s="149" customFormat="1" x14ac:dyDescent="0.25">
      <c r="B59" s="537"/>
      <c r="C59" s="141"/>
      <c r="D59" s="141"/>
      <c r="E59" s="141"/>
      <c r="F59" s="141"/>
      <c r="G59" s="141"/>
      <c r="H59" s="141"/>
      <c r="I59" s="141"/>
      <c r="J59" s="141"/>
      <c r="K59" s="141"/>
      <c r="L59" s="141"/>
      <c r="M59" s="141"/>
      <c r="N59" s="83"/>
      <c r="O59" s="141"/>
      <c r="P59" s="141">
        <v>18</v>
      </c>
      <c r="Q59" s="141"/>
      <c r="R59" s="141" t="str">
        <f t="shared" si="10"/>
        <v/>
      </c>
      <c r="S59" s="141" t="str">
        <f t="shared" si="10"/>
        <v/>
      </c>
      <c r="T59" s="141"/>
      <c r="U59" s="141"/>
      <c r="V59" s="141"/>
      <c r="W59" s="141"/>
      <c r="X59" s="141"/>
      <c r="Y59" s="141"/>
      <c r="Z59" s="141"/>
      <c r="AA59" s="141"/>
      <c r="AB59" s="141"/>
      <c r="AC59" s="141"/>
      <c r="AD59" s="141"/>
      <c r="AE59" s="141"/>
      <c r="AF59" s="141"/>
      <c r="AG59" s="141"/>
      <c r="AH59" s="51"/>
      <c r="AI59" s="51"/>
      <c r="AJ59" s="51"/>
    </row>
    <row r="60" spans="2:36" s="149" customFormat="1" x14ac:dyDescent="0.25">
      <c r="B60" s="537"/>
      <c r="C60" s="141"/>
      <c r="D60" s="141"/>
      <c r="E60" s="141"/>
      <c r="F60" s="141"/>
      <c r="G60" s="141"/>
      <c r="H60" s="141"/>
      <c r="I60" s="141"/>
      <c r="J60" s="141"/>
      <c r="K60" s="141"/>
      <c r="L60" s="141"/>
      <c r="M60" s="141"/>
      <c r="N60" s="83"/>
      <c r="O60" s="141"/>
      <c r="P60" s="141">
        <v>19</v>
      </c>
      <c r="Q60" s="141"/>
      <c r="R60" s="141" t="str">
        <f t="shared" si="10"/>
        <v/>
      </c>
      <c r="S60" s="141" t="str">
        <f t="shared" si="10"/>
        <v/>
      </c>
      <c r="T60" s="141"/>
      <c r="U60" s="141"/>
      <c r="V60" s="141"/>
      <c r="W60" s="141"/>
      <c r="X60" s="141"/>
      <c r="Y60" s="141"/>
      <c r="Z60" s="141"/>
      <c r="AA60" s="141"/>
      <c r="AB60" s="141"/>
      <c r="AC60" s="141"/>
      <c r="AD60" s="141"/>
      <c r="AE60" s="141"/>
      <c r="AF60" s="141"/>
      <c r="AG60" s="141"/>
      <c r="AH60" s="51"/>
      <c r="AI60" s="51"/>
      <c r="AJ60" s="51"/>
    </row>
    <row r="61" spans="2:36" s="149" customFormat="1" x14ac:dyDescent="0.25">
      <c r="B61" s="537"/>
      <c r="C61" s="141"/>
      <c r="D61" s="141"/>
      <c r="E61" s="141"/>
      <c r="F61" s="141"/>
      <c r="G61" s="141"/>
      <c r="H61" s="141"/>
      <c r="I61" s="141"/>
      <c r="J61" s="141"/>
      <c r="K61" s="141"/>
      <c r="L61" s="141"/>
      <c r="M61" s="141"/>
      <c r="N61" s="83"/>
      <c r="O61" s="141"/>
      <c r="P61" s="141">
        <v>20</v>
      </c>
      <c r="Q61" s="141"/>
      <c r="R61" s="141" t="str">
        <f t="shared" si="10"/>
        <v/>
      </c>
      <c r="S61" s="141" t="str">
        <f t="shared" si="10"/>
        <v/>
      </c>
      <c r="T61" s="141"/>
      <c r="U61" s="141"/>
      <c r="V61" s="141"/>
      <c r="W61" s="141"/>
      <c r="X61" s="141"/>
      <c r="Y61" s="141"/>
      <c r="Z61" s="141"/>
      <c r="AA61" s="141"/>
      <c r="AB61" s="141"/>
      <c r="AC61" s="141"/>
      <c r="AD61" s="141"/>
      <c r="AE61" s="141"/>
      <c r="AF61" s="141"/>
      <c r="AG61" s="141"/>
      <c r="AH61" s="51"/>
      <c r="AI61" s="51"/>
      <c r="AJ61" s="51"/>
    </row>
    <row r="62" spans="2:36" s="149" customFormat="1" x14ac:dyDescent="0.25">
      <c r="B62" s="537"/>
      <c r="C62" s="141"/>
      <c r="D62" s="141"/>
      <c r="E62" s="141"/>
      <c r="F62" s="141"/>
      <c r="G62" s="141"/>
      <c r="H62" s="141"/>
      <c r="I62" s="141"/>
      <c r="J62" s="141"/>
      <c r="K62" s="141"/>
      <c r="L62" s="141"/>
      <c r="M62" s="141"/>
      <c r="N62" s="83"/>
      <c r="O62" s="141"/>
      <c r="P62" s="141">
        <v>21</v>
      </c>
      <c r="Q62" s="141"/>
      <c r="R62" s="141" t="str">
        <f t="shared" si="10"/>
        <v/>
      </c>
      <c r="S62" s="141" t="str">
        <f t="shared" si="10"/>
        <v/>
      </c>
      <c r="T62" s="141"/>
      <c r="U62" s="141"/>
      <c r="V62" s="141"/>
      <c r="W62" s="141"/>
      <c r="X62" s="141"/>
      <c r="Y62" s="141"/>
      <c r="Z62" s="141"/>
      <c r="AA62" s="141"/>
      <c r="AB62" s="141"/>
      <c r="AC62" s="141"/>
      <c r="AD62" s="141"/>
      <c r="AE62" s="141"/>
      <c r="AF62" s="141"/>
      <c r="AG62" s="141"/>
      <c r="AH62" s="51"/>
      <c r="AI62" s="51"/>
      <c r="AJ62" s="51"/>
    </row>
    <row r="63" spans="2:36" s="149" customFormat="1" x14ac:dyDescent="0.25">
      <c r="B63" s="537"/>
      <c r="C63" s="141"/>
      <c r="D63" s="141"/>
      <c r="E63" s="141"/>
      <c r="F63" s="141"/>
      <c r="G63" s="141"/>
      <c r="H63" s="141"/>
      <c r="I63" s="141"/>
      <c r="J63" s="141"/>
      <c r="K63" s="141"/>
      <c r="L63" s="141"/>
      <c r="M63" s="141"/>
      <c r="N63" s="83"/>
      <c r="O63" s="141"/>
      <c r="P63" s="141">
        <v>22</v>
      </c>
      <c r="Q63" s="141"/>
      <c r="R63" s="141" t="str">
        <f t="shared" si="10"/>
        <v/>
      </c>
      <c r="S63" s="141" t="str">
        <f t="shared" si="10"/>
        <v/>
      </c>
      <c r="T63" s="141"/>
      <c r="U63" s="141"/>
      <c r="V63" s="141"/>
      <c r="W63" s="141"/>
      <c r="X63" s="141"/>
      <c r="Y63" s="141"/>
      <c r="Z63" s="141"/>
      <c r="AA63" s="141"/>
      <c r="AB63" s="141"/>
      <c r="AC63" s="141"/>
      <c r="AD63" s="141"/>
      <c r="AE63" s="141"/>
      <c r="AF63" s="141"/>
      <c r="AG63" s="141"/>
      <c r="AH63" s="51"/>
      <c r="AI63" s="51"/>
      <c r="AJ63" s="51"/>
    </row>
    <row r="64" spans="2:36" s="149" customFormat="1" x14ac:dyDescent="0.25">
      <c r="B64" s="537"/>
      <c r="C64" s="141"/>
      <c r="D64" s="141"/>
      <c r="E64" s="141"/>
      <c r="F64" s="141"/>
      <c r="G64" s="141"/>
      <c r="H64" s="141"/>
      <c r="I64" s="141"/>
      <c r="J64" s="141"/>
      <c r="K64" s="141"/>
      <c r="L64" s="141"/>
      <c r="M64" s="141"/>
      <c r="N64" s="83"/>
      <c r="O64" s="141"/>
      <c r="P64" s="141">
        <v>23</v>
      </c>
      <c r="Q64" s="141"/>
      <c r="R64" s="141" t="str">
        <f t="shared" si="10"/>
        <v/>
      </c>
      <c r="S64" s="141" t="str">
        <f t="shared" si="10"/>
        <v/>
      </c>
      <c r="T64" s="141"/>
      <c r="U64" s="141"/>
      <c r="V64" s="141"/>
      <c r="W64" s="141"/>
      <c r="X64" s="141"/>
      <c r="Y64" s="141"/>
      <c r="Z64" s="141"/>
      <c r="AA64" s="141"/>
      <c r="AB64" s="141"/>
      <c r="AC64" s="141"/>
      <c r="AD64" s="141"/>
      <c r="AE64" s="141"/>
      <c r="AF64" s="141"/>
      <c r="AG64" s="141"/>
      <c r="AH64" s="280"/>
      <c r="AI64" s="51"/>
      <c r="AJ64" s="51"/>
    </row>
    <row r="65" spans="2:36" s="149" customFormat="1" x14ac:dyDescent="0.25">
      <c r="B65" s="537"/>
      <c r="C65" s="141"/>
      <c r="D65" s="141"/>
      <c r="E65" s="141"/>
      <c r="F65" s="141"/>
      <c r="G65" s="141"/>
      <c r="H65" s="141"/>
      <c r="I65" s="141"/>
      <c r="J65" s="141"/>
      <c r="K65" s="141"/>
      <c r="L65" s="141"/>
      <c r="M65" s="141"/>
      <c r="N65" s="83"/>
      <c r="O65" s="141"/>
      <c r="P65" s="141">
        <v>24</v>
      </c>
      <c r="Q65" s="141"/>
      <c r="R65" s="141" t="str">
        <f t="shared" si="10"/>
        <v/>
      </c>
      <c r="S65" s="141" t="str">
        <f t="shared" si="10"/>
        <v/>
      </c>
      <c r="T65" s="141"/>
      <c r="U65" s="141"/>
      <c r="V65" s="141"/>
      <c r="W65" s="141"/>
      <c r="X65" s="141"/>
      <c r="Y65" s="141"/>
      <c r="Z65" s="141"/>
      <c r="AA65" s="141"/>
      <c r="AB65" s="141"/>
      <c r="AC65" s="141"/>
      <c r="AD65" s="141"/>
      <c r="AE65" s="141"/>
      <c r="AF65" s="141"/>
      <c r="AG65" s="141"/>
      <c r="AH65" s="51"/>
      <c r="AI65" s="51"/>
      <c r="AJ65" s="51"/>
    </row>
    <row r="66" spans="2:36" s="149" customFormat="1" x14ac:dyDescent="0.25">
      <c r="B66" s="537"/>
      <c r="C66" s="141"/>
      <c r="D66" s="141"/>
      <c r="E66" s="141"/>
      <c r="F66" s="141"/>
      <c r="G66" s="141"/>
      <c r="H66" s="141"/>
      <c r="I66" s="141"/>
      <c r="J66" s="141"/>
      <c r="K66" s="141"/>
      <c r="L66" s="141"/>
      <c r="M66" s="141"/>
      <c r="N66" s="83"/>
      <c r="O66" s="141"/>
      <c r="P66" s="141">
        <v>25</v>
      </c>
      <c r="Q66" s="141"/>
      <c r="R66" s="141" t="str">
        <f t="shared" si="10"/>
        <v/>
      </c>
      <c r="S66" s="141" t="str">
        <f t="shared" si="10"/>
        <v/>
      </c>
      <c r="T66" s="141"/>
      <c r="U66" s="141"/>
      <c r="V66" s="141"/>
      <c r="W66" s="141"/>
      <c r="X66" s="141"/>
      <c r="Y66" s="141"/>
      <c r="Z66" s="141"/>
      <c r="AA66" s="141"/>
      <c r="AB66" s="141"/>
      <c r="AC66" s="141"/>
      <c r="AD66" s="141"/>
      <c r="AE66" s="141"/>
      <c r="AF66" s="141"/>
      <c r="AG66" s="141"/>
      <c r="AH66" s="51"/>
      <c r="AI66" s="51"/>
      <c r="AJ66" s="51"/>
    </row>
    <row r="67" spans="2:36" s="149" customFormat="1" x14ac:dyDescent="0.25">
      <c r="B67" s="537"/>
      <c r="C67" s="141"/>
      <c r="D67" s="141"/>
      <c r="E67" s="141"/>
      <c r="F67" s="141"/>
      <c r="G67" s="141"/>
      <c r="H67" s="141"/>
      <c r="I67" s="141"/>
      <c r="J67" s="141"/>
      <c r="K67" s="141"/>
      <c r="L67" s="141"/>
      <c r="M67" s="141"/>
      <c r="N67" s="83"/>
      <c r="O67" s="141"/>
      <c r="P67" s="141">
        <v>26</v>
      </c>
      <c r="Q67" s="141"/>
      <c r="R67" s="141" t="str">
        <f t="shared" si="10"/>
        <v/>
      </c>
      <c r="S67" s="141" t="str">
        <f t="shared" si="10"/>
        <v/>
      </c>
      <c r="T67" s="141"/>
      <c r="U67" s="141"/>
      <c r="V67" s="141"/>
      <c r="W67" s="141"/>
      <c r="X67" s="141"/>
      <c r="Y67" s="141"/>
      <c r="Z67" s="141"/>
      <c r="AA67" s="141"/>
      <c r="AB67" s="141"/>
      <c r="AC67" s="141"/>
      <c r="AD67" s="141"/>
      <c r="AE67" s="141"/>
      <c r="AF67" s="141"/>
      <c r="AG67" s="141"/>
      <c r="AH67" s="51"/>
      <c r="AI67" s="51"/>
      <c r="AJ67" s="51"/>
    </row>
    <row r="68" spans="2:36" s="149" customFormat="1" x14ac:dyDescent="0.25">
      <c r="B68" s="537"/>
      <c r="C68" s="141"/>
      <c r="D68" s="141"/>
      <c r="E68" s="141"/>
      <c r="F68" s="141"/>
      <c r="G68" s="141"/>
      <c r="H68" s="141"/>
      <c r="I68" s="141"/>
      <c r="J68" s="141"/>
      <c r="K68" s="141"/>
      <c r="L68" s="141"/>
      <c r="M68" s="141"/>
      <c r="N68" s="83"/>
      <c r="O68" s="141"/>
      <c r="P68" s="141">
        <v>27</v>
      </c>
      <c r="Q68" s="141"/>
      <c r="R68" s="141" t="str">
        <f t="shared" si="10"/>
        <v/>
      </c>
      <c r="S68" s="141" t="str">
        <f t="shared" si="10"/>
        <v/>
      </c>
      <c r="T68" s="141"/>
      <c r="U68" s="141"/>
      <c r="V68" s="141"/>
      <c r="W68" s="141"/>
      <c r="X68" s="141"/>
      <c r="Y68" s="141"/>
      <c r="Z68" s="141"/>
      <c r="AA68" s="141"/>
      <c r="AB68" s="141"/>
      <c r="AC68" s="141"/>
      <c r="AD68" s="141"/>
      <c r="AE68" s="141"/>
      <c r="AF68" s="141"/>
      <c r="AG68" s="141"/>
      <c r="AH68" s="51"/>
      <c r="AI68" s="51"/>
      <c r="AJ68" s="51"/>
    </row>
    <row r="69" spans="2:36" s="149" customFormat="1" x14ac:dyDescent="0.25">
      <c r="B69" s="537"/>
      <c r="C69" s="141"/>
      <c r="D69" s="141"/>
      <c r="E69" s="141"/>
      <c r="F69" s="141"/>
      <c r="G69" s="141"/>
      <c r="H69" s="141"/>
      <c r="I69" s="141"/>
      <c r="J69" s="141"/>
      <c r="K69" s="141"/>
      <c r="L69" s="141"/>
      <c r="M69" s="141"/>
      <c r="N69" s="83"/>
      <c r="O69" s="141"/>
      <c r="P69" s="141">
        <v>28</v>
      </c>
      <c r="Q69" s="141"/>
      <c r="R69" s="141" t="str">
        <f t="shared" si="10"/>
        <v/>
      </c>
      <c r="S69" s="141" t="str">
        <f t="shared" si="10"/>
        <v/>
      </c>
      <c r="T69" s="141"/>
      <c r="U69" s="141"/>
      <c r="V69" s="141"/>
      <c r="W69" s="141"/>
      <c r="X69" s="141"/>
      <c r="Y69" s="141"/>
      <c r="Z69" s="141"/>
      <c r="AA69" s="141"/>
      <c r="AB69" s="141"/>
      <c r="AC69" s="141"/>
      <c r="AD69" s="141"/>
      <c r="AE69" s="141"/>
      <c r="AF69" s="141"/>
      <c r="AG69" s="141"/>
      <c r="AH69" s="51"/>
      <c r="AI69" s="51"/>
      <c r="AJ69" s="51"/>
    </row>
    <row r="70" spans="2:36" s="149" customFormat="1" x14ac:dyDescent="0.25">
      <c r="B70" s="537"/>
      <c r="C70" s="141"/>
      <c r="D70" s="141"/>
      <c r="E70" s="141"/>
      <c r="F70" s="141"/>
      <c r="G70" s="141"/>
      <c r="H70" s="141"/>
      <c r="I70" s="141"/>
      <c r="J70" s="141"/>
      <c r="K70" s="141"/>
      <c r="L70" s="141"/>
      <c r="M70" s="141"/>
      <c r="N70" s="83"/>
      <c r="O70" s="141"/>
      <c r="P70" s="141">
        <v>29</v>
      </c>
      <c r="Q70" s="141"/>
      <c r="R70" s="141" t="str">
        <f t="shared" si="10"/>
        <v/>
      </c>
      <c r="S70" s="141" t="str">
        <f t="shared" si="10"/>
        <v/>
      </c>
      <c r="T70" s="141"/>
      <c r="U70" s="141"/>
      <c r="V70" s="141"/>
      <c r="W70" s="141"/>
      <c r="X70" s="141"/>
      <c r="Y70" s="141"/>
      <c r="Z70" s="141"/>
      <c r="AA70" s="141"/>
      <c r="AB70" s="141"/>
      <c r="AC70" s="141"/>
      <c r="AD70" s="141"/>
      <c r="AE70" s="141"/>
      <c r="AF70" s="141"/>
      <c r="AG70" s="141"/>
      <c r="AH70" s="51"/>
      <c r="AI70" s="51"/>
      <c r="AJ70" s="51"/>
    </row>
    <row r="71" spans="2:36" s="149" customFormat="1" x14ac:dyDescent="0.25">
      <c r="B71" s="537"/>
      <c r="C71" s="141"/>
      <c r="D71" s="141"/>
      <c r="E71" s="141"/>
      <c r="F71" s="141"/>
      <c r="G71" s="141"/>
      <c r="H71" s="141"/>
      <c r="I71" s="141"/>
      <c r="J71" s="141"/>
      <c r="K71" s="141"/>
      <c r="L71" s="141"/>
      <c r="M71" s="141"/>
      <c r="N71" s="83"/>
      <c r="O71" s="141"/>
      <c r="P71" s="141">
        <v>30</v>
      </c>
      <c r="Q71" s="141"/>
      <c r="R71" s="141" t="str">
        <f t="shared" si="10"/>
        <v/>
      </c>
      <c r="S71" s="141" t="str">
        <f t="shared" si="10"/>
        <v/>
      </c>
      <c r="T71" s="141"/>
      <c r="U71" s="141"/>
      <c r="V71" s="141"/>
      <c r="W71" s="141"/>
      <c r="X71" s="141"/>
      <c r="Y71" s="141"/>
      <c r="Z71" s="141"/>
      <c r="AA71" s="141"/>
      <c r="AB71" s="141"/>
      <c r="AC71" s="141"/>
      <c r="AD71" s="141"/>
      <c r="AE71" s="141"/>
      <c r="AF71" s="141"/>
      <c r="AG71" s="141"/>
      <c r="AH71" s="51"/>
      <c r="AI71" s="51"/>
      <c r="AJ71" s="51"/>
    </row>
    <row r="72" spans="2:36" s="149" customFormat="1" x14ac:dyDescent="0.25">
      <c r="B72" s="537"/>
      <c r="C72" s="141"/>
      <c r="D72" s="141"/>
      <c r="E72" s="141"/>
      <c r="F72" s="141"/>
      <c r="G72" s="141"/>
      <c r="H72" s="141"/>
      <c r="I72" s="141"/>
      <c r="J72" s="141"/>
      <c r="K72" s="141"/>
      <c r="L72" s="141"/>
      <c r="M72" s="141"/>
      <c r="N72" s="83"/>
      <c r="O72" s="141"/>
      <c r="P72" s="141">
        <v>31</v>
      </c>
      <c r="Q72" s="141"/>
      <c r="R72" s="141" t="str">
        <f t="shared" si="10"/>
        <v/>
      </c>
      <c r="S72" s="141" t="str">
        <f t="shared" si="10"/>
        <v/>
      </c>
      <c r="T72" s="141"/>
      <c r="U72" s="141"/>
      <c r="V72" s="141"/>
      <c r="W72" s="141"/>
      <c r="X72" s="141"/>
      <c r="Y72" s="141"/>
      <c r="Z72" s="141"/>
      <c r="AA72" s="141"/>
      <c r="AB72" s="141"/>
      <c r="AC72" s="141"/>
      <c r="AD72" s="141"/>
      <c r="AE72" s="141"/>
      <c r="AF72" s="141"/>
      <c r="AG72" s="141"/>
      <c r="AH72" s="51"/>
      <c r="AI72" s="51"/>
      <c r="AJ72" s="51"/>
    </row>
    <row r="73" spans="2:36" s="149" customFormat="1" x14ac:dyDescent="0.25">
      <c r="B73" s="537"/>
      <c r="C73" s="141"/>
      <c r="D73" s="141"/>
      <c r="E73" s="141"/>
      <c r="F73" s="141"/>
      <c r="G73" s="141"/>
      <c r="H73" s="141"/>
      <c r="I73" s="141"/>
      <c r="J73" s="141"/>
      <c r="K73" s="141"/>
      <c r="L73" s="141"/>
      <c r="M73" s="141"/>
      <c r="N73" s="83"/>
      <c r="O73" s="141"/>
      <c r="P73" s="141">
        <v>32</v>
      </c>
      <c r="Q73" s="141"/>
      <c r="R73" s="141" t="str">
        <f t="shared" si="10"/>
        <v/>
      </c>
      <c r="S73" s="141" t="str">
        <f t="shared" si="10"/>
        <v/>
      </c>
      <c r="T73" s="141"/>
      <c r="U73" s="141"/>
      <c r="V73" s="141"/>
      <c r="W73" s="141"/>
      <c r="X73" s="141"/>
      <c r="Y73" s="141"/>
      <c r="Z73" s="141"/>
      <c r="AA73" s="141"/>
      <c r="AB73" s="141"/>
      <c r="AC73" s="141"/>
      <c r="AD73" s="141"/>
      <c r="AE73" s="141"/>
      <c r="AF73" s="141"/>
      <c r="AG73" s="141"/>
      <c r="AH73" s="51"/>
      <c r="AI73" s="51"/>
      <c r="AJ73" s="51"/>
    </row>
    <row r="74" spans="2:36" s="149" customFormat="1" x14ac:dyDescent="0.25">
      <c r="B74" s="537"/>
      <c r="C74" s="141"/>
      <c r="D74" s="141"/>
      <c r="E74" s="141"/>
      <c r="F74" s="141"/>
      <c r="G74" s="141"/>
      <c r="H74" s="141"/>
      <c r="I74" s="141"/>
      <c r="J74" s="141"/>
      <c r="K74" s="141"/>
      <c r="L74" s="141"/>
      <c r="M74" s="141"/>
      <c r="N74" s="83"/>
      <c r="O74" s="141"/>
      <c r="P74" s="141">
        <v>33</v>
      </c>
      <c r="Q74" s="141"/>
      <c r="R74" s="141" t="str">
        <f t="shared" ref="R74:S77" si="11">IF(R36="","",IF(R36=K36,1,IF(R36&gt;K36,"",IF(R36&lt;K36,""))))</f>
        <v/>
      </c>
      <c r="S74" s="141" t="str">
        <f t="shared" si="11"/>
        <v/>
      </c>
      <c r="T74" s="141"/>
      <c r="U74" s="141"/>
      <c r="V74" s="141"/>
      <c r="W74" s="141"/>
      <c r="X74" s="141"/>
      <c r="Y74" s="141"/>
      <c r="Z74" s="141"/>
      <c r="AA74" s="141"/>
      <c r="AB74" s="141"/>
      <c r="AC74" s="141"/>
      <c r="AD74" s="141"/>
      <c r="AE74" s="141"/>
      <c r="AF74" s="141"/>
      <c r="AG74" s="141"/>
      <c r="AH74" s="51"/>
      <c r="AI74" s="51"/>
      <c r="AJ74" s="51"/>
    </row>
    <row r="75" spans="2:36" s="149" customFormat="1" x14ac:dyDescent="0.25">
      <c r="B75" s="537"/>
      <c r="C75" s="141"/>
      <c r="D75" s="141"/>
      <c r="E75" s="141"/>
      <c r="F75" s="141"/>
      <c r="G75" s="141"/>
      <c r="H75" s="141"/>
      <c r="I75" s="141"/>
      <c r="J75" s="141"/>
      <c r="K75" s="141"/>
      <c r="L75" s="141"/>
      <c r="M75" s="141"/>
      <c r="N75" s="83"/>
      <c r="O75" s="141"/>
      <c r="P75" s="141">
        <v>34</v>
      </c>
      <c r="Q75" s="141"/>
      <c r="R75" s="141" t="str">
        <f t="shared" si="11"/>
        <v/>
      </c>
      <c r="S75" s="141" t="str">
        <f t="shared" si="11"/>
        <v/>
      </c>
      <c r="T75" s="141"/>
      <c r="U75" s="141"/>
      <c r="V75" s="141"/>
      <c r="W75" s="141"/>
      <c r="X75" s="141"/>
      <c r="Y75" s="141"/>
      <c r="Z75" s="141"/>
      <c r="AA75" s="141"/>
      <c r="AB75" s="141"/>
      <c r="AC75" s="141"/>
      <c r="AD75" s="141"/>
      <c r="AE75" s="141"/>
      <c r="AF75" s="141"/>
      <c r="AG75" s="141"/>
      <c r="AH75" s="51"/>
      <c r="AI75" s="51"/>
      <c r="AJ75" s="51"/>
    </row>
    <row r="76" spans="2:36" s="149" customFormat="1" x14ac:dyDescent="0.25">
      <c r="B76" s="537"/>
      <c r="C76" s="141"/>
      <c r="D76" s="141"/>
      <c r="E76" s="141"/>
      <c r="F76" s="141"/>
      <c r="G76" s="141"/>
      <c r="H76" s="141"/>
      <c r="I76" s="141"/>
      <c r="J76" s="141"/>
      <c r="K76" s="141"/>
      <c r="L76" s="141"/>
      <c r="M76" s="141"/>
      <c r="N76" s="83"/>
      <c r="O76" s="141"/>
      <c r="P76" s="141">
        <v>35</v>
      </c>
      <c r="Q76" s="141"/>
      <c r="R76" s="141" t="str">
        <f t="shared" si="11"/>
        <v/>
      </c>
      <c r="S76" s="141" t="str">
        <f t="shared" si="11"/>
        <v/>
      </c>
      <c r="T76" s="141"/>
      <c r="U76" s="141"/>
      <c r="V76" s="141"/>
      <c r="W76" s="141"/>
      <c r="X76" s="141"/>
      <c r="Y76" s="141"/>
      <c r="Z76" s="141"/>
      <c r="AA76" s="141"/>
      <c r="AB76" s="141"/>
      <c r="AC76" s="141"/>
      <c r="AD76" s="141"/>
      <c r="AE76" s="141"/>
      <c r="AF76" s="141"/>
      <c r="AG76" s="141"/>
      <c r="AH76" s="51"/>
      <c r="AI76" s="51"/>
      <c r="AJ76" s="51"/>
    </row>
    <row r="77" spans="2:36" s="149" customFormat="1" x14ac:dyDescent="0.25">
      <c r="B77" s="537"/>
      <c r="C77" s="141"/>
      <c r="D77" s="141"/>
      <c r="E77" s="141"/>
      <c r="F77" s="141"/>
      <c r="G77" s="141"/>
      <c r="H77" s="141"/>
      <c r="I77" s="141"/>
      <c r="J77" s="141"/>
      <c r="K77" s="141"/>
      <c r="L77" s="141"/>
      <c r="M77" s="141"/>
      <c r="N77" s="83"/>
      <c r="O77" s="141"/>
      <c r="P77" s="141">
        <v>36</v>
      </c>
      <c r="Q77" s="141"/>
      <c r="R77" s="141" t="str">
        <f t="shared" si="11"/>
        <v/>
      </c>
      <c r="S77" s="141" t="str">
        <f t="shared" si="11"/>
        <v/>
      </c>
      <c r="T77" s="141"/>
      <c r="U77" s="141"/>
      <c r="V77" s="141"/>
      <c r="W77" s="141"/>
      <c r="X77" s="141"/>
      <c r="Y77" s="141"/>
      <c r="Z77" s="141"/>
      <c r="AA77" s="141"/>
      <c r="AB77" s="141"/>
      <c r="AC77" s="141"/>
      <c r="AD77" s="141"/>
      <c r="AE77" s="141"/>
      <c r="AF77" s="141"/>
      <c r="AG77" s="141"/>
      <c r="AH77" s="51"/>
      <c r="AI77" s="51"/>
      <c r="AJ77" s="51"/>
    </row>
    <row r="78" spans="2:36" s="149" customFormat="1" x14ac:dyDescent="0.25">
      <c r="B78" s="537"/>
      <c r="C78" s="141"/>
      <c r="D78" s="141"/>
      <c r="E78" s="141"/>
      <c r="F78" s="141"/>
      <c r="G78" s="141"/>
      <c r="H78" s="141"/>
      <c r="I78" s="141"/>
      <c r="J78" s="141"/>
      <c r="K78" s="141"/>
      <c r="L78" s="141"/>
      <c r="M78" s="141"/>
      <c r="N78" s="83"/>
      <c r="O78" s="141" t="e">
        <f>#REF!</f>
        <v>#REF!</v>
      </c>
      <c r="P78" s="141"/>
      <c r="Q78" s="141"/>
      <c r="R78" s="141">
        <f>COUNTIF(R42:R77,1)</f>
        <v>0</v>
      </c>
      <c r="S78" s="141">
        <f>COUNTIF(S42:S77,1)</f>
        <v>0</v>
      </c>
      <c r="T78" s="141"/>
      <c r="U78" s="141"/>
      <c r="V78" s="141"/>
      <c r="W78" s="141"/>
      <c r="X78" s="141"/>
      <c r="Y78" s="141"/>
      <c r="Z78" s="141"/>
      <c r="AA78" s="141"/>
      <c r="AB78" s="141"/>
      <c r="AC78" s="141"/>
      <c r="AD78" s="141"/>
      <c r="AE78" s="141"/>
      <c r="AF78" s="141"/>
      <c r="AG78" s="141"/>
      <c r="AH78" s="51"/>
      <c r="AI78" s="51"/>
      <c r="AJ78" s="51"/>
    </row>
    <row r="79" spans="2:36" s="149" customFormat="1" x14ac:dyDescent="0.25">
      <c r="B79" s="537"/>
      <c r="C79" s="141"/>
      <c r="D79" s="141"/>
      <c r="E79" s="141"/>
      <c r="F79" s="141"/>
      <c r="G79" s="141"/>
      <c r="H79" s="141"/>
      <c r="I79" s="141"/>
      <c r="J79" s="141"/>
      <c r="K79" s="141"/>
      <c r="L79" s="141"/>
      <c r="M79" s="141"/>
      <c r="N79" s="83"/>
      <c r="O79" s="141"/>
      <c r="P79" s="141"/>
      <c r="Q79" s="141"/>
      <c r="R79" s="141"/>
      <c r="S79" s="141"/>
      <c r="T79" s="141"/>
      <c r="U79" s="141"/>
      <c r="V79" s="141"/>
      <c r="W79" s="141"/>
      <c r="X79" s="141"/>
      <c r="Y79" s="141"/>
      <c r="Z79" s="141"/>
      <c r="AA79" s="141"/>
      <c r="AB79" s="141"/>
      <c r="AC79" s="141"/>
      <c r="AD79" s="141"/>
      <c r="AE79" s="141"/>
      <c r="AF79" s="141"/>
      <c r="AG79" s="141"/>
      <c r="AH79" s="51"/>
      <c r="AI79" s="51"/>
      <c r="AJ79" s="51"/>
    </row>
    <row r="80" spans="2:36" s="149" customFormat="1" x14ac:dyDescent="0.25">
      <c r="B80" s="537"/>
      <c r="C80" s="141"/>
      <c r="D80" s="141"/>
      <c r="E80" s="141"/>
      <c r="F80" s="141"/>
      <c r="G80" s="141"/>
      <c r="H80" s="141"/>
      <c r="I80" s="141"/>
      <c r="J80" s="141"/>
      <c r="K80" s="141"/>
      <c r="L80" s="141"/>
      <c r="M80" s="141"/>
      <c r="N80" s="83"/>
      <c r="O80" s="141"/>
      <c r="P80" s="141"/>
      <c r="Q80" s="141"/>
      <c r="R80" s="141"/>
      <c r="S80" s="141"/>
      <c r="T80" s="141"/>
      <c r="U80" s="141"/>
      <c r="V80" s="141"/>
      <c r="W80" s="141"/>
      <c r="X80" s="141"/>
      <c r="Y80" s="141"/>
      <c r="Z80" s="141"/>
      <c r="AA80" s="141"/>
      <c r="AB80" s="141"/>
      <c r="AC80" s="141"/>
      <c r="AD80" s="141"/>
      <c r="AE80" s="141"/>
      <c r="AF80" s="141"/>
      <c r="AG80" s="141"/>
      <c r="AH80" s="51"/>
      <c r="AI80" s="51"/>
      <c r="AJ80" s="51"/>
    </row>
    <row r="81" spans="2:36" s="149" customFormat="1" x14ac:dyDescent="0.25">
      <c r="B81" s="537"/>
      <c r="C81" s="141"/>
      <c r="D81" s="141"/>
      <c r="E81" s="141"/>
      <c r="F81" s="141"/>
      <c r="G81" s="141"/>
      <c r="H81" s="141"/>
      <c r="I81" s="141"/>
      <c r="J81" s="141"/>
      <c r="K81" s="141"/>
      <c r="L81" s="141"/>
      <c r="M81" s="141"/>
      <c r="N81" s="83"/>
      <c r="O81" s="141"/>
      <c r="P81" s="141"/>
      <c r="Q81" s="141"/>
      <c r="R81" s="141"/>
      <c r="S81" s="141"/>
      <c r="T81" s="141"/>
      <c r="U81" s="141"/>
      <c r="V81" s="141"/>
      <c r="W81" s="141"/>
      <c r="X81" s="141"/>
      <c r="Y81" s="141"/>
      <c r="Z81" s="141"/>
      <c r="AA81" s="141"/>
      <c r="AB81" s="141"/>
      <c r="AC81" s="141"/>
      <c r="AD81" s="141"/>
      <c r="AE81" s="141"/>
      <c r="AF81" s="141"/>
      <c r="AG81" s="141"/>
      <c r="AH81" s="51"/>
      <c r="AI81" s="51"/>
      <c r="AJ81" s="51"/>
    </row>
    <row r="82" spans="2:36" s="149" customFormat="1" x14ac:dyDescent="0.25">
      <c r="B82" s="537"/>
      <c r="C82" s="141"/>
      <c r="D82" s="141"/>
      <c r="E82" s="141"/>
      <c r="F82" s="141"/>
      <c r="G82" s="141"/>
      <c r="H82" s="141"/>
      <c r="I82" s="141"/>
      <c r="J82" s="141"/>
      <c r="K82" s="141"/>
      <c r="L82" s="141"/>
      <c r="M82" s="141"/>
      <c r="N82" s="83"/>
      <c r="O82" s="141"/>
      <c r="P82" s="141"/>
      <c r="Q82" s="141"/>
      <c r="R82" s="141"/>
      <c r="S82" s="141"/>
      <c r="T82" s="141"/>
      <c r="U82" s="141"/>
      <c r="V82" s="141"/>
      <c r="W82" s="141"/>
      <c r="X82" s="141"/>
      <c r="Y82" s="141"/>
      <c r="Z82" s="141"/>
      <c r="AA82" s="141"/>
      <c r="AB82" s="141"/>
      <c r="AC82" s="141"/>
      <c r="AD82" s="141"/>
      <c r="AE82" s="141"/>
      <c r="AF82" s="141"/>
      <c r="AG82" s="141"/>
      <c r="AH82" s="51"/>
      <c r="AI82" s="51"/>
      <c r="AJ82" s="51"/>
    </row>
    <row r="83" spans="2:36" s="149" customFormat="1" x14ac:dyDescent="0.25">
      <c r="B83" s="537"/>
      <c r="C83" s="141"/>
      <c r="D83" s="141"/>
      <c r="E83" s="141"/>
      <c r="F83" s="141"/>
      <c r="G83" s="141"/>
      <c r="H83" s="141"/>
      <c r="I83" s="141"/>
      <c r="J83" s="141"/>
      <c r="K83" s="141"/>
      <c r="L83" s="141"/>
      <c r="M83" s="141"/>
      <c r="N83" s="83"/>
      <c r="O83" s="141"/>
      <c r="P83" s="141"/>
      <c r="Q83" s="141"/>
      <c r="R83" s="141"/>
      <c r="S83" s="141"/>
      <c r="T83" s="141"/>
      <c r="U83" s="141"/>
      <c r="V83" s="141"/>
      <c r="W83" s="141"/>
      <c r="X83" s="141"/>
      <c r="Y83" s="141"/>
      <c r="Z83" s="141"/>
      <c r="AA83" s="141"/>
      <c r="AB83" s="141"/>
      <c r="AC83" s="141"/>
      <c r="AD83" s="141"/>
      <c r="AE83" s="141"/>
      <c r="AF83" s="141"/>
      <c r="AG83" s="141"/>
      <c r="AH83" s="51"/>
      <c r="AI83" s="51"/>
      <c r="AJ83" s="51"/>
    </row>
    <row r="84" spans="2:36" s="149" customFormat="1" x14ac:dyDescent="0.25">
      <c r="B84" s="537"/>
      <c r="C84" s="141"/>
      <c r="D84" s="141"/>
      <c r="E84" s="141"/>
      <c r="F84" s="141"/>
      <c r="G84" s="141"/>
      <c r="H84" s="141"/>
      <c r="I84" s="141"/>
      <c r="J84" s="141"/>
      <c r="K84" s="141"/>
      <c r="L84" s="141"/>
      <c r="M84" s="141"/>
      <c r="N84" s="83"/>
      <c r="O84" s="141"/>
      <c r="P84" s="141"/>
      <c r="Q84" s="141"/>
      <c r="R84" s="141"/>
      <c r="S84" s="141"/>
      <c r="T84" s="141"/>
      <c r="U84" s="141"/>
      <c r="V84" s="141"/>
      <c r="W84" s="141"/>
      <c r="X84" s="141"/>
      <c r="Y84" s="141"/>
      <c r="Z84" s="141"/>
      <c r="AA84" s="141"/>
      <c r="AB84" s="141"/>
      <c r="AC84" s="141"/>
      <c r="AD84" s="141"/>
      <c r="AE84" s="141"/>
      <c r="AF84" s="141"/>
      <c r="AG84" s="141"/>
      <c r="AH84" s="51"/>
      <c r="AI84" s="51"/>
      <c r="AJ84" s="51"/>
    </row>
    <row r="85" spans="2:36" s="149" customFormat="1" x14ac:dyDescent="0.25">
      <c r="B85" s="537"/>
      <c r="C85" s="141"/>
      <c r="D85" s="141"/>
      <c r="E85" s="141"/>
      <c r="F85" s="141"/>
      <c r="G85" s="141"/>
      <c r="H85" s="141"/>
      <c r="I85" s="141"/>
      <c r="J85" s="141"/>
      <c r="K85" s="141"/>
      <c r="L85" s="141"/>
      <c r="M85" s="141"/>
      <c r="N85" s="83"/>
      <c r="O85" s="141"/>
      <c r="P85" s="141"/>
      <c r="Q85" s="141"/>
      <c r="R85" s="141"/>
      <c r="S85" s="141"/>
      <c r="T85" s="141"/>
      <c r="U85" s="141"/>
      <c r="V85" s="141"/>
      <c r="W85" s="141"/>
      <c r="X85" s="141"/>
      <c r="Y85" s="141"/>
      <c r="Z85" s="141"/>
      <c r="AA85" s="141"/>
      <c r="AB85" s="141"/>
      <c r="AC85" s="141"/>
      <c r="AD85" s="141"/>
      <c r="AE85" s="141"/>
      <c r="AF85" s="141"/>
      <c r="AG85" s="141"/>
      <c r="AH85" s="51"/>
      <c r="AI85" s="51"/>
      <c r="AJ85" s="51"/>
    </row>
    <row r="86" spans="2:36" s="149" customFormat="1" x14ac:dyDescent="0.25">
      <c r="B86" s="537"/>
      <c r="C86" s="141"/>
      <c r="D86" s="141"/>
      <c r="E86" s="141"/>
      <c r="F86" s="141"/>
      <c r="G86" s="141"/>
      <c r="H86" s="141"/>
      <c r="I86" s="141"/>
      <c r="J86" s="141"/>
      <c r="K86" s="141"/>
      <c r="L86" s="141"/>
      <c r="M86" s="141"/>
      <c r="N86" s="83"/>
      <c r="O86" s="141"/>
      <c r="P86" s="141"/>
      <c r="Q86" s="141"/>
      <c r="R86" s="141"/>
      <c r="S86" s="141"/>
      <c r="T86" s="141"/>
      <c r="U86" s="141"/>
      <c r="V86" s="141"/>
      <c r="W86" s="141"/>
      <c r="X86" s="141"/>
      <c r="Y86" s="141"/>
      <c r="Z86" s="141"/>
      <c r="AA86" s="141"/>
      <c r="AB86" s="141"/>
      <c r="AC86" s="141"/>
      <c r="AD86" s="141"/>
      <c r="AE86" s="141"/>
      <c r="AF86" s="141"/>
      <c r="AG86" s="141"/>
      <c r="AH86" s="51"/>
      <c r="AI86" s="51"/>
      <c r="AJ86" s="51"/>
    </row>
    <row r="87" spans="2:36" s="149" customFormat="1" x14ac:dyDescent="0.25">
      <c r="B87" s="537"/>
      <c r="C87" s="141"/>
      <c r="D87" s="141"/>
      <c r="E87" s="141"/>
      <c r="F87" s="141"/>
      <c r="G87" s="141"/>
      <c r="H87" s="141"/>
      <c r="I87" s="141"/>
      <c r="J87" s="141"/>
      <c r="K87" s="141"/>
      <c r="L87" s="141"/>
      <c r="M87" s="141"/>
      <c r="N87" s="83"/>
      <c r="O87" s="141"/>
      <c r="P87" s="141"/>
      <c r="Q87" s="141"/>
      <c r="R87" s="141"/>
      <c r="S87" s="141"/>
      <c r="T87" s="141"/>
      <c r="U87" s="141"/>
      <c r="V87" s="141"/>
      <c r="W87" s="141"/>
      <c r="X87" s="141"/>
      <c r="Y87" s="141"/>
      <c r="Z87" s="141"/>
      <c r="AA87" s="141"/>
      <c r="AB87" s="141"/>
      <c r="AC87" s="141"/>
      <c r="AD87" s="141"/>
      <c r="AE87" s="141"/>
      <c r="AF87" s="141"/>
      <c r="AG87" s="141"/>
      <c r="AH87" s="51"/>
      <c r="AI87" s="51"/>
      <c r="AJ87" s="51"/>
    </row>
    <row r="88" spans="2:36" s="149" customFormat="1" x14ac:dyDescent="0.25">
      <c r="B88" s="537"/>
      <c r="C88" s="141"/>
      <c r="D88" s="141"/>
      <c r="E88" s="141"/>
      <c r="F88" s="141"/>
      <c r="G88" s="141"/>
      <c r="H88" s="141"/>
      <c r="I88" s="141"/>
      <c r="J88" s="141"/>
      <c r="K88" s="141"/>
      <c r="L88" s="141"/>
      <c r="M88" s="141"/>
      <c r="N88" s="83"/>
      <c r="O88" s="141"/>
      <c r="P88" s="141"/>
      <c r="Q88" s="141"/>
      <c r="R88" s="141"/>
      <c r="S88" s="141"/>
      <c r="T88" s="141"/>
      <c r="U88" s="141"/>
      <c r="V88" s="141"/>
      <c r="W88" s="141"/>
      <c r="X88" s="141"/>
      <c r="Y88" s="141"/>
      <c r="Z88" s="141"/>
      <c r="AA88" s="141"/>
      <c r="AB88" s="141"/>
      <c r="AC88" s="141"/>
      <c r="AD88" s="141"/>
      <c r="AE88" s="141"/>
      <c r="AF88" s="141"/>
      <c r="AG88" s="141"/>
      <c r="AH88" s="51"/>
      <c r="AI88" s="51"/>
      <c r="AJ88" s="51"/>
    </row>
    <row r="89" spans="2:36" s="149" customFormat="1" x14ac:dyDescent="0.25">
      <c r="B89" s="537"/>
      <c r="C89" s="141"/>
      <c r="D89" s="141"/>
      <c r="E89" s="141"/>
      <c r="F89" s="141"/>
      <c r="G89" s="141"/>
      <c r="H89" s="141"/>
      <c r="I89" s="141"/>
      <c r="J89" s="141"/>
      <c r="K89" s="141"/>
      <c r="L89" s="141"/>
      <c r="M89" s="141"/>
      <c r="N89" s="83"/>
      <c r="O89" s="141"/>
      <c r="P89" s="141"/>
      <c r="Q89" s="141"/>
      <c r="R89" s="141"/>
      <c r="S89" s="141"/>
      <c r="T89" s="141"/>
      <c r="U89" s="141"/>
      <c r="V89" s="141"/>
      <c r="W89" s="141"/>
      <c r="X89" s="141"/>
      <c r="Y89" s="141"/>
      <c r="Z89" s="141"/>
      <c r="AA89" s="141"/>
      <c r="AB89" s="141"/>
      <c r="AC89" s="141"/>
      <c r="AD89" s="141"/>
      <c r="AE89" s="141"/>
      <c r="AF89" s="141"/>
      <c r="AG89" s="141"/>
      <c r="AH89" s="51"/>
      <c r="AI89" s="51"/>
      <c r="AJ89" s="51"/>
    </row>
    <row r="90" spans="2:36" s="149" customFormat="1" x14ac:dyDescent="0.25">
      <c r="B90" s="537"/>
      <c r="C90" s="141"/>
      <c r="D90" s="141"/>
      <c r="E90" s="141"/>
      <c r="F90" s="141"/>
      <c r="G90" s="141"/>
      <c r="H90" s="141"/>
      <c r="I90" s="141"/>
      <c r="J90" s="141"/>
      <c r="K90" s="141"/>
      <c r="L90" s="141"/>
      <c r="M90" s="141"/>
      <c r="N90" s="83"/>
      <c r="O90" s="141"/>
      <c r="P90" s="141"/>
      <c r="Q90" s="141"/>
      <c r="R90" s="141"/>
      <c r="S90" s="141"/>
      <c r="T90" s="141"/>
      <c r="U90" s="141"/>
      <c r="V90" s="141"/>
      <c r="W90" s="141"/>
      <c r="X90" s="141"/>
      <c r="Y90" s="141"/>
      <c r="Z90" s="141"/>
      <c r="AA90" s="141"/>
      <c r="AB90" s="141"/>
      <c r="AC90" s="141"/>
      <c r="AD90" s="141"/>
      <c r="AE90" s="141"/>
      <c r="AF90" s="141"/>
      <c r="AG90" s="141"/>
      <c r="AH90" s="51"/>
      <c r="AI90" s="51"/>
      <c r="AJ90" s="51"/>
    </row>
    <row r="91" spans="2:36" s="149" customFormat="1" x14ac:dyDescent="0.25">
      <c r="B91" s="537"/>
      <c r="C91" s="141"/>
      <c r="D91" s="141"/>
      <c r="E91" s="141"/>
      <c r="F91" s="141"/>
      <c r="G91" s="141"/>
      <c r="H91" s="141"/>
      <c r="I91" s="141"/>
      <c r="J91" s="141"/>
      <c r="K91" s="141"/>
      <c r="L91" s="141"/>
      <c r="M91" s="141"/>
      <c r="N91" s="83"/>
      <c r="O91" s="141"/>
      <c r="P91" s="141"/>
      <c r="Q91" s="141"/>
      <c r="R91" s="141"/>
      <c r="S91" s="141"/>
      <c r="T91" s="141"/>
      <c r="U91" s="141"/>
      <c r="V91" s="141"/>
      <c r="W91" s="141"/>
      <c r="X91" s="141"/>
      <c r="Y91" s="141"/>
      <c r="Z91" s="141"/>
      <c r="AA91" s="141"/>
      <c r="AB91" s="141"/>
      <c r="AC91" s="141"/>
      <c r="AD91" s="141"/>
      <c r="AE91" s="141"/>
      <c r="AF91" s="141"/>
      <c r="AG91" s="141"/>
      <c r="AH91" s="51"/>
      <c r="AI91" s="51"/>
      <c r="AJ91" s="51"/>
    </row>
    <row r="92" spans="2:36" s="149" customFormat="1" x14ac:dyDescent="0.25">
      <c r="B92" s="537"/>
      <c r="C92" s="141"/>
      <c r="D92" s="141"/>
      <c r="E92" s="141"/>
      <c r="F92" s="141"/>
      <c r="G92" s="141"/>
      <c r="H92" s="141"/>
      <c r="I92" s="141"/>
      <c r="J92" s="141"/>
      <c r="K92" s="141"/>
      <c r="L92" s="141"/>
      <c r="M92" s="141"/>
      <c r="N92" s="83"/>
      <c r="O92" s="141"/>
      <c r="P92" s="141"/>
      <c r="Q92" s="141"/>
      <c r="R92" s="141"/>
      <c r="S92" s="141"/>
      <c r="T92" s="141"/>
      <c r="U92" s="141"/>
      <c r="V92" s="141"/>
      <c r="W92" s="141"/>
      <c r="X92" s="141"/>
      <c r="Y92" s="141"/>
      <c r="Z92" s="141"/>
      <c r="AA92" s="141"/>
      <c r="AB92" s="141"/>
      <c r="AC92" s="141"/>
      <c r="AD92" s="141"/>
      <c r="AE92" s="141"/>
      <c r="AF92" s="141"/>
      <c r="AG92" s="141"/>
      <c r="AH92" s="51"/>
      <c r="AI92" s="51"/>
      <c r="AJ92" s="51"/>
    </row>
    <row r="93" spans="2:36" x14ac:dyDescent="0.25">
      <c r="B93" s="537"/>
    </row>
    <row r="94" spans="2:36" x14ac:dyDescent="0.25">
      <c r="B94" s="537"/>
    </row>
    <row r="95" spans="2:36" x14ac:dyDescent="0.25">
      <c r="B95" s="537"/>
    </row>
    <row r="96" spans="2:36" x14ac:dyDescent="0.25">
      <c r="B96" s="537"/>
    </row>
  </sheetData>
  <sheetProtection sheet="1" objects="1" scenarios="1"/>
  <mergeCells count="24">
    <mergeCell ref="Q41:T41"/>
    <mergeCell ref="E1:I1"/>
    <mergeCell ref="K1:S1"/>
    <mergeCell ref="U1:AE1"/>
    <mergeCell ref="AG1:AS1"/>
    <mergeCell ref="AM9:AM10"/>
    <mergeCell ref="AP9:AP10"/>
    <mergeCell ref="AR9:AR10"/>
    <mergeCell ref="AM5:AM6"/>
    <mergeCell ref="AP5:AP6"/>
    <mergeCell ref="AR5:AR6"/>
    <mergeCell ref="AM7:AM8"/>
    <mergeCell ref="AP7:AP8"/>
    <mergeCell ref="AR7:AR8"/>
    <mergeCell ref="AM13:AM15"/>
    <mergeCell ref="AP13:AP15"/>
    <mergeCell ref="AQ14:AQ15"/>
    <mergeCell ref="AR13:AR15"/>
    <mergeCell ref="U2:W2"/>
    <mergeCell ref="Y2:AA2"/>
    <mergeCell ref="AC2:AE2"/>
    <mergeCell ref="AM11:AM12"/>
    <mergeCell ref="AP11:AP12"/>
    <mergeCell ref="AR11:AR12"/>
  </mergeCells>
  <conditionalFormatting sqref="E4:E21 E28:E34">
    <cfRule type="cellIs" dxfId="1060" priority="75" stopIfTrue="1" operator="equal">
      <formula>"VWO"</formula>
    </cfRule>
    <cfRule type="cellIs" dxfId="1059" priority="76" stopIfTrue="1" operator="equal">
      <formula>"HAVO"</formula>
    </cfRule>
    <cfRule type="cellIs" dxfId="1058" priority="77" stopIfTrue="1" operator="equal">
      <formula>"HAVO-VWO"</formula>
    </cfRule>
  </conditionalFormatting>
  <conditionalFormatting sqref="E21:E29">
    <cfRule type="cellIs" dxfId="1057" priority="72" stopIfTrue="1" operator="equal">
      <formula>"VWO"</formula>
    </cfRule>
    <cfRule type="cellIs" dxfId="1056" priority="73" stopIfTrue="1" operator="equal">
      <formula>"HAVO"</formula>
    </cfRule>
    <cfRule type="cellIs" dxfId="1055" priority="74" stopIfTrue="1" operator="equal">
      <formula>"HAVO-VWO"</formula>
    </cfRule>
  </conditionalFormatting>
  <conditionalFormatting sqref="E29:E34">
    <cfRule type="cellIs" dxfId="1054" priority="78" stopIfTrue="1" operator="equal">
      <formula>"VWO"</formula>
    </cfRule>
    <cfRule type="cellIs" dxfId="1053" priority="79" stopIfTrue="1" operator="equal">
      <formula>"HAVO"</formula>
    </cfRule>
    <cfRule type="cellIs" dxfId="1052" priority="80" stopIfTrue="1" operator="equal">
      <formula>"HAVO-VWO"</formula>
    </cfRule>
  </conditionalFormatting>
  <conditionalFormatting sqref="E35:E39">
    <cfRule type="expression" dxfId="1051" priority="81">
      <formula>$N35="nee"</formula>
    </cfRule>
    <cfRule type="expression" dxfId="1050" priority="82">
      <formula>$N35="ja"</formula>
    </cfRule>
  </conditionalFormatting>
  <conditionalFormatting sqref="G4:G17">
    <cfRule type="cellIs" dxfId="1049" priority="187" stopIfTrue="1" operator="equal">
      <formula>"HAVO-VWO"</formula>
    </cfRule>
    <cfRule type="cellIs" dxfId="1048" priority="186" stopIfTrue="1" operator="equal">
      <formula>"HAVO"</formula>
    </cfRule>
    <cfRule type="cellIs" dxfId="1047" priority="185" stopIfTrue="1" operator="equal">
      <formula>"VWO"</formula>
    </cfRule>
  </conditionalFormatting>
  <conditionalFormatting sqref="G17:G21">
    <cfRule type="cellIs" dxfId="1046" priority="172" stopIfTrue="1" operator="equal">
      <formula>"HAVO-VWO"</formula>
    </cfRule>
    <cfRule type="cellIs" dxfId="1045" priority="171" stopIfTrue="1" operator="equal">
      <formula>"HAVO"</formula>
    </cfRule>
    <cfRule type="cellIs" dxfId="1044" priority="170" stopIfTrue="1" operator="equal">
      <formula>"VWO"</formula>
    </cfRule>
  </conditionalFormatting>
  <conditionalFormatting sqref="G21:G25">
    <cfRule type="cellIs" dxfId="1043" priority="83" stopIfTrue="1" operator="equal">
      <formula>"VWO"</formula>
    </cfRule>
    <cfRule type="cellIs" dxfId="1042" priority="84" stopIfTrue="1" operator="equal">
      <formula>"HAVO"</formula>
    </cfRule>
    <cfRule type="cellIs" dxfId="1041" priority="85" stopIfTrue="1" operator="equal">
      <formula>"HAVO-VWO"</formula>
    </cfRule>
  </conditionalFormatting>
  <conditionalFormatting sqref="G23:G29">
    <cfRule type="cellIs" dxfId="1040" priority="184" stopIfTrue="1" operator="equal">
      <formula>"HAVO-VWO"</formula>
    </cfRule>
    <cfRule type="cellIs" dxfId="1039" priority="183" stopIfTrue="1" operator="equal">
      <formula>"HAVO"</formula>
    </cfRule>
    <cfRule type="cellIs" dxfId="1038" priority="182" stopIfTrue="1" operator="equal">
      <formula>"VWO"</formula>
    </cfRule>
  </conditionalFormatting>
  <conditionalFormatting sqref="G28:G34">
    <cfRule type="cellIs" dxfId="1037" priority="262" stopIfTrue="1" operator="equal">
      <formula>"HAVO-VWO"</formula>
    </cfRule>
    <cfRule type="cellIs" dxfId="1036" priority="261" stopIfTrue="1" operator="equal">
      <formula>"HAVO"</formula>
    </cfRule>
    <cfRule type="cellIs" dxfId="1035" priority="260" stopIfTrue="1" operator="equal">
      <formula>"VWO"</formula>
    </cfRule>
  </conditionalFormatting>
  <conditionalFormatting sqref="G29">
    <cfRule type="cellIs" dxfId="1034" priority="95" stopIfTrue="1" operator="equal">
      <formula>"VWO"</formula>
    </cfRule>
    <cfRule type="cellIs" dxfId="1033" priority="97" stopIfTrue="1" operator="equal">
      <formula>"HAVO-VWO"</formula>
    </cfRule>
    <cfRule type="cellIs" dxfId="1032" priority="96" stopIfTrue="1" operator="equal">
      <formula>"HAVO"</formula>
    </cfRule>
  </conditionalFormatting>
  <conditionalFormatting sqref="G29:G34">
    <cfRule type="cellIs" dxfId="1031" priority="88" stopIfTrue="1" operator="equal">
      <formula>"HAVO-VWO"</formula>
    </cfRule>
    <cfRule type="cellIs" dxfId="1030" priority="86" stopIfTrue="1" operator="equal">
      <formula>"VWO"</formula>
    </cfRule>
    <cfRule type="cellIs" dxfId="1029" priority="87" stopIfTrue="1" operator="equal">
      <formula>"HAVO"</formula>
    </cfRule>
  </conditionalFormatting>
  <conditionalFormatting sqref="G35:G39">
    <cfRule type="expression" dxfId="1028" priority="267">
      <formula>$N35="ja"</formula>
    </cfRule>
    <cfRule type="expression" dxfId="1027" priority="266">
      <formula>$N35="nee"</formula>
    </cfRule>
  </conditionalFormatting>
  <conditionalFormatting sqref="H40:I40">
    <cfRule type="cellIs" dxfId="1026" priority="130" stopIfTrue="1" operator="between">
      <formula>4</formula>
      <formula>5</formula>
    </cfRule>
    <cfRule type="cellIs" dxfId="1025" priority="129" stopIfTrue="1" operator="between">
      <formula>3</formula>
      <formula>3.999</formula>
    </cfRule>
    <cfRule type="cellIs" dxfId="1024" priority="128" stopIfTrue="1" operator="between">
      <formula>0.001</formula>
      <formula>1.999</formula>
    </cfRule>
  </conditionalFormatting>
  <conditionalFormatting sqref="K4:K21 K28:K35">
    <cfRule type="cellIs" dxfId="1023" priority="277" stopIfTrue="1" operator="equal">
      <formula>"HAVO-VWO"</formula>
    </cfRule>
    <cfRule type="cellIs" dxfId="1022" priority="276" stopIfTrue="1" operator="equal">
      <formula>"HAVO"</formula>
    </cfRule>
    <cfRule type="cellIs" dxfId="1021" priority="275" stopIfTrue="1" operator="equal">
      <formula>"VWO"</formula>
    </cfRule>
  </conditionalFormatting>
  <conditionalFormatting sqref="K21:K29">
    <cfRule type="cellIs" dxfId="1020" priority="273" stopIfTrue="1" operator="equal">
      <formula>"HAVO"</formula>
    </cfRule>
    <cfRule type="cellIs" dxfId="1019" priority="272" stopIfTrue="1" operator="equal">
      <formula>"VWO"</formula>
    </cfRule>
    <cfRule type="cellIs" dxfId="1018" priority="274" stopIfTrue="1" operator="equal">
      <formula>"HAVO-VWO"</formula>
    </cfRule>
  </conditionalFormatting>
  <conditionalFormatting sqref="K29:K35">
    <cfRule type="cellIs" dxfId="1017" priority="280" stopIfTrue="1" operator="equal">
      <formula>"HAVO-VWO"</formula>
    </cfRule>
    <cfRule type="cellIs" dxfId="1016" priority="279" stopIfTrue="1" operator="equal">
      <formula>"HAVO"</formula>
    </cfRule>
    <cfRule type="cellIs" dxfId="1015" priority="278" stopIfTrue="1" operator="equal">
      <formula>"VWO"</formula>
    </cfRule>
  </conditionalFormatting>
  <conditionalFormatting sqref="K36:K39">
    <cfRule type="expression" dxfId="1014" priority="282">
      <formula>$N36="ja"</formula>
    </cfRule>
    <cfRule type="expression" dxfId="1013" priority="281">
      <formula>$N36="nee"</formula>
    </cfRule>
  </conditionalFormatting>
  <conditionalFormatting sqref="L40:M40">
    <cfRule type="cellIs" dxfId="1012" priority="98" stopIfTrue="1" operator="between">
      <formula>0.001</formula>
      <formula>1.999</formula>
    </cfRule>
    <cfRule type="cellIs" dxfId="1011" priority="99" stopIfTrue="1" operator="between">
      <formula>3</formula>
      <formula>3.999</formula>
    </cfRule>
    <cfRule type="cellIs" dxfId="1010" priority="100" stopIfTrue="1" operator="between">
      <formula>4</formula>
      <formula>5</formula>
    </cfRule>
  </conditionalFormatting>
  <conditionalFormatting sqref="N4:N39">
    <cfRule type="cellIs" dxfId="1009" priority="71" operator="equal">
      <formula>"ja"</formula>
    </cfRule>
    <cfRule type="cellIs" dxfId="1008" priority="70" operator="equal">
      <formula>"nee"</formula>
    </cfRule>
  </conditionalFormatting>
  <conditionalFormatting sqref="P40:R40">
    <cfRule type="cellIs" dxfId="1007" priority="56" stopIfTrue="1" operator="between">
      <formula>0.001</formula>
      <formula>1.999</formula>
    </cfRule>
    <cfRule type="cellIs" dxfId="1006" priority="58" stopIfTrue="1" operator="between">
      <formula>4</formula>
      <formula>5</formula>
    </cfRule>
    <cfRule type="cellIs" dxfId="1005" priority="57" stopIfTrue="1" operator="between">
      <formula>3</formula>
      <formula>3.999</formula>
    </cfRule>
  </conditionalFormatting>
  <conditionalFormatting sqref="S4:S39">
    <cfRule type="cellIs" dxfId="1004" priority="5" operator="equal">
      <formula>""</formula>
    </cfRule>
    <cfRule type="expression" dxfId="1003" priority="6">
      <formula>$S4=$AG4</formula>
    </cfRule>
  </conditionalFormatting>
  <conditionalFormatting sqref="S40:T40">
    <cfRule type="cellIs" dxfId="1002" priority="102" stopIfTrue="1" operator="equal">
      <formula>"B"</formula>
    </cfRule>
    <cfRule type="cellIs" dxfId="1001" priority="104" stopIfTrue="1" operator="equal">
      <formula>""""""</formula>
    </cfRule>
    <cfRule type="cellIs" dxfId="1000" priority="105" stopIfTrue="1" operator="equal">
      <formula>"E"</formula>
    </cfRule>
    <cfRule type="cellIs" dxfId="999" priority="106" stopIfTrue="1" operator="equal">
      <formula>"B"</formula>
    </cfRule>
    <cfRule type="cellIs" dxfId="998" priority="107" stopIfTrue="1" operator="equal">
      <formula>"B"</formula>
    </cfRule>
    <cfRule type="cellIs" dxfId="997" priority="108" stopIfTrue="1" operator="equal">
      <formula>"D"</formula>
    </cfRule>
    <cfRule type="cellIs" dxfId="996" priority="109" stopIfTrue="1" operator="equal">
      <formula>"E"</formula>
    </cfRule>
    <cfRule type="cellIs" dxfId="995" priority="110" stopIfTrue="1" operator="equal">
      <formula>"A"</formula>
    </cfRule>
    <cfRule type="cellIs" dxfId="994" priority="103" stopIfTrue="1" operator="equal">
      <formula>"C-"</formula>
    </cfRule>
    <cfRule type="cellIs" dxfId="993" priority="112" stopIfTrue="1" operator="equal">
      <formula>"B"</formula>
    </cfRule>
    <cfRule type="cellIs" dxfId="992" priority="111" stopIfTrue="1" operator="equal">
      <formula>"B"</formula>
    </cfRule>
    <cfRule type="cellIs" dxfId="991" priority="101" stopIfTrue="1" operator="equal">
      <formula>0</formula>
    </cfRule>
  </conditionalFormatting>
  <conditionalFormatting sqref="U4:W39">
    <cfRule type="cellIs" dxfId="990" priority="166" operator="equal">
      <formula>"x"</formula>
    </cfRule>
  </conditionalFormatting>
  <conditionalFormatting sqref="X40 AB40">
    <cfRule type="cellIs" dxfId="989" priority="18" stopIfTrue="1" operator="equal">
      <formula>"B"</formula>
    </cfRule>
    <cfRule type="cellIs" dxfId="988" priority="17" stopIfTrue="1" operator="equal">
      <formula>"B"</formula>
    </cfRule>
    <cfRule type="cellIs" dxfId="987" priority="16" stopIfTrue="1" operator="equal">
      <formula>"A"</formula>
    </cfRule>
    <cfRule type="cellIs" dxfId="986" priority="14" stopIfTrue="1" operator="equal">
      <formula>"D"</formula>
    </cfRule>
    <cfRule type="cellIs" dxfId="985" priority="13" stopIfTrue="1" operator="equal">
      <formula>"B"</formula>
    </cfRule>
    <cfRule type="cellIs" dxfId="984" priority="12" stopIfTrue="1" operator="equal">
      <formula>"B"</formula>
    </cfRule>
    <cfRule type="cellIs" dxfId="983" priority="11" stopIfTrue="1" operator="equal">
      <formula>"E"</formula>
    </cfRule>
    <cfRule type="cellIs" dxfId="982" priority="10" stopIfTrue="1" operator="equal">
      <formula>""""""</formula>
    </cfRule>
    <cfRule type="cellIs" dxfId="981" priority="9" stopIfTrue="1" operator="equal">
      <formula>"C-"</formula>
    </cfRule>
    <cfRule type="cellIs" dxfId="980" priority="8" stopIfTrue="1" operator="equal">
      <formula>"B"</formula>
    </cfRule>
    <cfRule type="cellIs" dxfId="979" priority="7" stopIfTrue="1" operator="equal">
      <formula>0</formula>
    </cfRule>
    <cfRule type="cellIs" dxfId="978" priority="15" stopIfTrue="1" operator="equal">
      <formula>"E"</formula>
    </cfRule>
  </conditionalFormatting>
  <conditionalFormatting sqref="Z4:Z34 Y4:Y39 AA4:AA39">
    <cfRule type="cellIs" dxfId="977" priority="165" operator="equal">
      <formula>"x"</formula>
    </cfRule>
  </conditionalFormatting>
  <conditionalFormatting sqref="AC4:AF39">
    <cfRule type="cellIs" dxfId="976" priority="164" operator="equal">
      <formula>"x"</formula>
    </cfRule>
  </conditionalFormatting>
  <conditionalFormatting sqref="AG4:AG21 AG28:AG35">
    <cfRule type="cellIs" dxfId="975" priority="25" stopIfTrue="1" operator="equal">
      <formula>"HAVO-VWO"</formula>
    </cfRule>
    <cfRule type="cellIs" dxfId="974" priority="23" stopIfTrue="1" operator="equal">
      <formula>"VWO"</formula>
    </cfRule>
    <cfRule type="cellIs" dxfId="973" priority="24" stopIfTrue="1" operator="equal">
      <formula>"HAVO"</formula>
    </cfRule>
  </conditionalFormatting>
  <conditionalFormatting sqref="AG4:AG39">
    <cfRule type="cellIs" dxfId="972" priority="19" operator="equal">
      <formula>"VWO+"</formula>
    </cfRule>
  </conditionalFormatting>
  <conditionalFormatting sqref="AG21:AG29">
    <cfRule type="cellIs" dxfId="971" priority="20" stopIfTrue="1" operator="equal">
      <formula>"VWO"</formula>
    </cfRule>
    <cfRule type="cellIs" dxfId="970" priority="22" stopIfTrue="1" operator="equal">
      <formula>"HAVO-VWO"</formula>
    </cfRule>
    <cfRule type="cellIs" dxfId="969" priority="21" stopIfTrue="1" operator="equal">
      <formula>"HAVO"</formula>
    </cfRule>
  </conditionalFormatting>
  <conditionalFormatting sqref="AG29:AG35">
    <cfRule type="cellIs" dxfId="968" priority="28" stopIfTrue="1" operator="equal">
      <formula>"HAVO-VWO"</formula>
    </cfRule>
    <cfRule type="cellIs" dxfId="967" priority="26" stopIfTrue="1" operator="equal">
      <formula>"VWO"</formula>
    </cfRule>
    <cfRule type="cellIs" dxfId="966" priority="27" stopIfTrue="1" operator="equal">
      <formula>"HAVO"</formula>
    </cfRule>
  </conditionalFormatting>
  <conditionalFormatting sqref="AG36:AG39">
    <cfRule type="expression" dxfId="965" priority="30">
      <formula>$N36="ja"</formula>
    </cfRule>
    <cfRule type="expression" dxfId="964" priority="29">
      <formula>$N36="nee"</formula>
    </cfRule>
  </conditionalFormatting>
  <conditionalFormatting sqref="AH4:AH39">
    <cfRule type="cellIs" dxfId="963" priority="1" operator="equal">
      <formula>"nee"</formula>
    </cfRule>
    <cfRule type="cellIs" dxfId="962" priority="2" operator="equal">
      <formula>"ja"</formula>
    </cfRule>
  </conditionalFormatting>
  <dataValidations count="3">
    <dataValidation type="list" allowBlank="1" showInputMessage="1" showErrorMessage="1" sqref="E4:E39 G4:G39 K4:K39" xr:uid="{00000000-0002-0000-2200-000000000000}">
      <formula1>"PRO/BB,BB,BB/KB,KB,KB/TL,TL,TL/HAVO,HAVO,HAVO/VWO,VWO,"</formula1>
    </dataValidation>
    <dataValidation type="list" allowBlank="1" showInputMessage="1" showErrorMessage="1" sqref="N4:N39 AH4:AH39" xr:uid="{00000000-0002-0000-2200-000001000000}">
      <formula1>"ja,nee,"</formula1>
    </dataValidation>
    <dataValidation type="list" allowBlank="1" showInputMessage="1" showErrorMessage="1" sqref="AG4:AG39" xr:uid="{D266EF2A-60F4-45F3-972A-1FE7B28C29A2}">
      <formula1>"PRO/BB,BB,BB/KB,KB,KB/TL,TL,TL/HAVO,HAVO,HAVO/VWO,VWO,VWO+,"</formula1>
    </dataValidation>
  </dataValidations>
  <pageMargins left="0.39370078740157483" right="0.23622047244094491" top="0.59055118110236227" bottom="0.23622047244094491" header="0.27559055118110237" footer="0.15748031496062992"/>
  <pageSetup paperSize="9" scale="62" orientation="landscape" r:id="rId1"/>
  <headerFooter alignWithMargins="0">
    <oddFooter>&amp;R© www.meesterharrie.nl</oddFooter>
  </headerFooter>
  <colBreaks count="1" manualBreakCount="1">
    <brk id="34" max="39" man="1"/>
  </colBreaks>
  <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827D-49F2-4544-9613-78DBD91E1C6A}">
  <dimension ref="B3:AA51"/>
  <sheetViews>
    <sheetView showGridLines="0" showRowColHeaders="0" zoomScale="75" zoomScaleNormal="75" workbookViewId="0">
      <selection activeCell="O24" sqref="O24:AA24"/>
    </sheetView>
  </sheetViews>
  <sheetFormatPr defaultColWidth="9.1796875" defaultRowHeight="12.5" x14ac:dyDescent="0.25"/>
  <cols>
    <col min="1" max="1" width="9.1796875" style="51"/>
    <col min="2" max="2" width="4" style="54" customWidth="1"/>
    <col min="3" max="3" width="20.7265625" style="51" bestFit="1" customWidth="1"/>
    <col min="4" max="4" width="10.54296875" style="51" bestFit="1" customWidth="1"/>
    <col min="5" max="5" width="10.7265625" style="720" customWidth="1"/>
    <col min="6" max="6" width="10.7265625" style="721" customWidth="1"/>
    <col min="7" max="8" width="10.7265625" style="51" customWidth="1"/>
    <col min="9" max="12" width="10.7265625" style="54" customWidth="1"/>
    <col min="13" max="13" width="16" style="54" bestFit="1" customWidth="1"/>
    <col min="14" max="14" width="21.1796875" style="54" customWidth="1"/>
    <col min="15" max="16384" width="9.1796875" style="51"/>
  </cols>
  <sheetData>
    <row r="3" spans="2:27" ht="15.5" x14ac:dyDescent="0.35">
      <c r="B3" s="870"/>
      <c r="C3" s="870"/>
      <c r="D3" s="870"/>
      <c r="E3" s="870"/>
      <c r="F3" s="1199" t="s">
        <v>331</v>
      </c>
      <c r="G3" s="1199"/>
      <c r="H3" s="1199"/>
      <c r="I3" s="1199"/>
      <c r="J3" s="1199"/>
      <c r="K3" s="1199"/>
      <c r="L3" s="870"/>
      <c r="M3" s="870"/>
      <c r="N3" s="718"/>
    </row>
    <row r="4" spans="2:27" x14ac:dyDescent="0.25">
      <c r="C4" s="501" t="s">
        <v>255</v>
      </c>
      <c r="D4" s="501"/>
      <c r="E4" s="855">
        <v>44362</v>
      </c>
      <c r="F4" s="54"/>
      <c r="G4" s="54"/>
      <c r="H4" s="54"/>
    </row>
    <row r="5" spans="2:27" ht="13" thickBot="1" x14ac:dyDescent="0.3">
      <c r="B5" s="719"/>
    </row>
    <row r="6" spans="2:27" ht="13" thickBot="1" x14ac:dyDescent="0.3">
      <c r="B6" s="722"/>
      <c r="C6" s="723" t="s">
        <v>332</v>
      </c>
      <c r="D6" s="723"/>
      <c r="E6" s="724" t="s">
        <v>333</v>
      </c>
      <c r="F6" s="724" t="s">
        <v>334</v>
      </c>
      <c r="G6" s="724" t="s">
        <v>335</v>
      </c>
      <c r="H6" s="724" t="s">
        <v>335</v>
      </c>
      <c r="I6" s="1200" t="s">
        <v>336</v>
      </c>
      <c r="J6" s="1201"/>
      <c r="K6" s="725" t="s">
        <v>337</v>
      </c>
      <c r="L6" s="726" t="s">
        <v>338</v>
      </c>
      <c r="M6" s="725" t="s">
        <v>339</v>
      </c>
      <c r="N6" s="1202" t="s">
        <v>340</v>
      </c>
      <c r="O6" s="1203"/>
      <c r="P6" s="727"/>
      <c r="Q6" s="727"/>
      <c r="R6" s="727"/>
      <c r="S6" s="727"/>
      <c r="T6" s="727"/>
      <c r="U6" s="727"/>
      <c r="V6" s="727"/>
      <c r="W6" s="727"/>
      <c r="X6" s="727"/>
      <c r="Y6" s="727"/>
      <c r="Z6" s="727"/>
      <c r="AA6" s="728"/>
    </row>
    <row r="7" spans="2:27" ht="13" thickBot="1" x14ac:dyDescent="0.3">
      <c r="B7" s="729"/>
      <c r="C7" s="730"/>
      <c r="D7" s="730"/>
      <c r="E7" s="731" t="s">
        <v>341</v>
      </c>
      <c r="F7" s="731" t="s">
        <v>342</v>
      </c>
      <c r="G7" s="731" t="s">
        <v>343</v>
      </c>
      <c r="H7" s="731" t="s">
        <v>344</v>
      </c>
      <c r="I7" s="871" t="s">
        <v>345</v>
      </c>
      <c r="J7" s="871" t="s">
        <v>346</v>
      </c>
      <c r="K7" s="732"/>
      <c r="L7" s="733"/>
      <c r="M7" s="732"/>
      <c r="N7" s="734"/>
      <c r="O7" s="735"/>
      <c r="P7" s="735"/>
      <c r="Q7" s="735"/>
      <c r="R7" s="735"/>
      <c r="S7" s="735"/>
      <c r="T7" s="735"/>
      <c r="U7" s="735"/>
      <c r="V7" s="735"/>
      <c r="W7" s="735"/>
      <c r="X7" s="735"/>
      <c r="Y7" s="735"/>
      <c r="Z7" s="735"/>
      <c r="AA7" s="736"/>
    </row>
    <row r="8" spans="2:27" ht="13" thickBot="1" x14ac:dyDescent="0.3">
      <c r="B8" s="737"/>
      <c r="C8" s="738"/>
      <c r="D8" s="861" t="s">
        <v>347</v>
      </c>
      <c r="E8" s="739" t="s">
        <v>106</v>
      </c>
      <c r="F8" s="740" t="s">
        <v>106</v>
      </c>
      <c r="G8" s="741" t="s">
        <v>106</v>
      </c>
      <c r="H8" s="741" t="s">
        <v>106</v>
      </c>
      <c r="I8" s="742" t="s">
        <v>348</v>
      </c>
      <c r="J8" s="743" t="s">
        <v>106</v>
      </c>
      <c r="K8" s="742"/>
      <c r="L8" s="744"/>
      <c r="M8" s="745"/>
      <c r="N8" s="859"/>
      <c r="O8" s="735"/>
      <c r="P8" s="735"/>
      <c r="Q8" s="735"/>
      <c r="R8" s="735"/>
      <c r="S8" s="735"/>
      <c r="T8" s="735"/>
      <c r="U8" s="735"/>
      <c r="V8" s="735"/>
      <c r="W8" s="735"/>
      <c r="X8" s="735"/>
      <c r="Y8" s="735"/>
      <c r="Z8" s="735"/>
      <c r="AA8" s="736"/>
    </row>
    <row r="9" spans="2:27" x14ac:dyDescent="0.25">
      <c r="B9" s="746">
        <v>1</v>
      </c>
      <c r="C9" s="747" t="str">
        <f>BEGINBLAD!C4</f>
        <v>leerling 1</v>
      </c>
      <c r="D9" s="862"/>
      <c r="E9" s="748"/>
      <c r="F9" s="749"/>
      <c r="G9" s="750"/>
      <c r="H9" s="748"/>
      <c r="I9" s="749"/>
      <c r="J9" s="748"/>
      <c r="K9" s="751"/>
      <c r="L9" s="751"/>
      <c r="M9" s="748"/>
      <c r="N9" s="858" t="str">
        <f t="shared" ref="N9:N43" si="0">C9</f>
        <v>leerling 1</v>
      </c>
      <c r="O9" s="1204"/>
      <c r="P9" s="1205"/>
      <c r="Q9" s="1205"/>
      <c r="R9" s="1205"/>
      <c r="S9" s="1205"/>
      <c r="T9" s="1205"/>
      <c r="U9" s="1205"/>
      <c r="V9" s="1205"/>
      <c r="W9" s="1205"/>
      <c r="X9" s="1205"/>
      <c r="Y9" s="1205"/>
      <c r="Z9" s="1205"/>
      <c r="AA9" s="1206"/>
    </row>
    <row r="10" spans="2:27" x14ac:dyDescent="0.25">
      <c r="B10" s="752">
        <v>2</v>
      </c>
      <c r="C10" s="753" t="str">
        <f>BEGINBLAD!C5</f>
        <v>leerling 2</v>
      </c>
      <c r="D10" s="863"/>
      <c r="E10" s="754"/>
      <c r="F10" s="755"/>
      <c r="G10" s="756"/>
      <c r="H10" s="754"/>
      <c r="I10" s="755"/>
      <c r="J10" s="754"/>
      <c r="K10" s="757"/>
      <c r="L10" s="757"/>
      <c r="M10" s="754"/>
      <c r="N10" s="856" t="str">
        <f t="shared" si="0"/>
        <v>leerling 2</v>
      </c>
      <c r="O10" s="1196"/>
      <c r="P10" s="1197"/>
      <c r="Q10" s="1197"/>
      <c r="R10" s="1197"/>
      <c r="S10" s="1197"/>
      <c r="T10" s="1197"/>
      <c r="U10" s="1197"/>
      <c r="V10" s="1197"/>
      <c r="W10" s="1197"/>
      <c r="X10" s="1197"/>
      <c r="Y10" s="1197"/>
      <c r="Z10" s="1197"/>
      <c r="AA10" s="1198"/>
    </row>
    <row r="11" spans="2:27" x14ac:dyDescent="0.25">
      <c r="B11" s="752">
        <v>3</v>
      </c>
      <c r="C11" s="753" t="str">
        <f>BEGINBLAD!C6</f>
        <v>leerling 3</v>
      </c>
      <c r="D11" s="863"/>
      <c r="E11" s="754"/>
      <c r="F11" s="755"/>
      <c r="G11" s="756"/>
      <c r="H11" s="754"/>
      <c r="I11" s="755"/>
      <c r="J11" s="754"/>
      <c r="K11" s="757"/>
      <c r="L11" s="757"/>
      <c r="M11" s="754"/>
      <c r="N11" s="856" t="str">
        <f t="shared" si="0"/>
        <v>leerling 3</v>
      </c>
      <c r="O11" s="1196"/>
      <c r="P11" s="1197"/>
      <c r="Q11" s="1197"/>
      <c r="R11" s="1197"/>
      <c r="S11" s="1197"/>
      <c r="T11" s="1197"/>
      <c r="U11" s="1197"/>
      <c r="V11" s="1197"/>
      <c r="W11" s="1197"/>
      <c r="X11" s="1197"/>
      <c r="Y11" s="1197"/>
      <c r="Z11" s="1197"/>
      <c r="AA11" s="1198"/>
    </row>
    <row r="12" spans="2:27" x14ac:dyDescent="0.25">
      <c r="B12" s="752">
        <v>4</v>
      </c>
      <c r="C12" s="753" t="str">
        <f>BEGINBLAD!C7</f>
        <v>leerling 4</v>
      </c>
      <c r="D12" s="863"/>
      <c r="E12" s="754"/>
      <c r="F12" s="755"/>
      <c r="G12" s="756"/>
      <c r="H12" s="754"/>
      <c r="I12" s="755"/>
      <c r="J12" s="754"/>
      <c r="K12" s="757"/>
      <c r="L12" s="757"/>
      <c r="M12" s="754"/>
      <c r="N12" s="856" t="str">
        <f t="shared" si="0"/>
        <v>leerling 4</v>
      </c>
      <c r="O12" s="1196"/>
      <c r="P12" s="1197"/>
      <c r="Q12" s="1197"/>
      <c r="R12" s="1197"/>
      <c r="S12" s="1197"/>
      <c r="T12" s="1197"/>
      <c r="U12" s="1197"/>
      <c r="V12" s="1197"/>
      <c r="W12" s="1197"/>
      <c r="X12" s="1197"/>
      <c r="Y12" s="1197"/>
      <c r="Z12" s="1197"/>
      <c r="AA12" s="1198"/>
    </row>
    <row r="13" spans="2:27" x14ac:dyDescent="0.25">
      <c r="B13" s="752">
        <v>5</v>
      </c>
      <c r="C13" s="753" t="str">
        <f>BEGINBLAD!C8</f>
        <v>leerling 5</v>
      </c>
      <c r="D13" s="863"/>
      <c r="E13" s="754"/>
      <c r="F13" s="755"/>
      <c r="G13" s="756"/>
      <c r="H13" s="754"/>
      <c r="I13" s="755"/>
      <c r="J13" s="754"/>
      <c r="K13" s="757"/>
      <c r="L13" s="757"/>
      <c r="M13" s="754"/>
      <c r="N13" s="856" t="str">
        <f t="shared" si="0"/>
        <v>leerling 5</v>
      </c>
      <c r="O13" s="1196"/>
      <c r="P13" s="1197"/>
      <c r="Q13" s="1197"/>
      <c r="R13" s="1197"/>
      <c r="S13" s="1197"/>
      <c r="T13" s="1197"/>
      <c r="U13" s="1197"/>
      <c r="V13" s="1197"/>
      <c r="W13" s="1197"/>
      <c r="X13" s="1197"/>
      <c r="Y13" s="1197"/>
      <c r="Z13" s="1197"/>
      <c r="AA13" s="1198"/>
    </row>
    <row r="14" spans="2:27" x14ac:dyDescent="0.25">
      <c r="B14" s="752">
        <v>6</v>
      </c>
      <c r="C14" s="753" t="str">
        <f>BEGINBLAD!C9</f>
        <v>leerling 6</v>
      </c>
      <c r="D14" s="863"/>
      <c r="E14" s="754"/>
      <c r="F14" s="755"/>
      <c r="G14" s="756"/>
      <c r="H14" s="754"/>
      <c r="I14" s="755"/>
      <c r="J14" s="754"/>
      <c r="K14" s="757"/>
      <c r="L14" s="757"/>
      <c r="M14" s="754"/>
      <c r="N14" s="856" t="str">
        <f t="shared" si="0"/>
        <v>leerling 6</v>
      </c>
      <c r="O14" s="1196"/>
      <c r="P14" s="1197"/>
      <c r="Q14" s="1197"/>
      <c r="R14" s="1197"/>
      <c r="S14" s="1197"/>
      <c r="T14" s="1197"/>
      <c r="U14" s="1197"/>
      <c r="V14" s="1197"/>
      <c r="W14" s="1197"/>
      <c r="X14" s="1197"/>
      <c r="Y14" s="1197"/>
      <c r="Z14" s="1197"/>
      <c r="AA14" s="1198"/>
    </row>
    <row r="15" spans="2:27" x14ac:dyDescent="0.25">
      <c r="B15" s="752">
        <v>7</v>
      </c>
      <c r="C15" s="753" t="str">
        <f>BEGINBLAD!C10</f>
        <v>leerling 7</v>
      </c>
      <c r="D15" s="863"/>
      <c r="E15" s="754"/>
      <c r="F15" s="755"/>
      <c r="G15" s="756"/>
      <c r="H15" s="754"/>
      <c r="I15" s="755"/>
      <c r="J15" s="754"/>
      <c r="K15" s="757"/>
      <c r="L15" s="757"/>
      <c r="M15" s="754"/>
      <c r="N15" s="856" t="str">
        <f t="shared" si="0"/>
        <v>leerling 7</v>
      </c>
      <c r="O15" s="1196"/>
      <c r="P15" s="1197"/>
      <c r="Q15" s="1197"/>
      <c r="R15" s="1197"/>
      <c r="S15" s="1197"/>
      <c r="T15" s="1197"/>
      <c r="U15" s="1197"/>
      <c r="V15" s="1197"/>
      <c r="W15" s="1197"/>
      <c r="X15" s="1197"/>
      <c r="Y15" s="1197"/>
      <c r="Z15" s="1197"/>
      <c r="AA15" s="1198"/>
    </row>
    <row r="16" spans="2:27" x14ac:dyDescent="0.25">
      <c r="B16" s="752">
        <v>8</v>
      </c>
      <c r="C16" s="753" t="str">
        <f>BEGINBLAD!C11</f>
        <v>leerling 8</v>
      </c>
      <c r="D16" s="863"/>
      <c r="E16" s="754"/>
      <c r="F16" s="755"/>
      <c r="G16" s="756"/>
      <c r="H16" s="754"/>
      <c r="I16" s="755"/>
      <c r="J16" s="754"/>
      <c r="K16" s="757"/>
      <c r="L16" s="757"/>
      <c r="M16" s="754"/>
      <c r="N16" s="856" t="str">
        <f t="shared" si="0"/>
        <v>leerling 8</v>
      </c>
      <c r="O16" s="1196"/>
      <c r="P16" s="1197"/>
      <c r="Q16" s="1197"/>
      <c r="R16" s="1197"/>
      <c r="S16" s="1197"/>
      <c r="T16" s="1197"/>
      <c r="U16" s="1197"/>
      <c r="V16" s="1197"/>
      <c r="W16" s="1197"/>
      <c r="X16" s="1197"/>
      <c r="Y16" s="1197"/>
      <c r="Z16" s="1197"/>
      <c r="AA16" s="1198"/>
    </row>
    <row r="17" spans="2:27" x14ac:dyDescent="0.25">
      <c r="B17" s="752">
        <v>9</v>
      </c>
      <c r="C17" s="753">
        <f>BEGINBLAD!C12</f>
        <v>0</v>
      </c>
      <c r="D17" s="863"/>
      <c r="E17" s="754"/>
      <c r="F17" s="755"/>
      <c r="G17" s="756"/>
      <c r="H17" s="754"/>
      <c r="I17" s="755"/>
      <c r="J17" s="754"/>
      <c r="K17" s="757"/>
      <c r="L17" s="757"/>
      <c r="M17" s="754"/>
      <c r="N17" s="856">
        <f t="shared" si="0"/>
        <v>0</v>
      </c>
      <c r="O17" s="1196"/>
      <c r="P17" s="1197"/>
      <c r="Q17" s="1197"/>
      <c r="R17" s="1197"/>
      <c r="S17" s="1197"/>
      <c r="T17" s="1197"/>
      <c r="U17" s="1197"/>
      <c r="V17" s="1197"/>
      <c r="W17" s="1197"/>
      <c r="X17" s="1197"/>
      <c r="Y17" s="1197"/>
      <c r="Z17" s="1197"/>
      <c r="AA17" s="1198"/>
    </row>
    <row r="18" spans="2:27" x14ac:dyDescent="0.25">
      <c r="B18" s="752">
        <v>10</v>
      </c>
      <c r="C18" s="753">
        <f>BEGINBLAD!C13</f>
        <v>0</v>
      </c>
      <c r="D18" s="863"/>
      <c r="E18" s="754"/>
      <c r="F18" s="755"/>
      <c r="G18" s="756"/>
      <c r="H18" s="754"/>
      <c r="I18" s="755"/>
      <c r="J18" s="754"/>
      <c r="K18" s="757"/>
      <c r="L18" s="757"/>
      <c r="M18" s="754"/>
      <c r="N18" s="856">
        <f t="shared" si="0"/>
        <v>0</v>
      </c>
      <c r="O18" s="1196"/>
      <c r="P18" s="1197"/>
      <c r="Q18" s="1197"/>
      <c r="R18" s="1197"/>
      <c r="S18" s="1197"/>
      <c r="T18" s="1197"/>
      <c r="U18" s="1197"/>
      <c r="V18" s="1197"/>
      <c r="W18" s="1197"/>
      <c r="X18" s="1197"/>
      <c r="Y18" s="1197"/>
      <c r="Z18" s="1197"/>
      <c r="AA18" s="1198"/>
    </row>
    <row r="19" spans="2:27" x14ac:dyDescent="0.25">
      <c r="B19" s="752">
        <v>11</v>
      </c>
      <c r="C19" s="753">
        <f>BEGINBLAD!C14</f>
        <v>0</v>
      </c>
      <c r="D19" s="863"/>
      <c r="E19" s="754"/>
      <c r="F19" s="755"/>
      <c r="G19" s="756"/>
      <c r="H19" s="754"/>
      <c r="I19" s="755"/>
      <c r="J19" s="754"/>
      <c r="K19" s="757"/>
      <c r="L19" s="757"/>
      <c r="M19" s="754"/>
      <c r="N19" s="856">
        <f t="shared" si="0"/>
        <v>0</v>
      </c>
      <c r="O19" s="1196"/>
      <c r="P19" s="1197"/>
      <c r="Q19" s="1197"/>
      <c r="R19" s="1197"/>
      <c r="S19" s="1197"/>
      <c r="T19" s="1197"/>
      <c r="U19" s="1197"/>
      <c r="V19" s="1197"/>
      <c r="W19" s="1197"/>
      <c r="X19" s="1197"/>
      <c r="Y19" s="1197"/>
      <c r="Z19" s="1197"/>
      <c r="AA19" s="1198"/>
    </row>
    <row r="20" spans="2:27" x14ac:dyDescent="0.25">
      <c r="B20" s="752">
        <v>12</v>
      </c>
      <c r="C20" s="753">
        <f>BEGINBLAD!C15</f>
        <v>0</v>
      </c>
      <c r="D20" s="863"/>
      <c r="E20" s="754"/>
      <c r="F20" s="755"/>
      <c r="G20" s="756"/>
      <c r="H20" s="754"/>
      <c r="I20" s="755"/>
      <c r="J20" s="754"/>
      <c r="K20" s="757"/>
      <c r="L20" s="757"/>
      <c r="M20" s="754"/>
      <c r="N20" s="856">
        <f t="shared" si="0"/>
        <v>0</v>
      </c>
      <c r="O20" s="1196"/>
      <c r="P20" s="1197"/>
      <c r="Q20" s="1197"/>
      <c r="R20" s="1197"/>
      <c r="S20" s="1197"/>
      <c r="T20" s="1197"/>
      <c r="U20" s="1197"/>
      <c r="V20" s="1197"/>
      <c r="W20" s="1197"/>
      <c r="X20" s="1197"/>
      <c r="Y20" s="1197"/>
      <c r="Z20" s="1197"/>
      <c r="AA20" s="1198"/>
    </row>
    <row r="21" spans="2:27" x14ac:dyDescent="0.25">
      <c r="B21" s="752">
        <v>13</v>
      </c>
      <c r="C21" s="753">
        <f>BEGINBLAD!C16</f>
        <v>0</v>
      </c>
      <c r="D21" s="863"/>
      <c r="E21" s="754"/>
      <c r="F21" s="755"/>
      <c r="G21" s="756"/>
      <c r="H21" s="754"/>
      <c r="I21" s="755"/>
      <c r="J21" s="754"/>
      <c r="K21" s="757"/>
      <c r="L21" s="757"/>
      <c r="M21" s="754"/>
      <c r="N21" s="856">
        <f t="shared" si="0"/>
        <v>0</v>
      </c>
      <c r="O21" s="1196"/>
      <c r="P21" s="1197"/>
      <c r="Q21" s="1197"/>
      <c r="R21" s="1197"/>
      <c r="S21" s="1197"/>
      <c r="T21" s="1197"/>
      <c r="U21" s="1197"/>
      <c r="V21" s="1197"/>
      <c r="W21" s="1197"/>
      <c r="X21" s="1197"/>
      <c r="Y21" s="1197"/>
      <c r="Z21" s="1197"/>
      <c r="AA21" s="1198"/>
    </row>
    <row r="22" spans="2:27" x14ac:dyDescent="0.25">
      <c r="B22" s="752">
        <v>14</v>
      </c>
      <c r="C22" s="753">
        <f>BEGINBLAD!C17</f>
        <v>0</v>
      </c>
      <c r="D22" s="863"/>
      <c r="E22" s="754"/>
      <c r="F22" s="755"/>
      <c r="G22" s="756"/>
      <c r="H22" s="754"/>
      <c r="I22" s="755"/>
      <c r="J22" s="754"/>
      <c r="K22" s="757"/>
      <c r="L22" s="757"/>
      <c r="M22" s="754"/>
      <c r="N22" s="856">
        <f t="shared" si="0"/>
        <v>0</v>
      </c>
      <c r="O22" s="1196"/>
      <c r="P22" s="1197"/>
      <c r="Q22" s="1197"/>
      <c r="R22" s="1197"/>
      <c r="S22" s="1197"/>
      <c r="T22" s="1197"/>
      <c r="U22" s="1197"/>
      <c r="V22" s="1197"/>
      <c r="W22" s="1197"/>
      <c r="X22" s="1197"/>
      <c r="Y22" s="1197"/>
      <c r="Z22" s="1197"/>
      <c r="AA22" s="1198"/>
    </row>
    <row r="23" spans="2:27" x14ac:dyDescent="0.25">
      <c r="B23" s="752">
        <v>15</v>
      </c>
      <c r="C23" s="753">
        <f>BEGINBLAD!C18</f>
        <v>0</v>
      </c>
      <c r="D23" s="863"/>
      <c r="E23" s="754"/>
      <c r="F23" s="755"/>
      <c r="G23" s="756"/>
      <c r="H23" s="754"/>
      <c r="I23" s="755"/>
      <c r="J23" s="754"/>
      <c r="K23" s="757"/>
      <c r="L23" s="757"/>
      <c r="M23" s="754"/>
      <c r="N23" s="856">
        <f t="shared" si="0"/>
        <v>0</v>
      </c>
      <c r="O23" s="1196"/>
      <c r="P23" s="1197"/>
      <c r="Q23" s="1197"/>
      <c r="R23" s="1197"/>
      <c r="S23" s="1197"/>
      <c r="T23" s="1197"/>
      <c r="U23" s="1197"/>
      <c r="V23" s="1197"/>
      <c r="W23" s="1197"/>
      <c r="X23" s="1197"/>
      <c r="Y23" s="1197"/>
      <c r="Z23" s="1197"/>
      <c r="AA23" s="1198"/>
    </row>
    <row r="24" spans="2:27" x14ac:dyDescent="0.25">
      <c r="B24" s="752">
        <v>16</v>
      </c>
      <c r="C24" s="753">
        <f>BEGINBLAD!C19</f>
        <v>0</v>
      </c>
      <c r="D24" s="863"/>
      <c r="E24" s="754"/>
      <c r="F24" s="755"/>
      <c r="G24" s="756"/>
      <c r="H24" s="754"/>
      <c r="I24" s="755"/>
      <c r="J24" s="754"/>
      <c r="K24" s="757"/>
      <c r="L24" s="757"/>
      <c r="M24" s="754"/>
      <c r="N24" s="856">
        <f t="shared" si="0"/>
        <v>0</v>
      </c>
      <c r="O24" s="1196"/>
      <c r="P24" s="1197"/>
      <c r="Q24" s="1197"/>
      <c r="R24" s="1197"/>
      <c r="S24" s="1197"/>
      <c r="T24" s="1197"/>
      <c r="U24" s="1197"/>
      <c r="V24" s="1197"/>
      <c r="W24" s="1197"/>
      <c r="X24" s="1197"/>
      <c r="Y24" s="1197"/>
      <c r="Z24" s="1197"/>
      <c r="AA24" s="1198"/>
    </row>
    <row r="25" spans="2:27" x14ac:dyDescent="0.25">
      <c r="B25" s="752">
        <v>17</v>
      </c>
      <c r="C25" s="753">
        <f>BEGINBLAD!C20</f>
        <v>0</v>
      </c>
      <c r="D25" s="863"/>
      <c r="E25" s="754"/>
      <c r="F25" s="755"/>
      <c r="G25" s="756"/>
      <c r="H25" s="754"/>
      <c r="I25" s="755"/>
      <c r="J25" s="754"/>
      <c r="K25" s="757"/>
      <c r="L25" s="757"/>
      <c r="M25" s="754"/>
      <c r="N25" s="856">
        <f t="shared" si="0"/>
        <v>0</v>
      </c>
      <c r="O25" s="1196"/>
      <c r="P25" s="1197"/>
      <c r="Q25" s="1197"/>
      <c r="R25" s="1197"/>
      <c r="S25" s="1197"/>
      <c r="T25" s="1197"/>
      <c r="U25" s="1197"/>
      <c r="V25" s="1197"/>
      <c r="W25" s="1197"/>
      <c r="X25" s="1197"/>
      <c r="Y25" s="1197"/>
      <c r="Z25" s="1197"/>
      <c r="AA25" s="1198"/>
    </row>
    <row r="26" spans="2:27" x14ac:dyDescent="0.25">
      <c r="B26" s="752">
        <v>18</v>
      </c>
      <c r="C26" s="753">
        <f>BEGINBLAD!C21</f>
        <v>0</v>
      </c>
      <c r="D26" s="863"/>
      <c r="E26" s="754"/>
      <c r="F26" s="755"/>
      <c r="G26" s="756"/>
      <c r="H26" s="754"/>
      <c r="I26" s="755"/>
      <c r="J26" s="754"/>
      <c r="K26" s="757"/>
      <c r="L26" s="757"/>
      <c r="M26" s="754"/>
      <c r="N26" s="856">
        <f t="shared" si="0"/>
        <v>0</v>
      </c>
      <c r="O26" s="1196"/>
      <c r="P26" s="1197"/>
      <c r="Q26" s="1197"/>
      <c r="R26" s="1197"/>
      <c r="S26" s="1197"/>
      <c r="T26" s="1197"/>
      <c r="U26" s="1197"/>
      <c r="V26" s="1197"/>
      <c r="W26" s="1197"/>
      <c r="X26" s="1197"/>
      <c r="Y26" s="1197"/>
      <c r="Z26" s="1197"/>
      <c r="AA26" s="1198"/>
    </row>
    <row r="27" spans="2:27" x14ac:dyDescent="0.25">
      <c r="B27" s="752">
        <v>19</v>
      </c>
      <c r="C27" s="753">
        <f>BEGINBLAD!C22</f>
        <v>0</v>
      </c>
      <c r="D27" s="863"/>
      <c r="E27" s="754"/>
      <c r="F27" s="755"/>
      <c r="G27" s="756"/>
      <c r="H27" s="754"/>
      <c r="I27" s="755"/>
      <c r="J27" s="754"/>
      <c r="K27" s="757"/>
      <c r="L27" s="757"/>
      <c r="M27" s="754"/>
      <c r="N27" s="856">
        <f t="shared" si="0"/>
        <v>0</v>
      </c>
      <c r="O27" s="1196"/>
      <c r="P27" s="1197"/>
      <c r="Q27" s="1197"/>
      <c r="R27" s="1197"/>
      <c r="S27" s="1197"/>
      <c r="T27" s="1197"/>
      <c r="U27" s="1197"/>
      <c r="V27" s="1197"/>
      <c r="W27" s="1197"/>
      <c r="X27" s="1197"/>
      <c r="Y27" s="1197"/>
      <c r="Z27" s="1197"/>
      <c r="AA27" s="1198"/>
    </row>
    <row r="28" spans="2:27" x14ac:dyDescent="0.25">
      <c r="B28" s="752">
        <v>20</v>
      </c>
      <c r="C28" s="753">
        <f>BEGINBLAD!C23</f>
        <v>0</v>
      </c>
      <c r="D28" s="863"/>
      <c r="E28" s="754"/>
      <c r="F28" s="755"/>
      <c r="G28" s="756"/>
      <c r="H28" s="754"/>
      <c r="I28" s="755"/>
      <c r="J28" s="754"/>
      <c r="K28" s="757"/>
      <c r="L28" s="757"/>
      <c r="M28" s="754"/>
      <c r="N28" s="856">
        <f t="shared" si="0"/>
        <v>0</v>
      </c>
      <c r="O28" s="1196"/>
      <c r="P28" s="1197"/>
      <c r="Q28" s="1197"/>
      <c r="R28" s="1197"/>
      <c r="S28" s="1197"/>
      <c r="T28" s="1197"/>
      <c r="U28" s="1197"/>
      <c r="V28" s="1197"/>
      <c r="W28" s="1197"/>
      <c r="X28" s="1197"/>
      <c r="Y28" s="1197"/>
      <c r="Z28" s="1197"/>
      <c r="AA28" s="1198"/>
    </row>
    <row r="29" spans="2:27" x14ac:dyDescent="0.25">
      <c r="B29" s="752">
        <v>21</v>
      </c>
      <c r="C29" s="753">
        <f>BEGINBLAD!C24</f>
        <v>0</v>
      </c>
      <c r="D29" s="863"/>
      <c r="E29" s="754"/>
      <c r="F29" s="755"/>
      <c r="G29" s="756"/>
      <c r="H29" s="754"/>
      <c r="I29" s="755"/>
      <c r="J29" s="754"/>
      <c r="K29" s="757"/>
      <c r="L29" s="757"/>
      <c r="M29" s="754"/>
      <c r="N29" s="856">
        <f t="shared" si="0"/>
        <v>0</v>
      </c>
      <c r="O29" s="1196"/>
      <c r="P29" s="1197"/>
      <c r="Q29" s="1197"/>
      <c r="R29" s="1197"/>
      <c r="S29" s="1197"/>
      <c r="T29" s="1197"/>
      <c r="U29" s="1197"/>
      <c r="V29" s="1197"/>
      <c r="W29" s="1197"/>
      <c r="X29" s="1197"/>
      <c r="Y29" s="1197"/>
      <c r="Z29" s="1197"/>
      <c r="AA29" s="1198"/>
    </row>
    <row r="30" spans="2:27" x14ac:dyDescent="0.25">
      <c r="B30" s="752">
        <v>22</v>
      </c>
      <c r="C30" s="753">
        <f>BEGINBLAD!C25</f>
        <v>0</v>
      </c>
      <c r="D30" s="863"/>
      <c r="E30" s="754"/>
      <c r="F30" s="755"/>
      <c r="G30" s="756"/>
      <c r="H30" s="754"/>
      <c r="I30" s="755"/>
      <c r="J30" s="754"/>
      <c r="K30" s="757"/>
      <c r="L30" s="757"/>
      <c r="M30" s="754"/>
      <c r="N30" s="856">
        <f t="shared" si="0"/>
        <v>0</v>
      </c>
      <c r="O30" s="1196"/>
      <c r="P30" s="1197"/>
      <c r="Q30" s="1197"/>
      <c r="R30" s="1197"/>
      <c r="S30" s="1197"/>
      <c r="T30" s="1197"/>
      <c r="U30" s="1197"/>
      <c r="V30" s="1197"/>
      <c r="W30" s="1197"/>
      <c r="X30" s="1197"/>
      <c r="Y30" s="1197"/>
      <c r="Z30" s="1197"/>
      <c r="AA30" s="1198"/>
    </row>
    <row r="31" spans="2:27" x14ac:dyDescent="0.25">
      <c r="B31" s="752">
        <v>23</v>
      </c>
      <c r="C31" s="753">
        <f>BEGINBLAD!C26</f>
        <v>0</v>
      </c>
      <c r="D31" s="863"/>
      <c r="E31" s="754"/>
      <c r="F31" s="755"/>
      <c r="G31" s="756"/>
      <c r="H31" s="754"/>
      <c r="I31" s="755"/>
      <c r="J31" s="754"/>
      <c r="K31" s="757"/>
      <c r="L31" s="757"/>
      <c r="M31" s="754"/>
      <c r="N31" s="856">
        <f t="shared" si="0"/>
        <v>0</v>
      </c>
      <c r="O31" s="1196"/>
      <c r="P31" s="1197"/>
      <c r="Q31" s="1197"/>
      <c r="R31" s="1197"/>
      <c r="S31" s="1197"/>
      <c r="T31" s="1197"/>
      <c r="U31" s="1197"/>
      <c r="V31" s="1197"/>
      <c r="W31" s="1197"/>
      <c r="X31" s="1197"/>
      <c r="Y31" s="1197"/>
      <c r="Z31" s="1197"/>
      <c r="AA31" s="1198"/>
    </row>
    <row r="32" spans="2:27" x14ac:dyDescent="0.25">
      <c r="B32" s="752">
        <v>24</v>
      </c>
      <c r="C32" s="753">
        <f>BEGINBLAD!C27</f>
        <v>0</v>
      </c>
      <c r="D32" s="863"/>
      <c r="E32" s="754"/>
      <c r="F32" s="758"/>
      <c r="G32" s="756"/>
      <c r="H32" s="754"/>
      <c r="I32" s="755"/>
      <c r="J32" s="754"/>
      <c r="K32" s="757"/>
      <c r="L32" s="757"/>
      <c r="M32" s="754"/>
      <c r="N32" s="856">
        <f t="shared" si="0"/>
        <v>0</v>
      </c>
      <c r="O32" s="1196"/>
      <c r="P32" s="1197"/>
      <c r="Q32" s="1197"/>
      <c r="R32" s="1197"/>
      <c r="S32" s="1197"/>
      <c r="T32" s="1197"/>
      <c r="U32" s="1197"/>
      <c r="V32" s="1197"/>
      <c r="W32" s="1197"/>
      <c r="X32" s="1197"/>
      <c r="Y32" s="1197"/>
      <c r="Z32" s="1197"/>
      <c r="AA32" s="1198"/>
    </row>
    <row r="33" spans="2:27" x14ac:dyDescent="0.25">
      <c r="B33" s="752">
        <v>25</v>
      </c>
      <c r="C33" s="753">
        <f>BEGINBLAD!C28</f>
        <v>0</v>
      </c>
      <c r="D33" s="863"/>
      <c r="E33" s="754"/>
      <c r="F33" s="758"/>
      <c r="G33" s="756"/>
      <c r="H33" s="754"/>
      <c r="I33" s="755"/>
      <c r="J33" s="754"/>
      <c r="K33" s="757"/>
      <c r="L33" s="757"/>
      <c r="M33" s="754"/>
      <c r="N33" s="856">
        <f t="shared" si="0"/>
        <v>0</v>
      </c>
      <c r="O33" s="1196"/>
      <c r="P33" s="1197"/>
      <c r="Q33" s="1197"/>
      <c r="R33" s="1197"/>
      <c r="S33" s="1197"/>
      <c r="T33" s="1197"/>
      <c r="U33" s="1197"/>
      <c r="V33" s="1197"/>
      <c r="W33" s="1197"/>
      <c r="X33" s="1197"/>
      <c r="Y33" s="1197"/>
      <c r="Z33" s="1197"/>
      <c r="AA33" s="1198"/>
    </row>
    <row r="34" spans="2:27" x14ac:dyDescent="0.25">
      <c r="B34" s="752">
        <v>26</v>
      </c>
      <c r="C34" s="753">
        <f>BEGINBLAD!C29</f>
        <v>0</v>
      </c>
      <c r="D34" s="863"/>
      <c r="E34" s="754"/>
      <c r="F34" s="758"/>
      <c r="G34" s="756"/>
      <c r="H34" s="754"/>
      <c r="I34" s="755"/>
      <c r="J34" s="754"/>
      <c r="K34" s="757"/>
      <c r="L34" s="757"/>
      <c r="M34" s="754"/>
      <c r="N34" s="856">
        <f t="shared" si="0"/>
        <v>0</v>
      </c>
      <c r="O34" s="1196"/>
      <c r="P34" s="1197"/>
      <c r="Q34" s="1197"/>
      <c r="R34" s="1197"/>
      <c r="S34" s="1197"/>
      <c r="T34" s="1197"/>
      <c r="U34" s="1197"/>
      <c r="V34" s="1197"/>
      <c r="W34" s="1197"/>
      <c r="X34" s="1197"/>
      <c r="Y34" s="1197"/>
      <c r="Z34" s="1197"/>
      <c r="AA34" s="1198"/>
    </row>
    <row r="35" spans="2:27" x14ac:dyDescent="0.25">
      <c r="B35" s="752">
        <v>27</v>
      </c>
      <c r="C35" s="753">
        <f>BEGINBLAD!C30</f>
        <v>0</v>
      </c>
      <c r="D35" s="863"/>
      <c r="E35" s="754"/>
      <c r="F35" s="758"/>
      <c r="G35" s="756"/>
      <c r="H35" s="754"/>
      <c r="I35" s="755"/>
      <c r="J35" s="754"/>
      <c r="K35" s="757"/>
      <c r="L35" s="757"/>
      <c r="M35" s="754"/>
      <c r="N35" s="856">
        <f t="shared" si="0"/>
        <v>0</v>
      </c>
      <c r="O35" s="1196"/>
      <c r="P35" s="1197"/>
      <c r="Q35" s="1197"/>
      <c r="R35" s="1197"/>
      <c r="S35" s="1197"/>
      <c r="T35" s="1197"/>
      <c r="U35" s="1197"/>
      <c r="V35" s="1197"/>
      <c r="W35" s="1197"/>
      <c r="X35" s="1197"/>
      <c r="Y35" s="1197"/>
      <c r="Z35" s="1197"/>
      <c r="AA35" s="1198"/>
    </row>
    <row r="36" spans="2:27" x14ac:dyDescent="0.25">
      <c r="B36" s="752">
        <v>28</v>
      </c>
      <c r="C36" s="753">
        <f>BEGINBLAD!C31</f>
        <v>0</v>
      </c>
      <c r="D36" s="863"/>
      <c r="E36" s="754"/>
      <c r="F36" s="758"/>
      <c r="G36" s="756"/>
      <c r="H36" s="754"/>
      <c r="I36" s="755"/>
      <c r="J36" s="754"/>
      <c r="K36" s="757"/>
      <c r="L36" s="757"/>
      <c r="M36" s="754"/>
      <c r="N36" s="856">
        <f t="shared" si="0"/>
        <v>0</v>
      </c>
      <c r="O36" s="1196"/>
      <c r="P36" s="1197"/>
      <c r="Q36" s="1197"/>
      <c r="R36" s="1197"/>
      <c r="S36" s="1197"/>
      <c r="T36" s="1197"/>
      <c r="U36" s="1197"/>
      <c r="V36" s="1197"/>
      <c r="W36" s="1197"/>
      <c r="X36" s="1197"/>
      <c r="Y36" s="1197"/>
      <c r="Z36" s="1197"/>
      <c r="AA36" s="1198"/>
    </row>
    <row r="37" spans="2:27" x14ac:dyDescent="0.25">
      <c r="B37" s="752">
        <v>29</v>
      </c>
      <c r="C37" s="753">
        <f>BEGINBLAD!C32</f>
        <v>0</v>
      </c>
      <c r="D37" s="863"/>
      <c r="E37" s="754"/>
      <c r="F37" s="758"/>
      <c r="G37" s="756"/>
      <c r="H37" s="754"/>
      <c r="I37" s="755"/>
      <c r="J37" s="754"/>
      <c r="K37" s="757"/>
      <c r="L37" s="757"/>
      <c r="M37" s="754"/>
      <c r="N37" s="856">
        <f t="shared" si="0"/>
        <v>0</v>
      </c>
      <c r="O37" s="1196"/>
      <c r="P37" s="1197"/>
      <c r="Q37" s="1197"/>
      <c r="R37" s="1197"/>
      <c r="S37" s="1197"/>
      <c r="T37" s="1197"/>
      <c r="U37" s="1197"/>
      <c r="V37" s="1197"/>
      <c r="W37" s="1197"/>
      <c r="X37" s="1197"/>
      <c r="Y37" s="1197"/>
      <c r="Z37" s="1197"/>
      <c r="AA37" s="1198"/>
    </row>
    <row r="38" spans="2:27" x14ac:dyDescent="0.25">
      <c r="B38" s="752">
        <v>30</v>
      </c>
      <c r="C38" s="753">
        <f>BEGINBLAD!C33</f>
        <v>0</v>
      </c>
      <c r="D38" s="863"/>
      <c r="E38" s="754"/>
      <c r="F38" s="758"/>
      <c r="G38" s="756"/>
      <c r="H38" s="754"/>
      <c r="I38" s="755"/>
      <c r="J38" s="754"/>
      <c r="K38" s="757"/>
      <c r="L38" s="757"/>
      <c r="M38" s="754"/>
      <c r="N38" s="856">
        <f t="shared" si="0"/>
        <v>0</v>
      </c>
      <c r="O38" s="1196"/>
      <c r="P38" s="1197"/>
      <c r="Q38" s="1197"/>
      <c r="R38" s="1197"/>
      <c r="S38" s="1197"/>
      <c r="T38" s="1197"/>
      <c r="U38" s="1197"/>
      <c r="V38" s="1197"/>
      <c r="W38" s="1197"/>
      <c r="X38" s="1197"/>
      <c r="Y38" s="1197"/>
      <c r="Z38" s="1197"/>
      <c r="AA38" s="1198"/>
    </row>
    <row r="39" spans="2:27" x14ac:dyDescent="0.25">
      <c r="B39" s="752">
        <v>31</v>
      </c>
      <c r="C39" s="753">
        <f>BEGINBLAD!C34</f>
        <v>0</v>
      </c>
      <c r="D39" s="863"/>
      <c r="E39" s="754"/>
      <c r="F39" s="758"/>
      <c r="G39" s="756"/>
      <c r="H39" s="754"/>
      <c r="I39" s="755"/>
      <c r="J39" s="754"/>
      <c r="K39" s="757"/>
      <c r="L39" s="757"/>
      <c r="M39" s="754"/>
      <c r="N39" s="856">
        <f t="shared" si="0"/>
        <v>0</v>
      </c>
      <c r="O39" s="1196"/>
      <c r="P39" s="1197"/>
      <c r="Q39" s="1197"/>
      <c r="R39" s="1197"/>
      <c r="S39" s="1197"/>
      <c r="T39" s="1197"/>
      <c r="U39" s="1197"/>
      <c r="V39" s="1197"/>
      <c r="W39" s="1197"/>
      <c r="X39" s="1197"/>
      <c r="Y39" s="1197"/>
      <c r="Z39" s="1197"/>
      <c r="AA39" s="1198"/>
    </row>
    <row r="40" spans="2:27" x14ac:dyDescent="0.25">
      <c r="B40" s="752">
        <v>32</v>
      </c>
      <c r="C40" s="753">
        <f>BEGINBLAD!C35</f>
        <v>0</v>
      </c>
      <c r="D40" s="863"/>
      <c r="E40" s="754"/>
      <c r="F40" s="758"/>
      <c r="G40" s="756"/>
      <c r="H40" s="754"/>
      <c r="I40" s="755"/>
      <c r="J40" s="754"/>
      <c r="K40" s="757"/>
      <c r="L40" s="757"/>
      <c r="M40" s="754"/>
      <c r="N40" s="856">
        <f t="shared" si="0"/>
        <v>0</v>
      </c>
      <c r="O40" s="1196"/>
      <c r="P40" s="1197"/>
      <c r="Q40" s="1197"/>
      <c r="R40" s="1197"/>
      <c r="S40" s="1197"/>
      <c r="T40" s="1197"/>
      <c r="U40" s="1197"/>
      <c r="V40" s="1197"/>
      <c r="W40" s="1197"/>
      <c r="X40" s="1197"/>
      <c r="Y40" s="1197"/>
      <c r="Z40" s="1197"/>
      <c r="AA40" s="1198"/>
    </row>
    <row r="41" spans="2:27" x14ac:dyDescent="0.25">
      <c r="B41" s="752">
        <v>33</v>
      </c>
      <c r="C41" s="753">
        <f>BEGINBLAD!C36</f>
        <v>0</v>
      </c>
      <c r="D41" s="863"/>
      <c r="E41" s="754"/>
      <c r="F41" s="758"/>
      <c r="G41" s="756"/>
      <c r="H41" s="754"/>
      <c r="I41" s="755"/>
      <c r="J41" s="754"/>
      <c r="K41" s="757"/>
      <c r="L41" s="757"/>
      <c r="M41" s="754"/>
      <c r="N41" s="856">
        <f t="shared" si="0"/>
        <v>0</v>
      </c>
      <c r="O41" s="1196"/>
      <c r="P41" s="1197"/>
      <c r="Q41" s="1197"/>
      <c r="R41" s="1197"/>
      <c r="S41" s="1197"/>
      <c r="T41" s="1197"/>
      <c r="U41" s="1197"/>
      <c r="V41" s="1197"/>
      <c r="W41" s="1197"/>
      <c r="X41" s="1197"/>
      <c r="Y41" s="1197"/>
      <c r="Z41" s="1197"/>
      <c r="AA41" s="1198"/>
    </row>
    <row r="42" spans="2:27" x14ac:dyDescent="0.25">
      <c r="B42" s="752">
        <v>34</v>
      </c>
      <c r="C42" s="753">
        <f>BEGINBLAD!C37</f>
        <v>0</v>
      </c>
      <c r="D42" s="863"/>
      <c r="E42" s="754"/>
      <c r="F42" s="758"/>
      <c r="G42" s="756"/>
      <c r="H42" s="754"/>
      <c r="I42" s="755"/>
      <c r="J42" s="754"/>
      <c r="K42" s="759"/>
      <c r="L42" s="759"/>
      <c r="M42" s="760"/>
      <c r="N42" s="856">
        <f t="shared" si="0"/>
        <v>0</v>
      </c>
      <c r="O42" s="1196"/>
      <c r="P42" s="1197"/>
      <c r="Q42" s="1197"/>
      <c r="R42" s="1197"/>
      <c r="S42" s="1197"/>
      <c r="T42" s="1197"/>
      <c r="U42" s="1197"/>
      <c r="V42" s="1197"/>
      <c r="W42" s="1197"/>
      <c r="X42" s="1197"/>
      <c r="Y42" s="1197"/>
      <c r="Z42" s="1197"/>
      <c r="AA42" s="1198"/>
    </row>
    <row r="43" spans="2:27" ht="13" thickBot="1" x14ac:dyDescent="0.3">
      <c r="B43" s="761">
        <v>35</v>
      </c>
      <c r="C43" s="762">
        <f>BEGINBLAD!C38</f>
        <v>0</v>
      </c>
      <c r="D43" s="864"/>
      <c r="E43" s="763"/>
      <c r="F43" s="764"/>
      <c r="G43" s="765"/>
      <c r="H43" s="763"/>
      <c r="I43" s="766"/>
      <c r="J43" s="763"/>
      <c r="K43" s="767"/>
      <c r="L43" s="767"/>
      <c r="M43" s="768"/>
      <c r="N43" s="857">
        <f t="shared" si="0"/>
        <v>0</v>
      </c>
      <c r="O43" s="1207"/>
      <c r="P43" s="1208"/>
      <c r="Q43" s="1208"/>
      <c r="R43" s="1208"/>
      <c r="S43" s="1208"/>
      <c r="T43" s="1208"/>
      <c r="U43" s="1208"/>
      <c r="V43" s="1208"/>
      <c r="W43" s="1208"/>
      <c r="X43" s="1208"/>
      <c r="Y43" s="1208"/>
      <c r="Z43" s="1208"/>
      <c r="AA43" s="1209"/>
    </row>
    <row r="44" spans="2:27" x14ac:dyDescent="0.25">
      <c r="C44" s="51" t="s">
        <v>349</v>
      </c>
      <c r="E44" s="54">
        <f>COUNTIF(E9:E43,"&lt;9")</f>
        <v>0</v>
      </c>
      <c r="F44" s="54">
        <f>COUNTIF(F9:F43,"&gt;29")</f>
        <v>0</v>
      </c>
      <c r="G44" s="54">
        <f>COUNTIF(G9:G43,"&lt;9")</f>
        <v>0</v>
      </c>
      <c r="H44" s="54">
        <f>COUNTIF(H9:H43,"&lt;6")</f>
        <v>0</v>
      </c>
      <c r="I44" s="54">
        <f>COUNTIF(I9:I43,"n")</f>
        <v>0</v>
      </c>
      <c r="J44" s="54">
        <f>COUNTIF(J9:J43,"&lt;8")</f>
        <v>0</v>
      </c>
      <c r="K44" s="54">
        <f>COUNTIF(K9:K43,"j")</f>
        <v>0</v>
      </c>
      <c r="L44" s="54">
        <f>COUNTIF(L9:L43,"j")</f>
        <v>0</v>
      </c>
      <c r="M44" s="54">
        <f>COUNTIF(M9:M43,"o")</f>
        <v>0</v>
      </c>
      <c r="N44" s="56"/>
    </row>
    <row r="45" spans="2:27" x14ac:dyDescent="0.25">
      <c r="C45" s="51" t="s">
        <v>350</v>
      </c>
      <c r="E45" s="54">
        <f>COUNT(E9:E43)</f>
        <v>0</v>
      </c>
      <c r="F45" s="54">
        <f>COUNT(F9:F43)</f>
        <v>0</v>
      </c>
      <c r="G45" s="54">
        <f>COUNT(G9:G43)</f>
        <v>0</v>
      </c>
      <c r="H45" s="54">
        <f>COUNT(H9:H43)</f>
        <v>0</v>
      </c>
      <c r="I45" s="54">
        <f>COUNTA(I9:I43)</f>
        <v>0</v>
      </c>
      <c r="J45" s="54">
        <f>COUNT(J9:J43)</f>
        <v>0</v>
      </c>
      <c r="K45" s="54">
        <f>COUNTA(K9:K43)</f>
        <v>0</v>
      </c>
      <c r="L45" s="54">
        <f>COUNTA(L9:L43)</f>
        <v>0</v>
      </c>
      <c r="M45" s="54">
        <f>COUNTA(M9:M43)</f>
        <v>0</v>
      </c>
    </row>
    <row r="46" spans="2:27" x14ac:dyDescent="0.25">
      <c r="B46" s="769"/>
      <c r="C46" s="382" t="s">
        <v>351</v>
      </c>
      <c r="D46" s="382"/>
      <c r="E46" s="770" t="str">
        <f>IF(E45=0,"",IF(E45&gt;0,(E44/E45)))</f>
        <v/>
      </c>
      <c r="F46" s="770" t="str">
        <f t="shared" ref="F46:M46" si="1">IF(F45=0,"",IF(F45&gt;0,(F44/F45)))</f>
        <v/>
      </c>
      <c r="G46" s="770" t="str">
        <f t="shared" si="1"/>
        <v/>
      </c>
      <c r="H46" s="770" t="str">
        <f t="shared" si="1"/>
        <v/>
      </c>
      <c r="I46" s="770" t="str">
        <f t="shared" si="1"/>
        <v/>
      </c>
      <c r="J46" s="770" t="str">
        <f t="shared" si="1"/>
        <v/>
      </c>
      <c r="K46" s="770" t="str">
        <f t="shared" si="1"/>
        <v/>
      </c>
      <c r="L46" s="770" t="str">
        <f t="shared" si="1"/>
        <v/>
      </c>
      <c r="M46" s="771" t="str">
        <f t="shared" si="1"/>
        <v/>
      </c>
      <c r="N46" s="772"/>
    </row>
    <row r="47" spans="2:27" ht="12.75" customHeight="1" x14ac:dyDescent="0.25">
      <c r="G47" s="54"/>
      <c r="H47" s="54"/>
    </row>
    <row r="48" spans="2:27" x14ac:dyDescent="0.25">
      <c r="E48" s="1169" t="s">
        <v>352</v>
      </c>
      <c r="F48" s="1169"/>
      <c r="G48" s="54"/>
      <c r="H48" s="54"/>
    </row>
    <row r="49" spans="5:8" x14ac:dyDescent="0.25">
      <c r="E49" s="1169" t="s">
        <v>353</v>
      </c>
      <c r="F49" s="1169"/>
      <c r="G49" s="54"/>
      <c r="H49" s="54"/>
    </row>
    <row r="50" spans="5:8" x14ac:dyDescent="0.25">
      <c r="E50" s="51"/>
      <c r="F50" s="54"/>
      <c r="G50" s="54"/>
      <c r="H50" s="54"/>
    </row>
    <row r="51" spans="5:8" x14ac:dyDescent="0.25">
      <c r="E51" s="51"/>
      <c r="F51" s="54"/>
      <c r="G51" s="54"/>
      <c r="H51" s="54"/>
    </row>
  </sheetData>
  <mergeCells count="40">
    <mergeCell ref="O41:AA41"/>
    <mergeCell ref="O42:AA42"/>
    <mergeCell ref="O43:AA43"/>
    <mergeCell ref="E48:F48"/>
    <mergeCell ref="E49:F49"/>
    <mergeCell ref="O40:AA40"/>
    <mergeCell ref="O29:AA29"/>
    <mergeCell ref="O30:AA30"/>
    <mergeCell ref="O31:AA31"/>
    <mergeCell ref="O32:AA32"/>
    <mergeCell ref="O33:AA33"/>
    <mergeCell ref="O34:AA34"/>
    <mergeCell ref="O35:AA35"/>
    <mergeCell ref="O36:AA36"/>
    <mergeCell ref="O37:AA37"/>
    <mergeCell ref="O38:AA38"/>
    <mergeCell ref="O39:AA39"/>
    <mergeCell ref="O28:AA28"/>
    <mergeCell ref="O17:AA17"/>
    <mergeCell ref="O18:AA18"/>
    <mergeCell ref="O19:AA19"/>
    <mergeCell ref="O20:AA20"/>
    <mergeCell ref="O21:AA21"/>
    <mergeCell ref="O22:AA22"/>
    <mergeCell ref="O23:AA23"/>
    <mergeCell ref="O24:AA24"/>
    <mergeCell ref="O25:AA25"/>
    <mergeCell ref="O26:AA26"/>
    <mergeCell ref="O27:AA27"/>
    <mergeCell ref="O16:AA16"/>
    <mergeCell ref="F3:K3"/>
    <mergeCell ref="I6:J6"/>
    <mergeCell ref="N6:O6"/>
    <mergeCell ref="O9:AA9"/>
    <mergeCell ref="O10:AA10"/>
    <mergeCell ref="O11:AA11"/>
    <mergeCell ref="O12:AA12"/>
    <mergeCell ref="O13:AA13"/>
    <mergeCell ref="O14:AA14"/>
    <mergeCell ref="O15:AA15"/>
  </mergeCells>
  <conditionalFormatting sqref="C8:D8">
    <cfRule type="cellIs" dxfId="961" priority="5" stopIfTrue="1" operator="between">
      <formula>8</formula>
      <formula>1</formula>
    </cfRule>
  </conditionalFormatting>
  <conditionalFormatting sqref="E4:E5 E47 E52:E65536">
    <cfRule type="cellIs" dxfId="960" priority="12" stopIfTrue="1" operator="between">
      <formula>1</formula>
      <formula>6</formula>
    </cfRule>
    <cfRule type="cellIs" dxfId="959" priority="13" stopIfTrue="1" operator="between">
      <formula>7</formula>
      <formula>8</formula>
    </cfRule>
    <cfRule type="cellIs" dxfId="958" priority="14" stopIfTrue="1" operator="greaterThan">
      <formula>19</formula>
    </cfRule>
  </conditionalFormatting>
  <conditionalFormatting sqref="E9:E43">
    <cfRule type="cellIs" dxfId="957" priority="4" stopIfTrue="1" operator="equal">
      <formula>""</formula>
    </cfRule>
    <cfRule type="cellIs" dxfId="956" priority="36" stopIfTrue="1" operator="between">
      <formula>5</formula>
      <formula>8</formula>
    </cfRule>
    <cfRule type="cellIs" dxfId="955" priority="35" stopIfTrue="1" operator="between">
      <formula>0</formula>
      <formula>4</formula>
    </cfRule>
  </conditionalFormatting>
  <conditionalFormatting sqref="E48:E49 F50:F51">
    <cfRule type="cellIs" dxfId="954" priority="39" stopIfTrue="1" operator="between">
      <formula>1</formula>
      <formula>34</formula>
    </cfRule>
    <cfRule type="cellIs" dxfId="953" priority="40" stopIfTrue="1" operator="between">
      <formula>35</formula>
      <formula>50</formula>
    </cfRule>
    <cfRule type="cellIs" dxfId="952" priority="41" stopIfTrue="1" operator="between">
      <formula>67</formula>
      <formula>150</formula>
    </cfRule>
  </conditionalFormatting>
  <conditionalFormatting sqref="F9:F43">
    <cfRule type="cellIs" dxfId="951" priority="34" stopIfTrue="1" operator="greaterThan">
      <formula>29</formula>
    </cfRule>
    <cfRule type="cellIs" dxfId="950" priority="33" stopIfTrue="1" operator="between">
      <formula>23</formula>
      <formula>29</formula>
    </cfRule>
  </conditionalFormatting>
  <conditionalFormatting sqref="G9:G43">
    <cfRule type="cellIs" dxfId="949" priority="42" stopIfTrue="1" operator="between">
      <formula>0</formula>
      <formula>8</formula>
    </cfRule>
    <cfRule type="cellIs" dxfId="948" priority="43" stopIfTrue="1" operator="between">
      <formula>9</formula>
      <formula>14</formula>
    </cfRule>
  </conditionalFormatting>
  <conditionalFormatting sqref="G9:H43">
    <cfRule type="cellIs" dxfId="947" priority="2" stopIfTrue="1" operator="equal">
      <formula>""</formula>
    </cfRule>
  </conditionalFormatting>
  <conditionalFormatting sqref="H9:H43">
    <cfRule type="cellIs" dxfId="946" priority="44" stopIfTrue="1" operator="between">
      <formula>0</formula>
      <formula>5</formula>
    </cfRule>
    <cfRule type="cellIs" dxfId="945" priority="45" stopIfTrue="1" operator="between">
      <formula>6</formula>
      <formula>7</formula>
    </cfRule>
  </conditionalFormatting>
  <conditionalFormatting sqref="I4:I8 I44:I45 I47 K47:M47 I52:I65536">
    <cfRule type="cellIs" dxfId="944" priority="8" stopIfTrue="1" operator="equal">
      <formula>"n"</formula>
    </cfRule>
    <cfRule type="cellIs" dxfId="943" priority="9" stopIfTrue="1" operator="equal">
      <formula>"d"</formula>
    </cfRule>
  </conditionalFormatting>
  <conditionalFormatting sqref="I9:I43">
    <cfRule type="cellIs" dxfId="942" priority="27" stopIfTrue="1" operator="equal">
      <formula>"n"</formula>
    </cfRule>
    <cfRule type="cellIs" dxfId="941" priority="28" stopIfTrue="1" operator="equal">
      <formula>"d"</formula>
    </cfRule>
  </conditionalFormatting>
  <conditionalFormatting sqref="I48:I51">
    <cfRule type="cellIs" dxfId="940" priority="26" stopIfTrue="1" operator="between">
      <formula>37</formula>
      <formula>150</formula>
    </cfRule>
    <cfRule type="cellIs" dxfId="939" priority="25" stopIfTrue="1" operator="between">
      <formula>13</formula>
      <formula>25</formula>
    </cfRule>
    <cfRule type="cellIs" dxfId="938" priority="24" stopIfTrue="1" operator="between">
      <formula>1</formula>
      <formula>12</formula>
    </cfRule>
  </conditionalFormatting>
  <conditionalFormatting sqref="J4:J6 J47:J65536">
    <cfRule type="cellIs" dxfId="937" priority="23" stopIfTrue="1" operator="greaterThan">
      <formula>19</formula>
    </cfRule>
    <cfRule type="cellIs" dxfId="936" priority="21" stopIfTrue="1" operator="between">
      <formula>1</formula>
      <formula>9</formula>
    </cfRule>
    <cfRule type="cellIs" dxfId="935" priority="22" stopIfTrue="1" operator="between">
      <formula>10</formula>
      <formula>14</formula>
    </cfRule>
  </conditionalFormatting>
  <conditionalFormatting sqref="J9:J43">
    <cfRule type="cellIs" dxfId="934" priority="37" stopIfTrue="1" operator="between">
      <formula>0</formula>
      <formula>7</formula>
    </cfRule>
    <cfRule type="cellIs" dxfId="933" priority="38" stopIfTrue="1" operator="between">
      <formula>8</formula>
      <formula>13</formula>
    </cfRule>
    <cfRule type="cellIs" dxfId="932" priority="1" stopIfTrue="1" operator="equal">
      <formula>""</formula>
    </cfRule>
  </conditionalFormatting>
  <conditionalFormatting sqref="K4:L8 K44:L44 K48:L65536">
    <cfRule type="cellIs" dxfId="931" priority="11" stopIfTrue="1" operator="equal">
      <formula>"j"</formula>
    </cfRule>
  </conditionalFormatting>
  <conditionalFormatting sqref="K4:L44 K48:L65536">
    <cfRule type="cellIs" dxfId="930" priority="10" stopIfTrue="1" operator="equal">
      <formula>"?"</formula>
    </cfRule>
  </conditionalFormatting>
  <conditionalFormatting sqref="K9:L43">
    <cfRule type="cellIs" dxfId="929" priority="30" stopIfTrue="1" operator="equal">
      <formula>"j"</formula>
    </cfRule>
  </conditionalFormatting>
  <conditionalFormatting sqref="L3 F4:F5 F47 F52:F65536">
    <cfRule type="cellIs" dxfId="928" priority="15" stopIfTrue="1" operator="between">
      <formula>1</formula>
      <formula>17</formula>
    </cfRule>
    <cfRule type="cellIs" dxfId="927" priority="17" stopIfTrue="1" operator="greaterThan">
      <formula>30</formula>
    </cfRule>
    <cfRule type="cellIs" dxfId="926" priority="16" stopIfTrue="1" operator="between">
      <formula>24</formula>
      <formula>29</formula>
    </cfRule>
  </conditionalFormatting>
  <conditionalFormatting sqref="M3 G4:H5 G47:H47 G52:H65536">
    <cfRule type="cellIs" dxfId="925" priority="20" stopIfTrue="1" operator="greaterThan">
      <formula>16</formula>
    </cfRule>
    <cfRule type="cellIs" dxfId="924" priority="19" stopIfTrue="1" operator="between">
      <formula>9</formula>
      <formula>12</formula>
    </cfRule>
    <cfRule type="cellIs" dxfId="923" priority="18" stopIfTrue="1" operator="between">
      <formula>1</formula>
      <formula>8</formula>
    </cfRule>
  </conditionalFormatting>
  <conditionalFormatting sqref="M4:M8 M44 M48:M65536">
    <cfRule type="cellIs" dxfId="922" priority="7" stopIfTrue="1" operator="equal">
      <formula>"o"</formula>
    </cfRule>
  </conditionalFormatting>
  <conditionalFormatting sqref="M4:M44 M48:M65536">
    <cfRule type="cellIs" dxfId="921" priority="6" stopIfTrue="1" operator="equal">
      <formula>"m"</formula>
    </cfRule>
  </conditionalFormatting>
  <conditionalFormatting sqref="M9:M43">
    <cfRule type="cellIs" dxfId="920" priority="32" stopIfTrue="1" operator="equal">
      <formula>"o"</formula>
    </cfRule>
  </conditionalFormatting>
  <pageMargins left="0.75" right="0.75" top="0.33" bottom="0.31" header="0.2" footer="0.22"/>
  <pageSetup paperSize="9" scale="87" orientation="landscape" horizontalDpi="4294967292" r:id="rId1"/>
  <headerFooter alignWithMargins="0"/>
  <colBreaks count="1" manualBreakCount="1">
    <brk id="13" max="1048575" man="1"/>
  </colBreak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6A81-F0F1-4999-8849-2E9F5C721E91}">
  <dimension ref="B3:BB48"/>
  <sheetViews>
    <sheetView showGridLines="0" showRowColHeaders="0" zoomScale="75" zoomScaleNormal="75" workbookViewId="0">
      <selection activeCell="D4" sqref="D4"/>
    </sheetView>
  </sheetViews>
  <sheetFormatPr defaultColWidth="9.1796875" defaultRowHeight="12.5" x14ac:dyDescent="0.25"/>
  <cols>
    <col min="1" max="1" width="9.1796875" style="51"/>
    <col min="2" max="2" width="4" style="54" customWidth="1"/>
    <col min="3" max="3" width="20.81640625" style="51" bestFit="1" customWidth="1"/>
    <col min="4" max="4" width="14.1796875" style="720" bestFit="1" customWidth="1"/>
    <col min="5" max="5" width="15.54296875" style="721" bestFit="1" customWidth="1"/>
    <col min="6" max="6" width="10.1796875" style="54" bestFit="1" customWidth="1"/>
    <col min="7" max="7" width="10.81640625" style="54" bestFit="1" customWidth="1"/>
    <col min="8" max="11" width="10.1796875" style="51" bestFit="1" customWidth="1"/>
    <col min="12" max="16" width="10.1796875" style="51" hidden="1" customWidth="1"/>
    <col min="17" max="17" width="21.1796875" style="54" customWidth="1"/>
    <col min="18" max="51" width="2.7265625" style="51" customWidth="1"/>
    <col min="52" max="52" width="5.54296875" style="53" bestFit="1" customWidth="1"/>
    <col min="53" max="53" width="21.1796875" style="53" customWidth="1"/>
    <col min="54" max="54" width="101.1796875" style="51" customWidth="1"/>
    <col min="55" max="16384" width="9.1796875" style="51"/>
  </cols>
  <sheetData>
    <row r="3" spans="2:54" ht="15.5" x14ac:dyDescent="0.35">
      <c r="B3" s="870"/>
      <c r="C3" s="870"/>
      <c r="D3" s="870"/>
      <c r="E3" s="870"/>
      <c r="F3" s="870" t="s">
        <v>354</v>
      </c>
      <c r="G3" s="870"/>
      <c r="H3" s="870"/>
      <c r="I3" s="870"/>
      <c r="J3" s="870"/>
      <c r="K3" s="870"/>
      <c r="L3" s="870"/>
      <c r="M3" s="870"/>
      <c r="N3" s="870"/>
      <c r="O3" s="870"/>
      <c r="P3" s="870"/>
      <c r="Q3" s="718"/>
    </row>
    <row r="4" spans="2:54" x14ac:dyDescent="0.25">
      <c r="C4" s="52" t="s">
        <v>61</v>
      </c>
      <c r="D4" s="860"/>
      <c r="E4" s="54"/>
      <c r="BA4" s="773"/>
      <c r="BB4" s="774"/>
    </row>
    <row r="5" spans="2:54" ht="13" thickBot="1" x14ac:dyDescent="0.3">
      <c r="C5" s="52"/>
      <c r="D5" s="56"/>
      <c r="E5" s="54"/>
      <c r="BA5" s="775"/>
      <c r="BB5" s="776"/>
    </row>
    <row r="6" spans="2:54" x14ac:dyDescent="0.25">
      <c r="B6" s="777"/>
      <c r="C6" s="778"/>
      <c r="D6" s="1212" t="s">
        <v>355</v>
      </c>
      <c r="E6" s="1212"/>
      <c r="F6" s="1212"/>
      <c r="G6" s="1212"/>
      <c r="H6" s="1213" t="s">
        <v>356</v>
      </c>
      <c r="I6" s="1213"/>
      <c r="J6" s="1213"/>
      <c r="K6" s="1214"/>
      <c r="L6" s="779"/>
      <c r="M6" s="779"/>
      <c r="N6" s="779"/>
      <c r="O6" s="779"/>
      <c r="P6" s="779"/>
      <c r="Q6" s="780"/>
      <c r="R6" s="781"/>
      <c r="S6" s="781"/>
      <c r="T6" s="781"/>
      <c r="U6" s="781"/>
      <c r="V6" s="781"/>
      <c r="W6" s="781"/>
      <c r="X6" s="781"/>
      <c r="Y6" s="781"/>
      <c r="Z6" s="781"/>
      <c r="AA6" s="781"/>
      <c r="AB6" s="781"/>
      <c r="AC6" s="781"/>
      <c r="AD6" s="781"/>
      <c r="AE6" s="781"/>
      <c r="AF6" s="781"/>
      <c r="AG6" s="781"/>
      <c r="AH6" s="781"/>
      <c r="AI6" s="781"/>
      <c r="AJ6" s="781"/>
      <c r="AK6" s="781"/>
      <c r="AL6" s="781"/>
      <c r="AM6" s="781"/>
      <c r="AN6" s="781"/>
      <c r="AO6" s="781"/>
      <c r="AP6" s="781"/>
      <c r="AQ6" s="781"/>
      <c r="AR6" s="781"/>
      <c r="AS6" s="781"/>
      <c r="AT6" s="781"/>
      <c r="AU6" s="781"/>
      <c r="AV6" s="781"/>
      <c r="AW6" s="781"/>
      <c r="AX6" s="781"/>
      <c r="AY6" s="781"/>
      <c r="AZ6" s="1215" t="s">
        <v>69</v>
      </c>
      <c r="BA6" s="782"/>
      <c r="BB6" s="1217" t="s">
        <v>340</v>
      </c>
    </row>
    <row r="7" spans="2:54" x14ac:dyDescent="0.25">
      <c r="B7" s="783"/>
      <c r="C7" s="784" t="s">
        <v>332</v>
      </c>
      <c r="D7" s="785" t="s">
        <v>357</v>
      </c>
      <c r="E7" s="785" t="s">
        <v>358</v>
      </c>
      <c r="F7" s="1220" t="s">
        <v>359</v>
      </c>
      <c r="G7" s="1220"/>
      <c r="H7" s="1221" t="s">
        <v>360</v>
      </c>
      <c r="I7" s="1221"/>
      <c r="J7" s="1221"/>
      <c r="K7" s="1222"/>
      <c r="L7" s="786"/>
      <c r="M7" s="786"/>
      <c r="N7" s="786"/>
      <c r="O7" s="786"/>
      <c r="P7" s="786"/>
      <c r="Q7" s="1223"/>
      <c r="R7" s="1224"/>
      <c r="S7" s="787"/>
      <c r="T7" s="787"/>
      <c r="U7" s="787"/>
      <c r="V7" s="787"/>
      <c r="W7" s="787"/>
      <c r="X7" s="787"/>
      <c r="Y7" s="787"/>
      <c r="Z7" s="787"/>
      <c r="AA7" s="787"/>
      <c r="AB7" s="787"/>
      <c r="AC7" s="787"/>
      <c r="AD7" s="787"/>
      <c r="AE7" s="787"/>
      <c r="AF7" s="787"/>
      <c r="AG7" s="787"/>
      <c r="AH7" s="787"/>
      <c r="AI7" s="787"/>
      <c r="AJ7" s="787"/>
      <c r="AK7" s="787"/>
      <c r="AL7" s="787"/>
      <c r="AM7" s="787"/>
      <c r="AN7" s="787"/>
      <c r="AO7" s="787"/>
      <c r="AP7" s="787"/>
      <c r="AQ7" s="787"/>
      <c r="AR7" s="787"/>
      <c r="AS7" s="787"/>
      <c r="AT7" s="787"/>
      <c r="AU7" s="787"/>
      <c r="AV7" s="787"/>
      <c r="AW7" s="787"/>
      <c r="AX7" s="787"/>
      <c r="AY7" s="787"/>
      <c r="AZ7" s="1216"/>
      <c r="BA7" s="788"/>
      <c r="BB7" s="1218"/>
    </row>
    <row r="8" spans="2:54" x14ac:dyDescent="0.25">
      <c r="B8" s="789"/>
      <c r="C8" s="784"/>
      <c r="D8" s="785"/>
      <c r="E8" s="785"/>
      <c r="F8" s="872" t="s">
        <v>361</v>
      </c>
      <c r="G8" s="872" t="s">
        <v>362</v>
      </c>
      <c r="H8" s="873" t="s">
        <v>363</v>
      </c>
      <c r="I8" s="873" t="s">
        <v>364</v>
      </c>
      <c r="J8" s="873" t="s">
        <v>365</v>
      </c>
      <c r="K8" s="874" t="s">
        <v>366</v>
      </c>
      <c r="L8" s="790"/>
      <c r="M8" s="790"/>
      <c r="N8" s="790"/>
      <c r="O8" s="790"/>
      <c r="P8" s="790"/>
      <c r="Q8" s="791"/>
      <c r="R8" s="792"/>
      <c r="S8" s="792"/>
      <c r="T8" s="792"/>
      <c r="U8" s="792"/>
      <c r="V8" s="792"/>
      <c r="W8" s="792"/>
      <c r="X8" s="792"/>
      <c r="Y8" s="792"/>
      <c r="Z8" s="792"/>
      <c r="AA8" s="792"/>
      <c r="AB8" s="792"/>
      <c r="AC8" s="792"/>
      <c r="AD8" s="792"/>
      <c r="AE8" s="792"/>
      <c r="AF8" s="792"/>
      <c r="AG8" s="792"/>
      <c r="AH8" s="792"/>
      <c r="AI8" s="792"/>
      <c r="AJ8" s="792"/>
      <c r="AK8" s="792"/>
      <c r="AL8" s="792"/>
      <c r="AM8" s="792"/>
      <c r="AN8" s="792"/>
      <c r="AO8" s="792"/>
      <c r="AP8" s="792"/>
      <c r="AQ8" s="792"/>
      <c r="AR8" s="792"/>
      <c r="AS8" s="792"/>
      <c r="AT8" s="792"/>
      <c r="AU8" s="792"/>
      <c r="AV8" s="792"/>
      <c r="AW8" s="792"/>
      <c r="AX8" s="792"/>
      <c r="AY8" s="792"/>
      <c r="AZ8" s="1216"/>
      <c r="BA8" s="788"/>
      <c r="BB8" s="1218"/>
    </row>
    <row r="9" spans="2:54" x14ac:dyDescent="0.25">
      <c r="B9" s="793"/>
      <c r="C9" s="794"/>
      <c r="D9" s="795" t="s">
        <v>106</v>
      </c>
      <c r="E9" s="795" t="s">
        <v>106</v>
      </c>
      <c r="F9" s="795" t="s">
        <v>106</v>
      </c>
      <c r="G9" s="795" t="s">
        <v>106</v>
      </c>
      <c r="H9" s="795" t="s">
        <v>106</v>
      </c>
      <c r="I9" s="795" t="s">
        <v>106</v>
      </c>
      <c r="J9" s="795" t="s">
        <v>106</v>
      </c>
      <c r="K9" s="796" t="s">
        <v>106</v>
      </c>
      <c r="L9" s="797"/>
      <c r="M9" s="797"/>
      <c r="N9" s="797"/>
      <c r="O9" s="797"/>
      <c r="P9" s="797" t="s">
        <v>69</v>
      </c>
      <c r="Q9" s="798" t="s">
        <v>367</v>
      </c>
      <c r="R9" s="799" t="s">
        <v>368</v>
      </c>
      <c r="S9" s="799" t="s">
        <v>369</v>
      </c>
      <c r="T9" s="799" t="s">
        <v>370</v>
      </c>
      <c r="U9" s="799" t="s">
        <v>371</v>
      </c>
      <c r="V9" s="799" t="s">
        <v>372</v>
      </c>
      <c r="W9" s="800" t="s">
        <v>373</v>
      </c>
      <c r="X9" s="800" t="s">
        <v>374</v>
      </c>
      <c r="Y9" s="800" t="s">
        <v>375</v>
      </c>
      <c r="Z9" s="800" t="s">
        <v>376</v>
      </c>
      <c r="AA9" s="799" t="s">
        <v>377</v>
      </c>
      <c r="AB9" s="799" t="s">
        <v>378</v>
      </c>
      <c r="AC9" s="799" t="s">
        <v>379</v>
      </c>
      <c r="AD9" s="799" t="s">
        <v>380</v>
      </c>
      <c r="AE9" s="799" t="s">
        <v>381</v>
      </c>
      <c r="AF9" s="799" t="s">
        <v>382</v>
      </c>
      <c r="AG9" s="799" t="s">
        <v>383</v>
      </c>
      <c r="AH9" s="799" t="s">
        <v>384</v>
      </c>
      <c r="AI9" s="801" t="s">
        <v>385</v>
      </c>
      <c r="AJ9" s="801" t="s">
        <v>386</v>
      </c>
      <c r="AK9" s="801" t="s">
        <v>387</v>
      </c>
      <c r="AL9" s="801" t="s">
        <v>388</v>
      </c>
      <c r="AM9" s="801" t="s">
        <v>389</v>
      </c>
      <c r="AN9" s="801" t="s">
        <v>390</v>
      </c>
      <c r="AO9" s="801" t="s">
        <v>391</v>
      </c>
      <c r="AP9" s="801" t="s">
        <v>392</v>
      </c>
      <c r="AQ9" s="801" t="s">
        <v>393</v>
      </c>
      <c r="AR9" s="801" t="s">
        <v>394</v>
      </c>
      <c r="AS9" s="801" t="s">
        <v>395</v>
      </c>
      <c r="AT9" s="801" t="s">
        <v>396</v>
      </c>
      <c r="AU9" s="801" t="s">
        <v>397</v>
      </c>
      <c r="AV9" s="801" t="s">
        <v>348</v>
      </c>
      <c r="AW9" s="801" t="s">
        <v>398</v>
      </c>
      <c r="AX9" s="801" t="s">
        <v>399</v>
      </c>
      <c r="AY9" s="802" t="s">
        <v>400</v>
      </c>
      <c r="AZ9" s="1216"/>
      <c r="BA9" s="803"/>
      <c r="BB9" s="1219"/>
    </row>
    <row r="10" spans="2:54" x14ac:dyDescent="0.25">
      <c r="B10" s="752">
        <v>1</v>
      </c>
      <c r="C10" s="804" t="str">
        <f>BEGINBLAD!C4</f>
        <v>leerling 1</v>
      </c>
      <c r="D10" s="806"/>
      <c r="E10" s="806">
        <f t="shared" ref="E10:E44" si="0">AZ10</f>
        <v>34</v>
      </c>
      <c r="F10" s="806"/>
      <c r="G10" s="806"/>
      <c r="H10" s="805"/>
      <c r="I10" s="805"/>
      <c r="J10" s="805"/>
      <c r="K10" s="807"/>
      <c r="L10" s="808" t="str">
        <f>IF(D10="","",IF(D10&lt;14,2,IF(D10&lt;16,1,IF(D10&gt;15,0))))</f>
        <v/>
      </c>
      <c r="M10" s="808">
        <f>IF(E10="","",IF(E10&lt;11,2,IF(E10&lt;15,1,IF(E10&gt;14,0))))</f>
        <v>0</v>
      </c>
      <c r="N10" s="808" t="str">
        <f>IF(F10="","",IF(F10&lt;8,2,IF(F10&lt;9,1,IF(F10&gt;8,0))))</f>
        <v/>
      </c>
      <c r="O10" s="808" t="str">
        <f>IF(G10="","",IF(G10&lt;12,2,IF(G10&lt;15,1,IF(G10&gt;14,0))))</f>
        <v/>
      </c>
      <c r="P10" s="808">
        <f>SUM(L10:O10)</f>
        <v>0</v>
      </c>
      <c r="Q10" s="809" t="str">
        <f t="shared" ref="Q10:Q44" si="1">C10</f>
        <v>leerling 1</v>
      </c>
      <c r="R10" s="810"/>
      <c r="S10" s="811"/>
      <c r="T10" s="811"/>
      <c r="U10" s="811"/>
      <c r="V10" s="812"/>
      <c r="W10" s="813"/>
      <c r="X10" s="814"/>
      <c r="Y10" s="814"/>
      <c r="Z10" s="815"/>
      <c r="AA10" s="810"/>
      <c r="AB10" s="811"/>
      <c r="AC10" s="811"/>
      <c r="AD10" s="811"/>
      <c r="AE10" s="811"/>
      <c r="AF10" s="811"/>
      <c r="AG10" s="811"/>
      <c r="AH10" s="812"/>
      <c r="AI10" s="813"/>
      <c r="AJ10" s="814"/>
      <c r="AK10" s="814"/>
      <c r="AL10" s="814"/>
      <c r="AM10" s="814"/>
      <c r="AN10" s="814"/>
      <c r="AO10" s="814"/>
      <c r="AP10" s="814"/>
      <c r="AQ10" s="814"/>
      <c r="AR10" s="814"/>
      <c r="AS10" s="814"/>
      <c r="AT10" s="814"/>
      <c r="AU10" s="814"/>
      <c r="AV10" s="814"/>
      <c r="AW10" s="814"/>
      <c r="AX10" s="814"/>
      <c r="AY10" s="816"/>
      <c r="AZ10" s="817">
        <f>IF(Q10=0,"",IF(Q10&gt;0,COUNTIF(R10:AY10,"")))</f>
        <v>34</v>
      </c>
      <c r="BA10" s="818" t="str">
        <f t="shared" ref="BA10:BA44" si="2">Q10</f>
        <v>leerling 1</v>
      </c>
      <c r="BB10" s="819"/>
    </row>
    <row r="11" spans="2:54" x14ac:dyDescent="0.25">
      <c r="B11" s="752">
        <v>2</v>
      </c>
      <c r="C11" s="804" t="str">
        <f>BEGINBLAD!C5</f>
        <v>leerling 2</v>
      </c>
      <c r="D11" s="806"/>
      <c r="E11" s="806">
        <f t="shared" si="0"/>
        <v>34</v>
      </c>
      <c r="F11" s="806"/>
      <c r="G11" s="806"/>
      <c r="H11" s="805"/>
      <c r="I11" s="805"/>
      <c r="J11" s="805"/>
      <c r="K11" s="807"/>
      <c r="L11" s="808" t="str">
        <f t="shared" ref="L11:L44" si="3">IF(D11="","",IF(D11&lt;14,2,IF(D11&lt;16,1,IF(D11&gt;15,0))))</f>
        <v/>
      </c>
      <c r="M11" s="808">
        <f t="shared" ref="M11:M44" si="4">IF(E11="","",IF(E11&lt;11,2,IF(E11&lt;15,1,IF(E11&gt;14,0))))</f>
        <v>0</v>
      </c>
      <c r="N11" s="808" t="str">
        <f t="shared" ref="N11:N44" si="5">IF(F11="","",IF(F11&lt;8,2,IF(F11&lt;9,1,IF(F11&gt;8,0))))</f>
        <v/>
      </c>
      <c r="O11" s="808" t="str">
        <f t="shared" ref="O11:O44" si="6">IF(G11="","",IF(G11&lt;12,2,IF(G11&lt;15,1,IF(G11&gt;14,0))))</f>
        <v/>
      </c>
      <c r="P11" s="808">
        <f t="shared" ref="P11:P44" si="7">SUM(L11:O11)</f>
        <v>0</v>
      </c>
      <c r="Q11" s="820" t="str">
        <f t="shared" si="1"/>
        <v>leerling 2</v>
      </c>
      <c r="R11" s="821"/>
      <c r="S11" s="822"/>
      <c r="T11" s="822"/>
      <c r="U11" s="822"/>
      <c r="V11" s="823"/>
      <c r="W11" s="824"/>
      <c r="X11" s="513"/>
      <c r="Y11" s="513"/>
      <c r="Z11" s="825"/>
      <c r="AA11" s="821"/>
      <c r="AB11" s="822"/>
      <c r="AC11" s="822"/>
      <c r="AD11" s="822"/>
      <c r="AE11" s="822"/>
      <c r="AF11" s="822"/>
      <c r="AG11" s="822"/>
      <c r="AH11" s="823"/>
      <c r="AI11" s="824"/>
      <c r="AJ11" s="513"/>
      <c r="AK11" s="513"/>
      <c r="AL11" s="513"/>
      <c r="AM11" s="513"/>
      <c r="AN11" s="513"/>
      <c r="AO11" s="513"/>
      <c r="AP11" s="513"/>
      <c r="AQ11" s="513"/>
      <c r="AR11" s="513"/>
      <c r="AS11" s="513"/>
      <c r="AT11" s="513"/>
      <c r="AU11" s="513"/>
      <c r="AV11" s="513"/>
      <c r="AW11" s="513"/>
      <c r="AX11" s="513"/>
      <c r="AY11" s="826"/>
      <c r="AZ11" s="817">
        <f t="shared" ref="AZ11:AZ44" si="8">IF(Q11=0,"",IF(Q11&gt;0,COUNTIF(R11:AY11,"")))</f>
        <v>34</v>
      </c>
      <c r="BA11" s="818" t="str">
        <f t="shared" si="2"/>
        <v>leerling 2</v>
      </c>
      <c r="BB11" s="819"/>
    </row>
    <row r="12" spans="2:54" x14ac:dyDescent="0.25">
      <c r="B12" s="752">
        <v>3</v>
      </c>
      <c r="C12" s="804" t="str">
        <f>BEGINBLAD!C6</f>
        <v>leerling 3</v>
      </c>
      <c r="D12" s="806"/>
      <c r="E12" s="806">
        <f t="shared" si="0"/>
        <v>34</v>
      </c>
      <c r="F12" s="806"/>
      <c r="G12" s="806"/>
      <c r="H12" s="805"/>
      <c r="I12" s="805"/>
      <c r="J12" s="805"/>
      <c r="K12" s="807"/>
      <c r="L12" s="808" t="str">
        <f t="shared" si="3"/>
        <v/>
      </c>
      <c r="M12" s="808">
        <f t="shared" si="4"/>
        <v>0</v>
      </c>
      <c r="N12" s="808" t="str">
        <f t="shared" si="5"/>
        <v/>
      </c>
      <c r="O12" s="808" t="str">
        <f t="shared" si="6"/>
        <v/>
      </c>
      <c r="P12" s="808">
        <f t="shared" si="7"/>
        <v>0</v>
      </c>
      <c r="Q12" s="820" t="str">
        <f t="shared" si="1"/>
        <v>leerling 3</v>
      </c>
      <c r="R12" s="821"/>
      <c r="S12" s="822"/>
      <c r="T12" s="822"/>
      <c r="U12" s="822"/>
      <c r="V12" s="823"/>
      <c r="W12" s="824"/>
      <c r="X12" s="513"/>
      <c r="Y12" s="513"/>
      <c r="Z12" s="825"/>
      <c r="AA12" s="821"/>
      <c r="AB12" s="822"/>
      <c r="AC12" s="822"/>
      <c r="AD12" s="822"/>
      <c r="AE12" s="822"/>
      <c r="AF12" s="822"/>
      <c r="AG12" s="822"/>
      <c r="AH12" s="823"/>
      <c r="AI12" s="824"/>
      <c r="AJ12" s="513"/>
      <c r="AK12" s="513"/>
      <c r="AL12" s="513"/>
      <c r="AM12" s="513"/>
      <c r="AN12" s="513"/>
      <c r="AO12" s="513"/>
      <c r="AP12" s="513"/>
      <c r="AQ12" s="513"/>
      <c r="AR12" s="513"/>
      <c r="AS12" s="513"/>
      <c r="AT12" s="513"/>
      <c r="AU12" s="513"/>
      <c r="AV12" s="513"/>
      <c r="AW12" s="513"/>
      <c r="AX12" s="513"/>
      <c r="AY12" s="826"/>
      <c r="AZ12" s="817">
        <f t="shared" si="8"/>
        <v>34</v>
      </c>
      <c r="BA12" s="818" t="str">
        <f t="shared" si="2"/>
        <v>leerling 3</v>
      </c>
      <c r="BB12" s="819"/>
    </row>
    <row r="13" spans="2:54" x14ac:dyDescent="0.25">
      <c r="B13" s="752">
        <v>4</v>
      </c>
      <c r="C13" s="804" t="str">
        <f>BEGINBLAD!C7</f>
        <v>leerling 4</v>
      </c>
      <c r="D13" s="806"/>
      <c r="E13" s="806">
        <f t="shared" si="0"/>
        <v>34</v>
      </c>
      <c r="F13" s="806"/>
      <c r="G13" s="806"/>
      <c r="H13" s="805"/>
      <c r="I13" s="805"/>
      <c r="J13" s="805"/>
      <c r="K13" s="807"/>
      <c r="L13" s="808" t="str">
        <f t="shared" si="3"/>
        <v/>
      </c>
      <c r="M13" s="808">
        <f t="shared" si="4"/>
        <v>0</v>
      </c>
      <c r="N13" s="808" t="str">
        <f t="shared" si="5"/>
        <v/>
      </c>
      <c r="O13" s="808" t="str">
        <f t="shared" si="6"/>
        <v/>
      </c>
      <c r="P13" s="808">
        <f t="shared" si="7"/>
        <v>0</v>
      </c>
      <c r="Q13" s="820" t="str">
        <f t="shared" si="1"/>
        <v>leerling 4</v>
      </c>
      <c r="R13" s="821"/>
      <c r="S13" s="822"/>
      <c r="T13" s="822"/>
      <c r="U13" s="822"/>
      <c r="V13" s="823"/>
      <c r="W13" s="824"/>
      <c r="X13" s="513"/>
      <c r="Y13" s="513"/>
      <c r="Z13" s="825"/>
      <c r="AA13" s="821"/>
      <c r="AB13" s="822"/>
      <c r="AC13" s="822"/>
      <c r="AD13" s="822"/>
      <c r="AE13" s="822"/>
      <c r="AF13" s="822"/>
      <c r="AG13" s="822"/>
      <c r="AH13" s="823"/>
      <c r="AI13" s="824"/>
      <c r="AJ13" s="513"/>
      <c r="AK13" s="513"/>
      <c r="AL13" s="513"/>
      <c r="AM13" s="513"/>
      <c r="AN13" s="513"/>
      <c r="AO13" s="513"/>
      <c r="AP13" s="513"/>
      <c r="AQ13" s="513"/>
      <c r="AR13" s="513"/>
      <c r="AS13" s="513"/>
      <c r="AT13" s="513"/>
      <c r="AU13" s="513"/>
      <c r="AV13" s="513"/>
      <c r="AW13" s="513"/>
      <c r="AX13" s="513"/>
      <c r="AY13" s="826"/>
      <c r="AZ13" s="817">
        <f t="shared" si="8"/>
        <v>34</v>
      </c>
      <c r="BA13" s="818" t="str">
        <f t="shared" si="2"/>
        <v>leerling 4</v>
      </c>
      <c r="BB13" s="819"/>
    </row>
    <row r="14" spans="2:54" x14ac:dyDescent="0.25">
      <c r="B14" s="752">
        <v>5</v>
      </c>
      <c r="C14" s="804" t="str">
        <f>BEGINBLAD!C8</f>
        <v>leerling 5</v>
      </c>
      <c r="D14" s="806"/>
      <c r="E14" s="806">
        <f t="shared" si="0"/>
        <v>34</v>
      </c>
      <c r="F14" s="806"/>
      <c r="G14" s="806"/>
      <c r="H14" s="805"/>
      <c r="I14" s="805"/>
      <c r="J14" s="805"/>
      <c r="K14" s="807"/>
      <c r="L14" s="808" t="str">
        <f t="shared" si="3"/>
        <v/>
      </c>
      <c r="M14" s="808">
        <f t="shared" si="4"/>
        <v>0</v>
      </c>
      <c r="N14" s="808" t="str">
        <f t="shared" si="5"/>
        <v/>
      </c>
      <c r="O14" s="808" t="str">
        <f t="shared" si="6"/>
        <v/>
      </c>
      <c r="P14" s="808">
        <f t="shared" si="7"/>
        <v>0</v>
      </c>
      <c r="Q14" s="820" t="str">
        <f t="shared" si="1"/>
        <v>leerling 5</v>
      </c>
      <c r="R14" s="821"/>
      <c r="S14" s="822"/>
      <c r="T14" s="822"/>
      <c r="U14" s="822"/>
      <c r="V14" s="823"/>
      <c r="W14" s="824"/>
      <c r="X14" s="513"/>
      <c r="Y14" s="513"/>
      <c r="Z14" s="825"/>
      <c r="AA14" s="821"/>
      <c r="AB14" s="822"/>
      <c r="AC14" s="822"/>
      <c r="AD14" s="822"/>
      <c r="AE14" s="822"/>
      <c r="AF14" s="822"/>
      <c r="AG14" s="822"/>
      <c r="AH14" s="823"/>
      <c r="AI14" s="824"/>
      <c r="AJ14" s="513"/>
      <c r="AK14" s="513"/>
      <c r="AL14" s="513"/>
      <c r="AM14" s="513"/>
      <c r="AN14" s="513"/>
      <c r="AO14" s="513"/>
      <c r="AP14" s="513"/>
      <c r="AQ14" s="513"/>
      <c r="AR14" s="513"/>
      <c r="AS14" s="513"/>
      <c r="AT14" s="513"/>
      <c r="AU14" s="513"/>
      <c r="AV14" s="513"/>
      <c r="AW14" s="513"/>
      <c r="AX14" s="513"/>
      <c r="AY14" s="826"/>
      <c r="AZ14" s="817">
        <f t="shared" si="8"/>
        <v>34</v>
      </c>
      <c r="BA14" s="818" t="str">
        <f t="shared" si="2"/>
        <v>leerling 5</v>
      </c>
      <c r="BB14" s="819"/>
    </row>
    <row r="15" spans="2:54" x14ac:dyDescent="0.25">
      <c r="B15" s="752">
        <v>6</v>
      </c>
      <c r="C15" s="804" t="str">
        <f>BEGINBLAD!C9</f>
        <v>leerling 6</v>
      </c>
      <c r="D15" s="806"/>
      <c r="E15" s="806">
        <f t="shared" si="0"/>
        <v>34</v>
      </c>
      <c r="F15" s="806"/>
      <c r="G15" s="806"/>
      <c r="H15" s="805"/>
      <c r="I15" s="805"/>
      <c r="J15" s="805"/>
      <c r="K15" s="807"/>
      <c r="L15" s="808" t="str">
        <f t="shared" si="3"/>
        <v/>
      </c>
      <c r="M15" s="808">
        <f t="shared" si="4"/>
        <v>0</v>
      </c>
      <c r="N15" s="808" t="str">
        <f t="shared" si="5"/>
        <v/>
      </c>
      <c r="O15" s="808" t="str">
        <f t="shared" si="6"/>
        <v/>
      </c>
      <c r="P15" s="808">
        <f t="shared" si="7"/>
        <v>0</v>
      </c>
      <c r="Q15" s="820" t="str">
        <f t="shared" si="1"/>
        <v>leerling 6</v>
      </c>
      <c r="R15" s="821"/>
      <c r="S15" s="822"/>
      <c r="T15" s="822"/>
      <c r="U15" s="822"/>
      <c r="V15" s="823"/>
      <c r="W15" s="824"/>
      <c r="X15" s="513"/>
      <c r="Y15" s="513"/>
      <c r="Z15" s="825"/>
      <c r="AA15" s="821"/>
      <c r="AB15" s="822"/>
      <c r="AC15" s="822"/>
      <c r="AD15" s="822"/>
      <c r="AE15" s="822"/>
      <c r="AF15" s="822"/>
      <c r="AG15" s="822"/>
      <c r="AH15" s="823"/>
      <c r="AI15" s="824"/>
      <c r="AJ15" s="513"/>
      <c r="AK15" s="513"/>
      <c r="AL15" s="513"/>
      <c r="AM15" s="513"/>
      <c r="AN15" s="513"/>
      <c r="AO15" s="513"/>
      <c r="AP15" s="513"/>
      <c r="AQ15" s="513"/>
      <c r="AR15" s="513"/>
      <c r="AS15" s="513"/>
      <c r="AT15" s="513"/>
      <c r="AU15" s="513"/>
      <c r="AV15" s="513"/>
      <c r="AW15" s="513"/>
      <c r="AX15" s="513"/>
      <c r="AY15" s="826"/>
      <c r="AZ15" s="817">
        <f t="shared" si="8"/>
        <v>34</v>
      </c>
      <c r="BA15" s="818" t="str">
        <f t="shared" si="2"/>
        <v>leerling 6</v>
      </c>
      <c r="BB15" s="819"/>
    </row>
    <row r="16" spans="2:54" x14ac:dyDescent="0.25">
      <c r="B16" s="752">
        <v>7</v>
      </c>
      <c r="C16" s="804" t="str">
        <f>BEGINBLAD!C10</f>
        <v>leerling 7</v>
      </c>
      <c r="D16" s="806"/>
      <c r="E16" s="806">
        <f t="shared" si="0"/>
        <v>34</v>
      </c>
      <c r="F16" s="806"/>
      <c r="G16" s="806"/>
      <c r="H16" s="805"/>
      <c r="I16" s="805"/>
      <c r="J16" s="805"/>
      <c r="K16" s="807"/>
      <c r="L16" s="808" t="str">
        <f t="shared" si="3"/>
        <v/>
      </c>
      <c r="M16" s="808">
        <f t="shared" si="4"/>
        <v>0</v>
      </c>
      <c r="N16" s="808" t="str">
        <f t="shared" si="5"/>
        <v/>
      </c>
      <c r="O16" s="808" t="str">
        <f t="shared" si="6"/>
        <v/>
      </c>
      <c r="P16" s="808">
        <f t="shared" si="7"/>
        <v>0</v>
      </c>
      <c r="Q16" s="820" t="str">
        <f t="shared" si="1"/>
        <v>leerling 7</v>
      </c>
      <c r="R16" s="821"/>
      <c r="S16" s="822"/>
      <c r="T16" s="822"/>
      <c r="U16" s="822"/>
      <c r="V16" s="823"/>
      <c r="W16" s="824"/>
      <c r="X16" s="513"/>
      <c r="Y16" s="513"/>
      <c r="Z16" s="825"/>
      <c r="AA16" s="821"/>
      <c r="AB16" s="822"/>
      <c r="AC16" s="822"/>
      <c r="AD16" s="822"/>
      <c r="AE16" s="822"/>
      <c r="AF16" s="822"/>
      <c r="AG16" s="822"/>
      <c r="AH16" s="823"/>
      <c r="AI16" s="824"/>
      <c r="AJ16" s="513"/>
      <c r="AK16" s="513"/>
      <c r="AL16" s="513"/>
      <c r="AM16" s="513"/>
      <c r="AN16" s="513"/>
      <c r="AO16" s="513"/>
      <c r="AP16" s="513"/>
      <c r="AQ16" s="513"/>
      <c r="AR16" s="513"/>
      <c r="AS16" s="513"/>
      <c r="AT16" s="513"/>
      <c r="AU16" s="513"/>
      <c r="AV16" s="513"/>
      <c r="AW16" s="513"/>
      <c r="AX16" s="513"/>
      <c r="AY16" s="826"/>
      <c r="AZ16" s="817">
        <f t="shared" si="8"/>
        <v>34</v>
      </c>
      <c r="BA16" s="818" t="str">
        <f t="shared" si="2"/>
        <v>leerling 7</v>
      </c>
      <c r="BB16" s="819"/>
    </row>
    <row r="17" spans="2:54" x14ac:dyDescent="0.25">
      <c r="B17" s="752">
        <v>8</v>
      </c>
      <c r="C17" s="804" t="str">
        <f>BEGINBLAD!C11</f>
        <v>leerling 8</v>
      </c>
      <c r="D17" s="806"/>
      <c r="E17" s="806">
        <f t="shared" si="0"/>
        <v>34</v>
      </c>
      <c r="F17" s="806"/>
      <c r="G17" s="806"/>
      <c r="H17" s="805"/>
      <c r="I17" s="805"/>
      <c r="J17" s="805"/>
      <c r="K17" s="807"/>
      <c r="L17" s="808" t="str">
        <f t="shared" si="3"/>
        <v/>
      </c>
      <c r="M17" s="808">
        <f t="shared" si="4"/>
        <v>0</v>
      </c>
      <c r="N17" s="808" t="str">
        <f t="shared" si="5"/>
        <v/>
      </c>
      <c r="O17" s="808" t="str">
        <f t="shared" si="6"/>
        <v/>
      </c>
      <c r="P17" s="808">
        <f t="shared" si="7"/>
        <v>0</v>
      </c>
      <c r="Q17" s="820" t="str">
        <f t="shared" si="1"/>
        <v>leerling 8</v>
      </c>
      <c r="R17" s="821"/>
      <c r="S17" s="822"/>
      <c r="T17" s="822"/>
      <c r="U17" s="822"/>
      <c r="V17" s="823"/>
      <c r="W17" s="824"/>
      <c r="X17" s="513"/>
      <c r="Y17" s="513"/>
      <c r="Z17" s="825"/>
      <c r="AA17" s="821"/>
      <c r="AB17" s="822"/>
      <c r="AC17" s="822"/>
      <c r="AD17" s="822"/>
      <c r="AE17" s="822"/>
      <c r="AF17" s="822"/>
      <c r="AG17" s="822"/>
      <c r="AH17" s="823"/>
      <c r="AI17" s="824"/>
      <c r="AJ17" s="513"/>
      <c r="AK17" s="513"/>
      <c r="AL17" s="513"/>
      <c r="AM17" s="513"/>
      <c r="AN17" s="513"/>
      <c r="AO17" s="513"/>
      <c r="AP17" s="513"/>
      <c r="AQ17" s="513"/>
      <c r="AR17" s="513"/>
      <c r="AS17" s="513"/>
      <c r="AT17" s="513"/>
      <c r="AU17" s="513"/>
      <c r="AV17" s="513"/>
      <c r="AW17" s="513"/>
      <c r="AX17" s="513"/>
      <c r="AY17" s="826"/>
      <c r="AZ17" s="817">
        <f t="shared" si="8"/>
        <v>34</v>
      </c>
      <c r="BA17" s="818" t="str">
        <f t="shared" si="2"/>
        <v>leerling 8</v>
      </c>
      <c r="BB17" s="819"/>
    </row>
    <row r="18" spans="2:54" x14ac:dyDescent="0.25">
      <c r="B18" s="752">
        <v>9</v>
      </c>
      <c r="C18" s="804">
        <f>BEGINBLAD!C12</f>
        <v>0</v>
      </c>
      <c r="D18" s="806"/>
      <c r="E18" s="806" t="str">
        <f t="shared" si="0"/>
        <v/>
      </c>
      <c r="F18" s="806"/>
      <c r="G18" s="806"/>
      <c r="H18" s="805"/>
      <c r="I18" s="805"/>
      <c r="J18" s="805"/>
      <c r="K18" s="807"/>
      <c r="L18" s="808" t="str">
        <f t="shared" si="3"/>
        <v/>
      </c>
      <c r="M18" s="808" t="str">
        <f t="shared" si="4"/>
        <v/>
      </c>
      <c r="N18" s="808" t="str">
        <f t="shared" si="5"/>
        <v/>
      </c>
      <c r="O18" s="808" t="str">
        <f t="shared" si="6"/>
        <v/>
      </c>
      <c r="P18" s="808">
        <f t="shared" si="7"/>
        <v>0</v>
      </c>
      <c r="Q18" s="820">
        <f t="shared" si="1"/>
        <v>0</v>
      </c>
      <c r="R18" s="821"/>
      <c r="S18" s="822"/>
      <c r="T18" s="822"/>
      <c r="U18" s="822"/>
      <c r="V18" s="823"/>
      <c r="W18" s="824"/>
      <c r="X18" s="513"/>
      <c r="Y18" s="513"/>
      <c r="Z18" s="825"/>
      <c r="AA18" s="821"/>
      <c r="AB18" s="822"/>
      <c r="AC18" s="822"/>
      <c r="AD18" s="822"/>
      <c r="AE18" s="822"/>
      <c r="AF18" s="822"/>
      <c r="AG18" s="822"/>
      <c r="AH18" s="823"/>
      <c r="AI18" s="824"/>
      <c r="AJ18" s="513"/>
      <c r="AK18" s="513"/>
      <c r="AL18" s="513"/>
      <c r="AM18" s="513"/>
      <c r="AN18" s="513"/>
      <c r="AO18" s="513"/>
      <c r="AP18" s="513"/>
      <c r="AQ18" s="513"/>
      <c r="AR18" s="513"/>
      <c r="AS18" s="513"/>
      <c r="AT18" s="513"/>
      <c r="AU18" s="513"/>
      <c r="AV18" s="513"/>
      <c r="AW18" s="513"/>
      <c r="AX18" s="513"/>
      <c r="AY18" s="826"/>
      <c r="AZ18" s="817" t="str">
        <f t="shared" si="8"/>
        <v/>
      </c>
      <c r="BA18" s="818">
        <f t="shared" si="2"/>
        <v>0</v>
      </c>
      <c r="BB18" s="819"/>
    </row>
    <row r="19" spans="2:54" x14ac:dyDescent="0.25">
      <c r="B19" s="752">
        <v>10</v>
      </c>
      <c r="C19" s="804">
        <f>BEGINBLAD!C13</f>
        <v>0</v>
      </c>
      <c r="D19" s="806"/>
      <c r="E19" s="806" t="str">
        <f t="shared" si="0"/>
        <v/>
      </c>
      <c r="F19" s="806"/>
      <c r="G19" s="806"/>
      <c r="H19" s="805"/>
      <c r="I19" s="805"/>
      <c r="J19" s="805"/>
      <c r="K19" s="807"/>
      <c r="L19" s="808" t="str">
        <f t="shared" si="3"/>
        <v/>
      </c>
      <c r="M19" s="808" t="str">
        <f t="shared" si="4"/>
        <v/>
      </c>
      <c r="N19" s="808" t="str">
        <f t="shared" si="5"/>
        <v/>
      </c>
      <c r="O19" s="808" t="str">
        <f t="shared" si="6"/>
        <v/>
      </c>
      <c r="P19" s="808">
        <f t="shared" si="7"/>
        <v>0</v>
      </c>
      <c r="Q19" s="820">
        <f t="shared" si="1"/>
        <v>0</v>
      </c>
      <c r="R19" s="821"/>
      <c r="S19" s="822"/>
      <c r="T19" s="822"/>
      <c r="U19" s="822"/>
      <c r="V19" s="823"/>
      <c r="W19" s="824"/>
      <c r="X19" s="513"/>
      <c r="Y19" s="513"/>
      <c r="Z19" s="825"/>
      <c r="AA19" s="821"/>
      <c r="AB19" s="822"/>
      <c r="AC19" s="822"/>
      <c r="AD19" s="822"/>
      <c r="AE19" s="822"/>
      <c r="AF19" s="822"/>
      <c r="AG19" s="822"/>
      <c r="AH19" s="823"/>
      <c r="AI19" s="824"/>
      <c r="AJ19" s="513"/>
      <c r="AK19" s="513"/>
      <c r="AL19" s="513"/>
      <c r="AM19" s="513"/>
      <c r="AN19" s="513"/>
      <c r="AO19" s="513"/>
      <c r="AP19" s="513"/>
      <c r="AQ19" s="513"/>
      <c r="AR19" s="513"/>
      <c r="AS19" s="513"/>
      <c r="AT19" s="513"/>
      <c r="AU19" s="513"/>
      <c r="AV19" s="513"/>
      <c r="AW19" s="513"/>
      <c r="AX19" s="513"/>
      <c r="AY19" s="826"/>
      <c r="AZ19" s="817" t="str">
        <f t="shared" si="8"/>
        <v/>
      </c>
      <c r="BA19" s="818">
        <f t="shared" si="2"/>
        <v>0</v>
      </c>
      <c r="BB19" s="819"/>
    </row>
    <row r="20" spans="2:54" x14ac:dyDescent="0.25">
      <c r="B20" s="752">
        <v>11</v>
      </c>
      <c r="C20" s="804">
        <f>BEGINBLAD!C14</f>
        <v>0</v>
      </c>
      <c r="D20" s="806"/>
      <c r="E20" s="806" t="str">
        <f t="shared" si="0"/>
        <v/>
      </c>
      <c r="F20" s="806"/>
      <c r="G20" s="806"/>
      <c r="H20" s="805"/>
      <c r="I20" s="805"/>
      <c r="J20" s="805"/>
      <c r="K20" s="807"/>
      <c r="L20" s="808" t="str">
        <f t="shared" si="3"/>
        <v/>
      </c>
      <c r="M20" s="808" t="str">
        <f t="shared" si="4"/>
        <v/>
      </c>
      <c r="N20" s="808" t="str">
        <f t="shared" si="5"/>
        <v/>
      </c>
      <c r="O20" s="808" t="str">
        <f t="shared" si="6"/>
        <v/>
      </c>
      <c r="P20" s="808">
        <f t="shared" si="7"/>
        <v>0</v>
      </c>
      <c r="Q20" s="820">
        <f t="shared" si="1"/>
        <v>0</v>
      </c>
      <c r="R20" s="821"/>
      <c r="S20" s="822"/>
      <c r="T20" s="822"/>
      <c r="U20" s="822"/>
      <c r="V20" s="823"/>
      <c r="W20" s="824"/>
      <c r="X20" s="513"/>
      <c r="Y20" s="513"/>
      <c r="Z20" s="825"/>
      <c r="AA20" s="821"/>
      <c r="AB20" s="822"/>
      <c r="AC20" s="822"/>
      <c r="AD20" s="822"/>
      <c r="AE20" s="822"/>
      <c r="AF20" s="822"/>
      <c r="AG20" s="822"/>
      <c r="AH20" s="823"/>
      <c r="AI20" s="824"/>
      <c r="AJ20" s="513"/>
      <c r="AK20" s="513"/>
      <c r="AL20" s="513"/>
      <c r="AM20" s="513"/>
      <c r="AN20" s="513"/>
      <c r="AO20" s="513"/>
      <c r="AP20" s="513"/>
      <c r="AQ20" s="513"/>
      <c r="AR20" s="513"/>
      <c r="AS20" s="513"/>
      <c r="AT20" s="513"/>
      <c r="AU20" s="513"/>
      <c r="AV20" s="513"/>
      <c r="AW20" s="513"/>
      <c r="AX20" s="513"/>
      <c r="AY20" s="826"/>
      <c r="AZ20" s="817" t="str">
        <f t="shared" si="8"/>
        <v/>
      </c>
      <c r="BA20" s="818">
        <f t="shared" si="2"/>
        <v>0</v>
      </c>
      <c r="BB20" s="819"/>
    </row>
    <row r="21" spans="2:54" x14ac:dyDescent="0.25">
      <c r="B21" s="752">
        <v>12</v>
      </c>
      <c r="C21" s="804">
        <f>BEGINBLAD!C15</f>
        <v>0</v>
      </c>
      <c r="D21" s="806"/>
      <c r="E21" s="806" t="str">
        <f t="shared" si="0"/>
        <v/>
      </c>
      <c r="F21" s="806"/>
      <c r="G21" s="806"/>
      <c r="H21" s="805"/>
      <c r="I21" s="805"/>
      <c r="J21" s="805"/>
      <c r="K21" s="807"/>
      <c r="L21" s="808" t="str">
        <f t="shared" si="3"/>
        <v/>
      </c>
      <c r="M21" s="808" t="str">
        <f t="shared" si="4"/>
        <v/>
      </c>
      <c r="N21" s="808" t="str">
        <f t="shared" si="5"/>
        <v/>
      </c>
      <c r="O21" s="808" t="str">
        <f t="shared" si="6"/>
        <v/>
      </c>
      <c r="P21" s="808">
        <f t="shared" si="7"/>
        <v>0</v>
      </c>
      <c r="Q21" s="820">
        <f t="shared" si="1"/>
        <v>0</v>
      </c>
      <c r="R21" s="821"/>
      <c r="S21" s="822"/>
      <c r="T21" s="822"/>
      <c r="U21" s="822"/>
      <c r="V21" s="823"/>
      <c r="W21" s="824"/>
      <c r="X21" s="513"/>
      <c r="Y21" s="513"/>
      <c r="Z21" s="825"/>
      <c r="AA21" s="821"/>
      <c r="AB21" s="822"/>
      <c r="AC21" s="822"/>
      <c r="AD21" s="822"/>
      <c r="AE21" s="822"/>
      <c r="AF21" s="822"/>
      <c r="AG21" s="822"/>
      <c r="AH21" s="823"/>
      <c r="AI21" s="824"/>
      <c r="AJ21" s="513"/>
      <c r="AK21" s="513"/>
      <c r="AL21" s="513"/>
      <c r="AM21" s="513"/>
      <c r="AN21" s="513"/>
      <c r="AO21" s="513"/>
      <c r="AP21" s="513"/>
      <c r="AQ21" s="513"/>
      <c r="AR21" s="513"/>
      <c r="AS21" s="513"/>
      <c r="AT21" s="513"/>
      <c r="AU21" s="513"/>
      <c r="AV21" s="513"/>
      <c r="AW21" s="513"/>
      <c r="AX21" s="513"/>
      <c r="AY21" s="826"/>
      <c r="AZ21" s="817" t="str">
        <f t="shared" si="8"/>
        <v/>
      </c>
      <c r="BA21" s="818">
        <f t="shared" si="2"/>
        <v>0</v>
      </c>
      <c r="BB21" s="819"/>
    </row>
    <row r="22" spans="2:54" x14ac:dyDescent="0.25">
      <c r="B22" s="752">
        <v>13</v>
      </c>
      <c r="C22" s="804">
        <f>BEGINBLAD!C16</f>
        <v>0</v>
      </c>
      <c r="D22" s="806"/>
      <c r="E22" s="806" t="str">
        <f t="shared" si="0"/>
        <v/>
      </c>
      <c r="F22" s="806"/>
      <c r="G22" s="806"/>
      <c r="H22" s="805"/>
      <c r="I22" s="805"/>
      <c r="J22" s="805"/>
      <c r="K22" s="807"/>
      <c r="L22" s="808" t="str">
        <f t="shared" si="3"/>
        <v/>
      </c>
      <c r="M22" s="808" t="str">
        <f t="shared" si="4"/>
        <v/>
      </c>
      <c r="N22" s="808" t="str">
        <f t="shared" si="5"/>
        <v/>
      </c>
      <c r="O22" s="808" t="str">
        <f t="shared" si="6"/>
        <v/>
      </c>
      <c r="P22" s="808">
        <f t="shared" si="7"/>
        <v>0</v>
      </c>
      <c r="Q22" s="820">
        <f t="shared" si="1"/>
        <v>0</v>
      </c>
      <c r="R22" s="821"/>
      <c r="S22" s="822"/>
      <c r="T22" s="822"/>
      <c r="U22" s="822"/>
      <c r="V22" s="823"/>
      <c r="W22" s="824"/>
      <c r="X22" s="513"/>
      <c r="Y22" s="513"/>
      <c r="Z22" s="825"/>
      <c r="AA22" s="821"/>
      <c r="AB22" s="822"/>
      <c r="AC22" s="822"/>
      <c r="AD22" s="822"/>
      <c r="AE22" s="822"/>
      <c r="AF22" s="822"/>
      <c r="AG22" s="822"/>
      <c r="AH22" s="823"/>
      <c r="AI22" s="824"/>
      <c r="AJ22" s="513"/>
      <c r="AK22" s="513"/>
      <c r="AL22" s="513"/>
      <c r="AM22" s="513"/>
      <c r="AN22" s="513"/>
      <c r="AO22" s="513"/>
      <c r="AP22" s="513"/>
      <c r="AQ22" s="513"/>
      <c r="AR22" s="513"/>
      <c r="AS22" s="513"/>
      <c r="AT22" s="513"/>
      <c r="AU22" s="513"/>
      <c r="AV22" s="513"/>
      <c r="AW22" s="513"/>
      <c r="AX22" s="513"/>
      <c r="AY22" s="826"/>
      <c r="AZ22" s="817" t="str">
        <f t="shared" si="8"/>
        <v/>
      </c>
      <c r="BA22" s="818">
        <f t="shared" si="2"/>
        <v>0</v>
      </c>
      <c r="BB22" s="819"/>
    </row>
    <row r="23" spans="2:54" x14ac:dyDescent="0.25">
      <c r="B23" s="752">
        <v>14</v>
      </c>
      <c r="C23" s="804">
        <f>BEGINBLAD!C17</f>
        <v>0</v>
      </c>
      <c r="D23" s="806"/>
      <c r="E23" s="806" t="str">
        <f t="shared" si="0"/>
        <v/>
      </c>
      <c r="F23" s="806"/>
      <c r="G23" s="806"/>
      <c r="H23" s="805"/>
      <c r="I23" s="805"/>
      <c r="J23" s="805"/>
      <c r="K23" s="807"/>
      <c r="L23" s="808" t="str">
        <f t="shared" si="3"/>
        <v/>
      </c>
      <c r="M23" s="808" t="str">
        <f t="shared" si="4"/>
        <v/>
      </c>
      <c r="N23" s="808" t="str">
        <f t="shared" si="5"/>
        <v/>
      </c>
      <c r="O23" s="808" t="str">
        <f t="shared" si="6"/>
        <v/>
      </c>
      <c r="P23" s="808">
        <f t="shared" si="7"/>
        <v>0</v>
      </c>
      <c r="Q23" s="820">
        <f t="shared" si="1"/>
        <v>0</v>
      </c>
      <c r="R23" s="821"/>
      <c r="S23" s="822"/>
      <c r="T23" s="822"/>
      <c r="U23" s="822"/>
      <c r="V23" s="823"/>
      <c r="W23" s="824"/>
      <c r="X23" s="513"/>
      <c r="Y23" s="513"/>
      <c r="Z23" s="825"/>
      <c r="AA23" s="821"/>
      <c r="AB23" s="822"/>
      <c r="AC23" s="822"/>
      <c r="AD23" s="822"/>
      <c r="AE23" s="822"/>
      <c r="AF23" s="822"/>
      <c r="AG23" s="822"/>
      <c r="AH23" s="823"/>
      <c r="AI23" s="824"/>
      <c r="AJ23" s="513"/>
      <c r="AK23" s="513"/>
      <c r="AL23" s="513"/>
      <c r="AM23" s="513"/>
      <c r="AN23" s="513"/>
      <c r="AO23" s="513"/>
      <c r="AP23" s="513"/>
      <c r="AQ23" s="513"/>
      <c r="AR23" s="513"/>
      <c r="AS23" s="513"/>
      <c r="AT23" s="513"/>
      <c r="AU23" s="513"/>
      <c r="AV23" s="513"/>
      <c r="AW23" s="513"/>
      <c r="AX23" s="513"/>
      <c r="AY23" s="826"/>
      <c r="AZ23" s="817" t="str">
        <f t="shared" si="8"/>
        <v/>
      </c>
      <c r="BA23" s="818">
        <f t="shared" si="2"/>
        <v>0</v>
      </c>
      <c r="BB23" s="819"/>
    </row>
    <row r="24" spans="2:54" x14ac:dyDescent="0.25">
      <c r="B24" s="752">
        <v>15</v>
      </c>
      <c r="C24" s="804">
        <f>BEGINBLAD!C18</f>
        <v>0</v>
      </c>
      <c r="D24" s="806"/>
      <c r="E24" s="806" t="str">
        <f t="shared" si="0"/>
        <v/>
      </c>
      <c r="F24" s="806"/>
      <c r="G24" s="806"/>
      <c r="H24" s="805"/>
      <c r="I24" s="805"/>
      <c r="J24" s="805"/>
      <c r="K24" s="807"/>
      <c r="L24" s="808" t="str">
        <f t="shared" si="3"/>
        <v/>
      </c>
      <c r="M24" s="808" t="str">
        <f t="shared" si="4"/>
        <v/>
      </c>
      <c r="N24" s="808" t="str">
        <f t="shared" si="5"/>
        <v/>
      </c>
      <c r="O24" s="808" t="str">
        <f t="shared" si="6"/>
        <v/>
      </c>
      <c r="P24" s="808">
        <f t="shared" si="7"/>
        <v>0</v>
      </c>
      <c r="Q24" s="820">
        <f t="shared" si="1"/>
        <v>0</v>
      </c>
      <c r="R24" s="821"/>
      <c r="S24" s="822"/>
      <c r="T24" s="822"/>
      <c r="U24" s="822"/>
      <c r="V24" s="823"/>
      <c r="W24" s="824"/>
      <c r="X24" s="513"/>
      <c r="Y24" s="513"/>
      <c r="Z24" s="825"/>
      <c r="AA24" s="821"/>
      <c r="AB24" s="822"/>
      <c r="AC24" s="822"/>
      <c r="AD24" s="822"/>
      <c r="AE24" s="822"/>
      <c r="AF24" s="822"/>
      <c r="AG24" s="822"/>
      <c r="AH24" s="823"/>
      <c r="AI24" s="824"/>
      <c r="AJ24" s="513"/>
      <c r="AK24" s="513"/>
      <c r="AL24" s="513"/>
      <c r="AM24" s="513"/>
      <c r="AN24" s="513"/>
      <c r="AO24" s="513"/>
      <c r="AP24" s="513"/>
      <c r="AQ24" s="513"/>
      <c r="AR24" s="513"/>
      <c r="AS24" s="513"/>
      <c r="AT24" s="513"/>
      <c r="AU24" s="513"/>
      <c r="AV24" s="513"/>
      <c r="AW24" s="513"/>
      <c r="AX24" s="513"/>
      <c r="AY24" s="826"/>
      <c r="AZ24" s="817" t="str">
        <f t="shared" si="8"/>
        <v/>
      </c>
      <c r="BA24" s="818">
        <f t="shared" si="2"/>
        <v>0</v>
      </c>
      <c r="BB24" s="819"/>
    </row>
    <row r="25" spans="2:54" x14ac:dyDescent="0.25">
      <c r="B25" s="752">
        <v>16</v>
      </c>
      <c r="C25" s="804">
        <f>BEGINBLAD!C19</f>
        <v>0</v>
      </c>
      <c r="D25" s="806"/>
      <c r="E25" s="806" t="str">
        <f t="shared" si="0"/>
        <v/>
      </c>
      <c r="F25" s="806"/>
      <c r="G25" s="806"/>
      <c r="H25" s="805"/>
      <c r="I25" s="805"/>
      <c r="J25" s="805"/>
      <c r="K25" s="807"/>
      <c r="L25" s="808" t="str">
        <f t="shared" si="3"/>
        <v/>
      </c>
      <c r="M25" s="808" t="str">
        <f t="shared" si="4"/>
        <v/>
      </c>
      <c r="N25" s="808" t="str">
        <f t="shared" si="5"/>
        <v/>
      </c>
      <c r="O25" s="808" t="str">
        <f t="shared" si="6"/>
        <v/>
      </c>
      <c r="P25" s="808">
        <f t="shared" si="7"/>
        <v>0</v>
      </c>
      <c r="Q25" s="820">
        <f t="shared" si="1"/>
        <v>0</v>
      </c>
      <c r="R25" s="821"/>
      <c r="S25" s="822"/>
      <c r="T25" s="822"/>
      <c r="U25" s="822"/>
      <c r="V25" s="823"/>
      <c r="W25" s="824"/>
      <c r="X25" s="513"/>
      <c r="Y25" s="513"/>
      <c r="Z25" s="825"/>
      <c r="AA25" s="821"/>
      <c r="AB25" s="822"/>
      <c r="AC25" s="822"/>
      <c r="AD25" s="822"/>
      <c r="AE25" s="822"/>
      <c r="AF25" s="822"/>
      <c r="AG25" s="822"/>
      <c r="AH25" s="823"/>
      <c r="AI25" s="824"/>
      <c r="AJ25" s="513"/>
      <c r="AK25" s="513"/>
      <c r="AL25" s="513"/>
      <c r="AM25" s="513"/>
      <c r="AN25" s="513"/>
      <c r="AO25" s="513"/>
      <c r="AP25" s="513"/>
      <c r="AQ25" s="513"/>
      <c r="AR25" s="513"/>
      <c r="AS25" s="513"/>
      <c r="AT25" s="513"/>
      <c r="AU25" s="513"/>
      <c r="AV25" s="513"/>
      <c r="AW25" s="513"/>
      <c r="AX25" s="513"/>
      <c r="AY25" s="826"/>
      <c r="AZ25" s="817" t="str">
        <f t="shared" si="8"/>
        <v/>
      </c>
      <c r="BA25" s="818">
        <f t="shared" si="2"/>
        <v>0</v>
      </c>
      <c r="BB25" s="819"/>
    </row>
    <row r="26" spans="2:54" x14ac:dyDescent="0.25">
      <c r="B26" s="752">
        <v>17</v>
      </c>
      <c r="C26" s="804">
        <f>BEGINBLAD!C20</f>
        <v>0</v>
      </c>
      <c r="D26" s="806"/>
      <c r="E26" s="806" t="str">
        <f t="shared" si="0"/>
        <v/>
      </c>
      <c r="F26" s="806"/>
      <c r="G26" s="806"/>
      <c r="H26" s="805"/>
      <c r="I26" s="805"/>
      <c r="J26" s="805"/>
      <c r="K26" s="807"/>
      <c r="L26" s="808" t="str">
        <f t="shared" si="3"/>
        <v/>
      </c>
      <c r="M26" s="808" t="str">
        <f t="shared" si="4"/>
        <v/>
      </c>
      <c r="N26" s="808" t="str">
        <f t="shared" si="5"/>
        <v/>
      </c>
      <c r="O26" s="808" t="str">
        <f t="shared" si="6"/>
        <v/>
      </c>
      <c r="P26" s="808">
        <f t="shared" si="7"/>
        <v>0</v>
      </c>
      <c r="Q26" s="820">
        <f t="shared" si="1"/>
        <v>0</v>
      </c>
      <c r="R26" s="821"/>
      <c r="S26" s="822"/>
      <c r="T26" s="822"/>
      <c r="U26" s="822"/>
      <c r="V26" s="823"/>
      <c r="W26" s="824"/>
      <c r="X26" s="513"/>
      <c r="Y26" s="513"/>
      <c r="Z26" s="825"/>
      <c r="AA26" s="821"/>
      <c r="AB26" s="822"/>
      <c r="AC26" s="822"/>
      <c r="AD26" s="822"/>
      <c r="AE26" s="822"/>
      <c r="AF26" s="822"/>
      <c r="AG26" s="822"/>
      <c r="AH26" s="823"/>
      <c r="AI26" s="824"/>
      <c r="AJ26" s="513"/>
      <c r="AK26" s="513"/>
      <c r="AL26" s="513"/>
      <c r="AM26" s="513"/>
      <c r="AN26" s="513"/>
      <c r="AO26" s="513"/>
      <c r="AP26" s="513"/>
      <c r="AQ26" s="513"/>
      <c r="AR26" s="513"/>
      <c r="AS26" s="513"/>
      <c r="AT26" s="513"/>
      <c r="AU26" s="513"/>
      <c r="AV26" s="513"/>
      <c r="AW26" s="513"/>
      <c r="AX26" s="513"/>
      <c r="AY26" s="826"/>
      <c r="AZ26" s="817" t="str">
        <f t="shared" si="8"/>
        <v/>
      </c>
      <c r="BA26" s="818">
        <f t="shared" si="2"/>
        <v>0</v>
      </c>
      <c r="BB26" s="819"/>
    </row>
    <row r="27" spans="2:54" x14ac:dyDescent="0.25">
      <c r="B27" s="752">
        <v>18</v>
      </c>
      <c r="C27" s="804">
        <f>BEGINBLAD!C21</f>
        <v>0</v>
      </c>
      <c r="D27" s="806"/>
      <c r="E27" s="806" t="str">
        <f t="shared" si="0"/>
        <v/>
      </c>
      <c r="F27" s="806"/>
      <c r="G27" s="806"/>
      <c r="H27" s="805"/>
      <c r="I27" s="805"/>
      <c r="J27" s="805"/>
      <c r="K27" s="807"/>
      <c r="L27" s="808" t="str">
        <f t="shared" si="3"/>
        <v/>
      </c>
      <c r="M27" s="808" t="str">
        <f t="shared" si="4"/>
        <v/>
      </c>
      <c r="N27" s="808" t="str">
        <f t="shared" si="5"/>
        <v/>
      </c>
      <c r="O27" s="808" t="str">
        <f t="shared" si="6"/>
        <v/>
      </c>
      <c r="P27" s="808">
        <f t="shared" si="7"/>
        <v>0</v>
      </c>
      <c r="Q27" s="820">
        <f t="shared" si="1"/>
        <v>0</v>
      </c>
      <c r="R27" s="821"/>
      <c r="S27" s="822"/>
      <c r="T27" s="822"/>
      <c r="U27" s="822"/>
      <c r="V27" s="823"/>
      <c r="W27" s="824"/>
      <c r="X27" s="513"/>
      <c r="Y27" s="513"/>
      <c r="Z27" s="825"/>
      <c r="AA27" s="821"/>
      <c r="AB27" s="822"/>
      <c r="AC27" s="822"/>
      <c r="AD27" s="822"/>
      <c r="AE27" s="822"/>
      <c r="AF27" s="822"/>
      <c r="AG27" s="822"/>
      <c r="AH27" s="823"/>
      <c r="AI27" s="824"/>
      <c r="AJ27" s="513"/>
      <c r="AK27" s="513"/>
      <c r="AL27" s="513"/>
      <c r="AM27" s="513"/>
      <c r="AN27" s="513"/>
      <c r="AO27" s="513"/>
      <c r="AP27" s="513"/>
      <c r="AQ27" s="513"/>
      <c r="AR27" s="513"/>
      <c r="AS27" s="513"/>
      <c r="AT27" s="513"/>
      <c r="AU27" s="513"/>
      <c r="AV27" s="513"/>
      <c r="AW27" s="513"/>
      <c r="AX27" s="513"/>
      <c r="AY27" s="826"/>
      <c r="AZ27" s="817" t="str">
        <f t="shared" si="8"/>
        <v/>
      </c>
      <c r="BA27" s="818">
        <f t="shared" si="2"/>
        <v>0</v>
      </c>
      <c r="BB27" s="819"/>
    </row>
    <row r="28" spans="2:54" x14ac:dyDescent="0.25">
      <c r="B28" s="752">
        <v>19</v>
      </c>
      <c r="C28" s="804">
        <f>BEGINBLAD!C22</f>
        <v>0</v>
      </c>
      <c r="D28" s="806"/>
      <c r="E28" s="806" t="str">
        <f t="shared" si="0"/>
        <v/>
      </c>
      <c r="F28" s="806"/>
      <c r="G28" s="806"/>
      <c r="H28" s="805"/>
      <c r="I28" s="805"/>
      <c r="J28" s="805"/>
      <c r="K28" s="807"/>
      <c r="L28" s="808" t="str">
        <f t="shared" si="3"/>
        <v/>
      </c>
      <c r="M28" s="808" t="str">
        <f t="shared" si="4"/>
        <v/>
      </c>
      <c r="N28" s="808" t="str">
        <f t="shared" si="5"/>
        <v/>
      </c>
      <c r="O28" s="808" t="str">
        <f t="shared" si="6"/>
        <v/>
      </c>
      <c r="P28" s="808">
        <f t="shared" si="7"/>
        <v>0</v>
      </c>
      <c r="Q28" s="820">
        <f t="shared" si="1"/>
        <v>0</v>
      </c>
      <c r="R28" s="821"/>
      <c r="S28" s="822"/>
      <c r="T28" s="822"/>
      <c r="U28" s="822"/>
      <c r="V28" s="823"/>
      <c r="W28" s="824"/>
      <c r="X28" s="513"/>
      <c r="Y28" s="513"/>
      <c r="Z28" s="825"/>
      <c r="AA28" s="821"/>
      <c r="AB28" s="822"/>
      <c r="AC28" s="822"/>
      <c r="AD28" s="822"/>
      <c r="AE28" s="822"/>
      <c r="AF28" s="822"/>
      <c r="AG28" s="822"/>
      <c r="AH28" s="823"/>
      <c r="AI28" s="824"/>
      <c r="AJ28" s="513"/>
      <c r="AK28" s="513"/>
      <c r="AL28" s="513"/>
      <c r="AM28" s="513"/>
      <c r="AN28" s="513"/>
      <c r="AO28" s="513"/>
      <c r="AP28" s="513"/>
      <c r="AQ28" s="513"/>
      <c r="AR28" s="513"/>
      <c r="AS28" s="513"/>
      <c r="AT28" s="513"/>
      <c r="AU28" s="513"/>
      <c r="AV28" s="513"/>
      <c r="AW28" s="513"/>
      <c r="AX28" s="513"/>
      <c r="AY28" s="826"/>
      <c r="AZ28" s="817" t="str">
        <f t="shared" si="8"/>
        <v/>
      </c>
      <c r="BA28" s="818">
        <f t="shared" si="2"/>
        <v>0</v>
      </c>
      <c r="BB28" s="819"/>
    </row>
    <row r="29" spans="2:54" x14ac:dyDescent="0.25">
      <c r="B29" s="752">
        <v>20</v>
      </c>
      <c r="C29" s="804">
        <f>BEGINBLAD!C23</f>
        <v>0</v>
      </c>
      <c r="D29" s="806"/>
      <c r="E29" s="806" t="str">
        <f t="shared" si="0"/>
        <v/>
      </c>
      <c r="F29" s="806"/>
      <c r="G29" s="806"/>
      <c r="H29" s="805"/>
      <c r="I29" s="805"/>
      <c r="J29" s="805"/>
      <c r="K29" s="807"/>
      <c r="L29" s="808" t="str">
        <f t="shared" si="3"/>
        <v/>
      </c>
      <c r="M29" s="808" t="str">
        <f t="shared" si="4"/>
        <v/>
      </c>
      <c r="N29" s="808" t="str">
        <f t="shared" si="5"/>
        <v/>
      </c>
      <c r="O29" s="808" t="str">
        <f t="shared" si="6"/>
        <v/>
      </c>
      <c r="P29" s="808">
        <f t="shared" si="7"/>
        <v>0</v>
      </c>
      <c r="Q29" s="820">
        <f t="shared" si="1"/>
        <v>0</v>
      </c>
      <c r="R29" s="821"/>
      <c r="S29" s="822"/>
      <c r="T29" s="822"/>
      <c r="U29" s="822"/>
      <c r="V29" s="823"/>
      <c r="W29" s="824"/>
      <c r="X29" s="513"/>
      <c r="Y29" s="513"/>
      <c r="Z29" s="825"/>
      <c r="AA29" s="821"/>
      <c r="AB29" s="822"/>
      <c r="AC29" s="822"/>
      <c r="AD29" s="822"/>
      <c r="AE29" s="822"/>
      <c r="AF29" s="822"/>
      <c r="AG29" s="822"/>
      <c r="AH29" s="823"/>
      <c r="AI29" s="824"/>
      <c r="AJ29" s="513"/>
      <c r="AK29" s="513"/>
      <c r="AL29" s="513"/>
      <c r="AM29" s="513"/>
      <c r="AN29" s="513"/>
      <c r="AO29" s="513"/>
      <c r="AP29" s="513"/>
      <c r="AQ29" s="513"/>
      <c r="AR29" s="513"/>
      <c r="AS29" s="513"/>
      <c r="AT29" s="513"/>
      <c r="AU29" s="513"/>
      <c r="AV29" s="513"/>
      <c r="AW29" s="513"/>
      <c r="AX29" s="513"/>
      <c r="AY29" s="826"/>
      <c r="AZ29" s="817" t="str">
        <f t="shared" si="8"/>
        <v/>
      </c>
      <c r="BA29" s="818">
        <f t="shared" si="2"/>
        <v>0</v>
      </c>
      <c r="BB29" s="819"/>
    </row>
    <row r="30" spans="2:54" x14ac:dyDescent="0.25">
      <c r="B30" s="752">
        <v>21</v>
      </c>
      <c r="C30" s="804">
        <f>BEGINBLAD!C24</f>
        <v>0</v>
      </c>
      <c r="D30" s="806"/>
      <c r="E30" s="806" t="str">
        <f t="shared" si="0"/>
        <v/>
      </c>
      <c r="F30" s="806"/>
      <c r="G30" s="806"/>
      <c r="H30" s="805"/>
      <c r="I30" s="805"/>
      <c r="J30" s="805"/>
      <c r="K30" s="807"/>
      <c r="L30" s="808" t="str">
        <f t="shared" si="3"/>
        <v/>
      </c>
      <c r="M30" s="808" t="str">
        <f t="shared" si="4"/>
        <v/>
      </c>
      <c r="N30" s="808" t="str">
        <f t="shared" si="5"/>
        <v/>
      </c>
      <c r="O30" s="808" t="str">
        <f t="shared" si="6"/>
        <v/>
      </c>
      <c r="P30" s="808">
        <f t="shared" si="7"/>
        <v>0</v>
      </c>
      <c r="Q30" s="820">
        <f t="shared" si="1"/>
        <v>0</v>
      </c>
      <c r="R30" s="821"/>
      <c r="S30" s="822"/>
      <c r="T30" s="822"/>
      <c r="U30" s="822"/>
      <c r="V30" s="823"/>
      <c r="W30" s="824"/>
      <c r="X30" s="513"/>
      <c r="Y30" s="513"/>
      <c r="Z30" s="825"/>
      <c r="AA30" s="821"/>
      <c r="AB30" s="822"/>
      <c r="AC30" s="822"/>
      <c r="AD30" s="822"/>
      <c r="AE30" s="822"/>
      <c r="AF30" s="822"/>
      <c r="AG30" s="822"/>
      <c r="AH30" s="823"/>
      <c r="AI30" s="824"/>
      <c r="AJ30" s="513"/>
      <c r="AK30" s="513"/>
      <c r="AL30" s="513"/>
      <c r="AM30" s="513"/>
      <c r="AN30" s="513"/>
      <c r="AO30" s="513"/>
      <c r="AP30" s="513"/>
      <c r="AQ30" s="513"/>
      <c r="AR30" s="513"/>
      <c r="AS30" s="513"/>
      <c r="AT30" s="513"/>
      <c r="AU30" s="513"/>
      <c r="AV30" s="513"/>
      <c r="AW30" s="513"/>
      <c r="AX30" s="513"/>
      <c r="AY30" s="826"/>
      <c r="AZ30" s="817" t="str">
        <f t="shared" si="8"/>
        <v/>
      </c>
      <c r="BA30" s="818">
        <f t="shared" si="2"/>
        <v>0</v>
      </c>
      <c r="BB30" s="819"/>
    </row>
    <row r="31" spans="2:54" x14ac:dyDescent="0.25">
      <c r="B31" s="752">
        <v>22</v>
      </c>
      <c r="C31" s="804">
        <f>BEGINBLAD!C25</f>
        <v>0</v>
      </c>
      <c r="D31" s="806"/>
      <c r="E31" s="806" t="str">
        <f t="shared" si="0"/>
        <v/>
      </c>
      <c r="F31" s="806"/>
      <c r="G31" s="806"/>
      <c r="H31" s="805"/>
      <c r="I31" s="805"/>
      <c r="J31" s="805"/>
      <c r="K31" s="807"/>
      <c r="L31" s="808" t="str">
        <f t="shared" si="3"/>
        <v/>
      </c>
      <c r="M31" s="808" t="str">
        <f t="shared" si="4"/>
        <v/>
      </c>
      <c r="N31" s="808" t="str">
        <f t="shared" si="5"/>
        <v/>
      </c>
      <c r="O31" s="808" t="str">
        <f t="shared" si="6"/>
        <v/>
      </c>
      <c r="P31" s="808">
        <f t="shared" si="7"/>
        <v>0</v>
      </c>
      <c r="Q31" s="820">
        <f t="shared" si="1"/>
        <v>0</v>
      </c>
      <c r="R31" s="821"/>
      <c r="S31" s="822"/>
      <c r="T31" s="822"/>
      <c r="U31" s="822"/>
      <c r="V31" s="823"/>
      <c r="W31" s="824"/>
      <c r="X31" s="513"/>
      <c r="Y31" s="513"/>
      <c r="Z31" s="825"/>
      <c r="AA31" s="821"/>
      <c r="AB31" s="822"/>
      <c r="AC31" s="822"/>
      <c r="AD31" s="822"/>
      <c r="AE31" s="822"/>
      <c r="AF31" s="822"/>
      <c r="AG31" s="822"/>
      <c r="AH31" s="823"/>
      <c r="AI31" s="824"/>
      <c r="AJ31" s="513"/>
      <c r="AK31" s="513"/>
      <c r="AL31" s="513"/>
      <c r="AM31" s="513"/>
      <c r="AN31" s="513"/>
      <c r="AO31" s="513"/>
      <c r="AP31" s="513"/>
      <c r="AQ31" s="513"/>
      <c r="AR31" s="513"/>
      <c r="AS31" s="513"/>
      <c r="AT31" s="513"/>
      <c r="AU31" s="513"/>
      <c r="AV31" s="513"/>
      <c r="AW31" s="513"/>
      <c r="AX31" s="513"/>
      <c r="AY31" s="826"/>
      <c r="AZ31" s="817" t="str">
        <f t="shared" si="8"/>
        <v/>
      </c>
      <c r="BA31" s="818">
        <f t="shared" si="2"/>
        <v>0</v>
      </c>
      <c r="BB31" s="819"/>
    </row>
    <row r="32" spans="2:54" x14ac:dyDescent="0.25">
      <c r="B32" s="752">
        <v>23</v>
      </c>
      <c r="C32" s="804">
        <f>BEGINBLAD!C26</f>
        <v>0</v>
      </c>
      <c r="D32" s="806"/>
      <c r="E32" s="806" t="str">
        <f t="shared" si="0"/>
        <v/>
      </c>
      <c r="F32" s="806"/>
      <c r="G32" s="806"/>
      <c r="H32" s="805"/>
      <c r="I32" s="805"/>
      <c r="J32" s="805"/>
      <c r="K32" s="807"/>
      <c r="L32" s="808" t="str">
        <f t="shared" si="3"/>
        <v/>
      </c>
      <c r="M32" s="808" t="str">
        <f t="shared" si="4"/>
        <v/>
      </c>
      <c r="N32" s="808" t="str">
        <f t="shared" si="5"/>
        <v/>
      </c>
      <c r="O32" s="808" t="str">
        <f t="shared" si="6"/>
        <v/>
      </c>
      <c r="P32" s="808">
        <f t="shared" si="7"/>
        <v>0</v>
      </c>
      <c r="Q32" s="820">
        <f t="shared" si="1"/>
        <v>0</v>
      </c>
      <c r="R32" s="821"/>
      <c r="S32" s="822"/>
      <c r="T32" s="822"/>
      <c r="U32" s="822"/>
      <c r="V32" s="823"/>
      <c r="W32" s="824"/>
      <c r="X32" s="513"/>
      <c r="Y32" s="513"/>
      <c r="Z32" s="825"/>
      <c r="AA32" s="821"/>
      <c r="AB32" s="822"/>
      <c r="AC32" s="822"/>
      <c r="AD32" s="822"/>
      <c r="AE32" s="822"/>
      <c r="AF32" s="822"/>
      <c r="AG32" s="822"/>
      <c r="AH32" s="823"/>
      <c r="AI32" s="824"/>
      <c r="AJ32" s="513"/>
      <c r="AK32" s="513"/>
      <c r="AL32" s="513"/>
      <c r="AM32" s="513"/>
      <c r="AN32" s="513"/>
      <c r="AO32" s="513"/>
      <c r="AP32" s="513"/>
      <c r="AQ32" s="513"/>
      <c r="AR32" s="513"/>
      <c r="AS32" s="513"/>
      <c r="AT32" s="513"/>
      <c r="AU32" s="513"/>
      <c r="AV32" s="513"/>
      <c r="AW32" s="513"/>
      <c r="AX32" s="513"/>
      <c r="AY32" s="826"/>
      <c r="AZ32" s="817" t="str">
        <f t="shared" si="8"/>
        <v/>
      </c>
      <c r="BA32" s="818">
        <f t="shared" si="2"/>
        <v>0</v>
      </c>
      <c r="BB32" s="819"/>
    </row>
    <row r="33" spans="2:54" x14ac:dyDescent="0.25">
      <c r="B33" s="752">
        <v>24</v>
      </c>
      <c r="C33" s="804">
        <f>BEGINBLAD!C27</f>
        <v>0</v>
      </c>
      <c r="D33" s="806"/>
      <c r="E33" s="806" t="str">
        <f t="shared" si="0"/>
        <v/>
      </c>
      <c r="F33" s="806"/>
      <c r="G33" s="806"/>
      <c r="H33" s="805"/>
      <c r="I33" s="805"/>
      <c r="J33" s="805"/>
      <c r="K33" s="807"/>
      <c r="L33" s="808" t="str">
        <f t="shared" si="3"/>
        <v/>
      </c>
      <c r="M33" s="808" t="str">
        <f t="shared" si="4"/>
        <v/>
      </c>
      <c r="N33" s="808" t="str">
        <f t="shared" si="5"/>
        <v/>
      </c>
      <c r="O33" s="808" t="str">
        <f t="shared" si="6"/>
        <v/>
      </c>
      <c r="P33" s="808">
        <f t="shared" si="7"/>
        <v>0</v>
      </c>
      <c r="Q33" s="820">
        <f t="shared" si="1"/>
        <v>0</v>
      </c>
      <c r="R33" s="821"/>
      <c r="S33" s="822"/>
      <c r="T33" s="822"/>
      <c r="U33" s="822"/>
      <c r="V33" s="823"/>
      <c r="W33" s="824"/>
      <c r="X33" s="513"/>
      <c r="Y33" s="513"/>
      <c r="Z33" s="825"/>
      <c r="AA33" s="821"/>
      <c r="AB33" s="822"/>
      <c r="AC33" s="822"/>
      <c r="AD33" s="822"/>
      <c r="AE33" s="822"/>
      <c r="AF33" s="822"/>
      <c r="AG33" s="822"/>
      <c r="AH33" s="823"/>
      <c r="AI33" s="824"/>
      <c r="AJ33" s="513"/>
      <c r="AK33" s="513"/>
      <c r="AL33" s="513"/>
      <c r="AM33" s="513"/>
      <c r="AN33" s="513"/>
      <c r="AO33" s="513"/>
      <c r="AP33" s="513"/>
      <c r="AQ33" s="513"/>
      <c r="AR33" s="513"/>
      <c r="AS33" s="513"/>
      <c r="AT33" s="513"/>
      <c r="AU33" s="513"/>
      <c r="AV33" s="513"/>
      <c r="AW33" s="513"/>
      <c r="AX33" s="513"/>
      <c r="AY33" s="826"/>
      <c r="AZ33" s="817" t="str">
        <f t="shared" si="8"/>
        <v/>
      </c>
      <c r="BA33" s="818">
        <f t="shared" si="2"/>
        <v>0</v>
      </c>
      <c r="BB33" s="819"/>
    </row>
    <row r="34" spans="2:54" x14ac:dyDescent="0.25">
      <c r="B34" s="752">
        <v>25</v>
      </c>
      <c r="C34" s="804">
        <f>BEGINBLAD!C28</f>
        <v>0</v>
      </c>
      <c r="D34" s="806"/>
      <c r="E34" s="806" t="str">
        <f t="shared" si="0"/>
        <v/>
      </c>
      <c r="F34" s="806"/>
      <c r="G34" s="806"/>
      <c r="H34" s="805"/>
      <c r="I34" s="805"/>
      <c r="J34" s="805"/>
      <c r="K34" s="807"/>
      <c r="L34" s="808" t="str">
        <f t="shared" si="3"/>
        <v/>
      </c>
      <c r="M34" s="808" t="str">
        <f t="shared" si="4"/>
        <v/>
      </c>
      <c r="N34" s="808" t="str">
        <f t="shared" si="5"/>
        <v/>
      </c>
      <c r="O34" s="808" t="str">
        <f t="shared" si="6"/>
        <v/>
      </c>
      <c r="P34" s="808">
        <f t="shared" si="7"/>
        <v>0</v>
      </c>
      <c r="Q34" s="820">
        <f t="shared" si="1"/>
        <v>0</v>
      </c>
      <c r="R34" s="821"/>
      <c r="S34" s="822"/>
      <c r="T34" s="822"/>
      <c r="U34" s="822"/>
      <c r="V34" s="823"/>
      <c r="W34" s="824"/>
      <c r="X34" s="513"/>
      <c r="Y34" s="513"/>
      <c r="Z34" s="825"/>
      <c r="AA34" s="821"/>
      <c r="AB34" s="822"/>
      <c r="AC34" s="822"/>
      <c r="AD34" s="822"/>
      <c r="AE34" s="822"/>
      <c r="AF34" s="822"/>
      <c r="AG34" s="822"/>
      <c r="AH34" s="823"/>
      <c r="AI34" s="824"/>
      <c r="AJ34" s="513"/>
      <c r="AK34" s="513"/>
      <c r="AL34" s="513"/>
      <c r="AM34" s="513"/>
      <c r="AN34" s="513"/>
      <c r="AO34" s="513"/>
      <c r="AP34" s="513"/>
      <c r="AQ34" s="513"/>
      <c r="AR34" s="513"/>
      <c r="AS34" s="513"/>
      <c r="AT34" s="513"/>
      <c r="AU34" s="513"/>
      <c r="AV34" s="513"/>
      <c r="AW34" s="513"/>
      <c r="AX34" s="513"/>
      <c r="AY34" s="826"/>
      <c r="AZ34" s="817" t="str">
        <f t="shared" si="8"/>
        <v/>
      </c>
      <c r="BA34" s="818">
        <f t="shared" si="2"/>
        <v>0</v>
      </c>
      <c r="BB34" s="819"/>
    </row>
    <row r="35" spans="2:54" x14ac:dyDescent="0.25">
      <c r="B35" s="752">
        <v>26</v>
      </c>
      <c r="C35" s="804">
        <f>BEGINBLAD!C29</f>
        <v>0</v>
      </c>
      <c r="D35" s="806"/>
      <c r="E35" s="806" t="str">
        <f t="shared" si="0"/>
        <v/>
      </c>
      <c r="F35" s="806"/>
      <c r="G35" s="806"/>
      <c r="H35" s="805"/>
      <c r="I35" s="805"/>
      <c r="J35" s="805"/>
      <c r="K35" s="807"/>
      <c r="L35" s="808" t="str">
        <f t="shared" si="3"/>
        <v/>
      </c>
      <c r="M35" s="808" t="str">
        <f t="shared" si="4"/>
        <v/>
      </c>
      <c r="N35" s="808" t="str">
        <f t="shared" si="5"/>
        <v/>
      </c>
      <c r="O35" s="808" t="str">
        <f t="shared" si="6"/>
        <v/>
      </c>
      <c r="P35" s="808">
        <f t="shared" si="7"/>
        <v>0</v>
      </c>
      <c r="Q35" s="820">
        <f t="shared" si="1"/>
        <v>0</v>
      </c>
      <c r="R35" s="821"/>
      <c r="S35" s="822"/>
      <c r="T35" s="822"/>
      <c r="U35" s="822"/>
      <c r="V35" s="823"/>
      <c r="W35" s="824"/>
      <c r="X35" s="513"/>
      <c r="Y35" s="513"/>
      <c r="Z35" s="825"/>
      <c r="AA35" s="821"/>
      <c r="AB35" s="822"/>
      <c r="AC35" s="822"/>
      <c r="AD35" s="822"/>
      <c r="AE35" s="822"/>
      <c r="AF35" s="822"/>
      <c r="AG35" s="822"/>
      <c r="AH35" s="823"/>
      <c r="AI35" s="824"/>
      <c r="AJ35" s="513"/>
      <c r="AK35" s="513"/>
      <c r="AL35" s="513"/>
      <c r="AM35" s="513"/>
      <c r="AN35" s="513"/>
      <c r="AO35" s="513"/>
      <c r="AP35" s="513"/>
      <c r="AQ35" s="513"/>
      <c r="AR35" s="513"/>
      <c r="AS35" s="513"/>
      <c r="AT35" s="513"/>
      <c r="AU35" s="513"/>
      <c r="AV35" s="513"/>
      <c r="AW35" s="513"/>
      <c r="AX35" s="513"/>
      <c r="AY35" s="826"/>
      <c r="AZ35" s="817" t="str">
        <f t="shared" si="8"/>
        <v/>
      </c>
      <c r="BA35" s="818">
        <f t="shared" si="2"/>
        <v>0</v>
      </c>
      <c r="BB35" s="819"/>
    </row>
    <row r="36" spans="2:54" x14ac:dyDescent="0.25">
      <c r="B36" s="752">
        <v>27</v>
      </c>
      <c r="C36" s="804">
        <f>BEGINBLAD!C30</f>
        <v>0</v>
      </c>
      <c r="D36" s="806"/>
      <c r="E36" s="806" t="str">
        <f t="shared" si="0"/>
        <v/>
      </c>
      <c r="F36" s="806"/>
      <c r="G36" s="806"/>
      <c r="H36" s="805"/>
      <c r="I36" s="805"/>
      <c r="J36" s="805"/>
      <c r="K36" s="807"/>
      <c r="L36" s="808" t="str">
        <f t="shared" si="3"/>
        <v/>
      </c>
      <c r="M36" s="808" t="str">
        <f t="shared" si="4"/>
        <v/>
      </c>
      <c r="N36" s="808" t="str">
        <f t="shared" si="5"/>
        <v/>
      </c>
      <c r="O36" s="808" t="str">
        <f t="shared" si="6"/>
        <v/>
      </c>
      <c r="P36" s="808">
        <f t="shared" si="7"/>
        <v>0</v>
      </c>
      <c r="Q36" s="820">
        <f t="shared" si="1"/>
        <v>0</v>
      </c>
      <c r="R36" s="821"/>
      <c r="S36" s="822"/>
      <c r="T36" s="822"/>
      <c r="U36" s="822"/>
      <c r="V36" s="823"/>
      <c r="W36" s="824"/>
      <c r="X36" s="513"/>
      <c r="Y36" s="513"/>
      <c r="Z36" s="825"/>
      <c r="AA36" s="821"/>
      <c r="AB36" s="822"/>
      <c r="AC36" s="822"/>
      <c r="AD36" s="822"/>
      <c r="AE36" s="822"/>
      <c r="AF36" s="822"/>
      <c r="AG36" s="822"/>
      <c r="AH36" s="823"/>
      <c r="AI36" s="824"/>
      <c r="AJ36" s="513"/>
      <c r="AK36" s="513"/>
      <c r="AL36" s="513"/>
      <c r="AM36" s="513"/>
      <c r="AN36" s="513"/>
      <c r="AO36" s="513"/>
      <c r="AP36" s="513"/>
      <c r="AQ36" s="513"/>
      <c r="AR36" s="513"/>
      <c r="AS36" s="513"/>
      <c r="AT36" s="513"/>
      <c r="AU36" s="513"/>
      <c r="AV36" s="513"/>
      <c r="AW36" s="513"/>
      <c r="AX36" s="513"/>
      <c r="AY36" s="826"/>
      <c r="AZ36" s="817" t="str">
        <f t="shared" si="8"/>
        <v/>
      </c>
      <c r="BA36" s="818">
        <f t="shared" si="2"/>
        <v>0</v>
      </c>
      <c r="BB36" s="819"/>
    </row>
    <row r="37" spans="2:54" x14ac:dyDescent="0.25">
      <c r="B37" s="752">
        <v>28</v>
      </c>
      <c r="C37" s="804">
        <f>BEGINBLAD!C31</f>
        <v>0</v>
      </c>
      <c r="D37" s="806"/>
      <c r="E37" s="806" t="str">
        <f t="shared" si="0"/>
        <v/>
      </c>
      <c r="F37" s="806"/>
      <c r="G37" s="806"/>
      <c r="H37" s="805"/>
      <c r="I37" s="805"/>
      <c r="J37" s="805"/>
      <c r="K37" s="807"/>
      <c r="L37" s="808" t="str">
        <f t="shared" si="3"/>
        <v/>
      </c>
      <c r="M37" s="808" t="str">
        <f t="shared" si="4"/>
        <v/>
      </c>
      <c r="N37" s="808" t="str">
        <f t="shared" si="5"/>
        <v/>
      </c>
      <c r="O37" s="808" t="str">
        <f t="shared" si="6"/>
        <v/>
      </c>
      <c r="P37" s="808">
        <f t="shared" si="7"/>
        <v>0</v>
      </c>
      <c r="Q37" s="820">
        <f t="shared" si="1"/>
        <v>0</v>
      </c>
      <c r="R37" s="821"/>
      <c r="S37" s="822"/>
      <c r="T37" s="822"/>
      <c r="U37" s="822"/>
      <c r="V37" s="823"/>
      <c r="W37" s="824"/>
      <c r="X37" s="513"/>
      <c r="Y37" s="513"/>
      <c r="Z37" s="825"/>
      <c r="AA37" s="821"/>
      <c r="AB37" s="822"/>
      <c r="AC37" s="822"/>
      <c r="AD37" s="822"/>
      <c r="AE37" s="822"/>
      <c r="AF37" s="822"/>
      <c r="AG37" s="822"/>
      <c r="AH37" s="823"/>
      <c r="AI37" s="824"/>
      <c r="AJ37" s="513"/>
      <c r="AK37" s="513"/>
      <c r="AL37" s="513"/>
      <c r="AM37" s="513"/>
      <c r="AN37" s="513"/>
      <c r="AO37" s="513"/>
      <c r="AP37" s="513"/>
      <c r="AQ37" s="513"/>
      <c r="AR37" s="513"/>
      <c r="AS37" s="513"/>
      <c r="AT37" s="513"/>
      <c r="AU37" s="513"/>
      <c r="AV37" s="513"/>
      <c r="AW37" s="513"/>
      <c r="AX37" s="513"/>
      <c r="AY37" s="826"/>
      <c r="AZ37" s="817" t="str">
        <f t="shared" si="8"/>
        <v/>
      </c>
      <c r="BA37" s="818">
        <f t="shared" si="2"/>
        <v>0</v>
      </c>
      <c r="BB37" s="819"/>
    </row>
    <row r="38" spans="2:54" x14ac:dyDescent="0.25">
      <c r="B38" s="752">
        <v>29</v>
      </c>
      <c r="C38" s="804">
        <f>BEGINBLAD!C32</f>
        <v>0</v>
      </c>
      <c r="D38" s="806"/>
      <c r="E38" s="806" t="str">
        <f t="shared" si="0"/>
        <v/>
      </c>
      <c r="F38" s="806"/>
      <c r="G38" s="806"/>
      <c r="H38" s="805"/>
      <c r="I38" s="805"/>
      <c r="J38" s="805"/>
      <c r="K38" s="807"/>
      <c r="L38" s="808" t="str">
        <f t="shared" si="3"/>
        <v/>
      </c>
      <c r="M38" s="808" t="str">
        <f t="shared" si="4"/>
        <v/>
      </c>
      <c r="N38" s="808" t="str">
        <f t="shared" si="5"/>
        <v/>
      </c>
      <c r="O38" s="808" t="str">
        <f t="shared" si="6"/>
        <v/>
      </c>
      <c r="P38" s="808">
        <f t="shared" si="7"/>
        <v>0</v>
      </c>
      <c r="Q38" s="820">
        <f t="shared" si="1"/>
        <v>0</v>
      </c>
      <c r="R38" s="821"/>
      <c r="S38" s="822"/>
      <c r="T38" s="822"/>
      <c r="U38" s="822"/>
      <c r="V38" s="823"/>
      <c r="W38" s="824"/>
      <c r="X38" s="513"/>
      <c r="Y38" s="513"/>
      <c r="Z38" s="825"/>
      <c r="AA38" s="821"/>
      <c r="AB38" s="822"/>
      <c r="AC38" s="822"/>
      <c r="AD38" s="822"/>
      <c r="AE38" s="822"/>
      <c r="AF38" s="822"/>
      <c r="AG38" s="822"/>
      <c r="AH38" s="823"/>
      <c r="AI38" s="824"/>
      <c r="AJ38" s="513"/>
      <c r="AK38" s="513"/>
      <c r="AL38" s="513"/>
      <c r="AM38" s="513"/>
      <c r="AN38" s="513"/>
      <c r="AO38" s="513"/>
      <c r="AP38" s="513"/>
      <c r="AQ38" s="513"/>
      <c r="AR38" s="513"/>
      <c r="AS38" s="513"/>
      <c r="AT38" s="513"/>
      <c r="AU38" s="513"/>
      <c r="AV38" s="513"/>
      <c r="AW38" s="513"/>
      <c r="AX38" s="513"/>
      <c r="AY38" s="826"/>
      <c r="AZ38" s="817" t="str">
        <f t="shared" si="8"/>
        <v/>
      </c>
      <c r="BA38" s="818">
        <f t="shared" si="2"/>
        <v>0</v>
      </c>
      <c r="BB38" s="819"/>
    </row>
    <row r="39" spans="2:54" x14ac:dyDescent="0.25">
      <c r="B39" s="752">
        <v>30</v>
      </c>
      <c r="C39" s="804">
        <f>BEGINBLAD!C33</f>
        <v>0</v>
      </c>
      <c r="D39" s="806"/>
      <c r="E39" s="806" t="str">
        <f t="shared" si="0"/>
        <v/>
      </c>
      <c r="F39" s="806"/>
      <c r="G39" s="806"/>
      <c r="H39" s="805"/>
      <c r="I39" s="805"/>
      <c r="J39" s="805"/>
      <c r="K39" s="807"/>
      <c r="L39" s="808" t="str">
        <f t="shared" si="3"/>
        <v/>
      </c>
      <c r="M39" s="808" t="str">
        <f t="shared" si="4"/>
        <v/>
      </c>
      <c r="N39" s="808" t="str">
        <f t="shared" si="5"/>
        <v/>
      </c>
      <c r="O39" s="808" t="str">
        <f t="shared" si="6"/>
        <v/>
      </c>
      <c r="P39" s="808">
        <f t="shared" si="7"/>
        <v>0</v>
      </c>
      <c r="Q39" s="820">
        <f t="shared" si="1"/>
        <v>0</v>
      </c>
      <c r="R39" s="821"/>
      <c r="S39" s="822"/>
      <c r="T39" s="822"/>
      <c r="U39" s="822"/>
      <c r="V39" s="823"/>
      <c r="W39" s="824"/>
      <c r="X39" s="513"/>
      <c r="Y39" s="513"/>
      <c r="Z39" s="825"/>
      <c r="AA39" s="821"/>
      <c r="AB39" s="822"/>
      <c r="AC39" s="822"/>
      <c r="AD39" s="822"/>
      <c r="AE39" s="822"/>
      <c r="AF39" s="822"/>
      <c r="AG39" s="822"/>
      <c r="AH39" s="823"/>
      <c r="AI39" s="824"/>
      <c r="AJ39" s="513"/>
      <c r="AK39" s="513"/>
      <c r="AL39" s="513"/>
      <c r="AM39" s="513"/>
      <c r="AN39" s="513"/>
      <c r="AO39" s="513"/>
      <c r="AP39" s="513"/>
      <c r="AQ39" s="513"/>
      <c r="AR39" s="513"/>
      <c r="AS39" s="513"/>
      <c r="AT39" s="513"/>
      <c r="AU39" s="513"/>
      <c r="AV39" s="513"/>
      <c r="AW39" s="513"/>
      <c r="AX39" s="513"/>
      <c r="AY39" s="826"/>
      <c r="AZ39" s="817" t="str">
        <f t="shared" si="8"/>
        <v/>
      </c>
      <c r="BA39" s="818">
        <f t="shared" si="2"/>
        <v>0</v>
      </c>
      <c r="BB39" s="819"/>
    </row>
    <row r="40" spans="2:54" x14ac:dyDescent="0.25">
      <c r="B40" s="752">
        <v>31</v>
      </c>
      <c r="C40" s="804">
        <f>BEGINBLAD!C34</f>
        <v>0</v>
      </c>
      <c r="D40" s="806"/>
      <c r="E40" s="806" t="str">
        <f t="shared" si="0"/>
        <v/>
      </c>
      <c r="F40" s="806"/>
      <c r="G40" s="806"/>
      <c r="H40" s="805"/>
      <c r="I40" s="805"/>
      <c r="J40" s="805"/>
      <c r="K40" s="807"/>
      <c r="L40" s="808" t="str">
        <f t="shared" si="3"/>
        <v/>
      </c>
      <c r="M40" s="808" t="str">
        <f t="shared" si="4"/>
        <v/>
      </c>
      <c r="N40" s="808" t="str">
        <f t="shared" si="5"/>
        <v/>
      </c>
      <c r="O40" s="808" t="str">
        <f t="shared" si="6"/>
        <v/>
      </c>
      <c r="P40" s="808">
        <f t="shared" si="7"/>
        <v>0</v>
      </c>
      <c r="Q40" s="820">
        <f t="shared" si="1"/>
        <v>0</v>
      </c>
      <c r="R40" s="821"/>
      <c r="S40" s="822"/>
      <c r="T40" s="822"/>
      <c r="U40" s="822"/>
      <c r="V40" s="823"/>
      <c r="W40" s="824"/>
      <c r="X40" s="513"/>
      <c r="Y40" s="513"/>
      <c r="Z40" s="825"/>
      <c r="AA40" s="821"/>
      <c r="AB40" s="822"/>
      <c r="AC40" s="822"/>
      <c r="AD40" s="822"/>
      <c r="AE40" s="822"/>
      <c r="AF40" s="822"/>
      <c r="AG40" s="822"/>
      <c r="AH40" s="823"/>
      <c r="AI40" s="824"/>
      <c r="AJ40" s="513"/>
      <c r="AK40" s="513"/>
      <c r="AL40" s="513"/>
      <c r="AM40" s="513"/>
      <c r="AN40" s="513"/>
      <c r="AO40" s="513"/>
      <c r="AP40" s="513"/>
      <c r="AQ40" s="513"/>
      <c r="AR40" s="513"/>
      <c r="AS40" s="513"/>
      <c r="AT40" s="513"/>
      <c r="AU40" s="513"/>
      <c r="AV40" s="513"/>
      <c r="AW40" s="513"/>
      <c r="AX40" s="513"/>
      <c r="AY40" s="826"/>
      <c r="AZ40" s="817" t="str">
        <f t="shared" si="8"/>
        <v/>
      </c>
      <c r="BA40" s="818">
        <f t="shared" si="2"/>
        <v>0</v>
      </c>
      <c r="BB40" s="819"/>
    </row>
    <row r="41" spans="2:54" x14ac:dyDescent="0.25">
      <c r="B41" s="752">
        <v>32</v>
      </c>
      <c r="C41" s="804">
        <f>BEGINBLAD!C35</f>
        <v>0</v>
      </c>
      <c r="D41" s="806"/>
      <c r="E41" s="806" t="str">
        <f t="shared" si="0"/>
        <v/>
      </c>
      <c r="F41" s="806"/>
      <c r="G41" s="806"/>
      <c r="H41" s="805"/>
      <c r="I41" s="805"/>
      <c r="J41" s="805"/>
      <c r="K41" s="807"/>
      <c r="L41" s="808" t="str">
        <f t="shared" si="3"/>
        <v/>
      </c>
      <c r="M41" s="808" t="str">
        <f t="shared" si="4"/>
        <v/>
      </c>
      <c r="N41" s="808" t="str">
        <f t="shared" si="5"/>
        <v/>
      </c>
      <c r="O41" s="808" t="str">
        <f t="shared" si="6"/>
        <v/>
      </c>
      <c r="P41" s="808">
        <f t="shared" si="7"/>
        <v>0</v>
      </c>
      <c r="Q41" s="820">
        <f t="shared" si="1"/>
        <v>0</v>
      </c>
      <c r="R41" s="821"/>
      <c r="S41" s="822"/>
      <c r="T41" s="822"/>
      <c r="U41" s="822"/>
      <c r="V41" s="823"/>
      <c r="W41" s="824"/>
      <c r="X41" s="513"/>
      <c r="Y41" s="513"/>
      <c r="Z41" s="825"/>
      <c r="AA41" s="821"/>
      <c r="AB41" s="822"/>
      <c r="AC41" s="822"/>
      <c r="AD41" s="822"/>
      <c r="AE41" s="822"/>
      <c r="AF41" s="822"/>
      <c r="AG41" s="822"/>
      <c r="AH41" s="823"/>
      <c r="AI41" s="824"/>
      <c r="AJ41" s="513"/>
      <c r="AK41" s="513"/>
      <c r="AL41" s="513"/>
      <c r="AM41" s="513"/>
      <c r="AN41" s="513"/>
      <c r="AO41" s="513"/>
      <c r="AP41" s="513"/>
      <c r="AQ41" s="513"/>
      <c r="AR41" s="513"/>
      <c r="AS41" s="513"/>
      <c r="AT41" s="513"/>
      <c r="AU41" s="513"/>
      <c r="AV41" s="513"/>
      <c r="AW41" s="513"/>
      <c r="AX41" s="513"/>
      <c r="AY41" s="826"/>
      <c r="AZ41" s="817" t="str">
        <f t="shared" si="8"/>
        <v/>
      </c>
      <c r="BA41" s="818">
        <f t="shared" si="2"/>
        <v>0</v>
      </c>
      <c r="BB41" s="819"/>
    </row>
    <row r="42" spans="2:54" x14ac:dyDescent="0.25">
      <c r="B42" s="752">
        <v>33</v>
      </c>
      <c r="C42" s="804">
        <f>BEGINBLAD!C36</f>
        <v>0</v>
      </c>
      <c r="D42" s="806"/>
      <c r="E42" s="806" t="str">
        <f t="shared" si="0"/>
        <v/>
      </c>
      <c r="F42" s="806"/>
      <c r="G42" s="806"/>
      <c r="H42" s="805"/>
      <c r="I42" s="805"/>
      <c r="J42" s="805"/>
      <c r="K42" s="807"/>
      <c r="L42" s="808" t="str">
        <f t="shared" si="3"/>
        <v/>
      </c>
      <c r="M42" s="808" t="str">
        <f t="shared" si="4"/>
        <v/>
      </c>
      <c r="N42" s="808" t="str">
        <f t="shared" si="5"/>
        <v/>
      </c>
      <c r="O42" s="808" t="str">
        <f t="shared" si="6"/>
        <v/>
      </c>
      <c r="P42" s="808">
        <f t="shared" si="7"/>
        <v>0</v>
      </c>
      <c r="Q42" s="820">
        <f t="shared" si="1"/>
        <v>0</v>
      </c>
      <c r="R42" s="821"/>
      <c r="S42" s="822"/>
      <c r="T42" s="822"/>
      <c r="U42" s="822"/>
      <c r="V42" s="823"/>
      <c r="W42" s="824"/>
      <c r="X42" s="513"/>
      <c r="Y42" s="513"/>
      <c r="Z42" s="825"/>
      <c r="AA42" s="821"/>
      <c r="AB42" s="822"/>
      <c r="AC42" s="822"/>
      <c r="AD42" s="822"/>
      <c r="AE42" s="822"/>
      <c r="AF42" s="822"/>
      <c r="AG42" s="822"/>
      <c r="AH42" s="823"/>
      <c r="AI42" s="824"/>
      <c r="AJ42" s="513"/>
      <c r="AK42" s="513"/>
      <c r="AL42" s="513"/>
      <c r="AM42" s="513"/>
      <c r="AN42" s="513"/>
      <c r="AO42" s="513"/>
      <c r="AP42" s="513"/>
      <c r="AQ42" s="513"/>
      <c r="AR42" s="513"/>
      <c r="AS42" s="513"/>
      <c r="AT42" s="513"/>
      <c r="AU42" s="513"/>
      <c r="AV42" s="513"/>
      <c r="AW42" s="513"/>
      <c r="AX42" s="513"/>
      <c r="AY42" s="826"/>
      <c r="AZ42" s="817" t="str">
        <f t="shared" si="8"/>
        <v/>
      </c>
      <c r="BA42" s="818">
        <f t="shared" si="2"/>
        <v>0</v>
      </c>
      <c r="BB42" s="819"/>
    </row>
    <row r="43" spans="2:54" x14ac:dyDescent="0.25">
      <c r="B43" s="752">
        <v>34</v>
      </c>
      <c r="C43" s="804">
        <f>BEGINBLAD!C37</f>
        <v>0</v>
      </c>
      <c r="D43" s="806"/>
      <c r="E43" s="806" t="str">
        <f t="shared" si="0"/>
        <v/>
      </c>
      <c r="F43" s="806"/>
      <c r="G43" s="806"/>
      <c r="H43" s="805"/>
      <c r="I43" s="805"/>
      <c r="J43" s="805"/>
      <c r="K43" s="807"/>
      <c r="L43" s="808" t="str">
        <f t="shared" si="3"/>
        <v/>
      </c>
      <c r="M43" s="808" t="str">
        <f t="shared" si="4"/>
        <v/>
      </c>
      <c r="N43" s="808" t="str">
        <f t="shared" si="5"/>
        <v/>
      </c>
      <c r="O43" s="808" t="str">
        <f t="shared" si="6"/>
        <v/>
      </c>
      <c r="P43" s="808">
        <f t="shared" si="7"/>
        <v>0</v>
      </c>
      <c r="Q43" s="820">
        <f t="shared" si="1"/>
        <v>0</v>
      </c>
      <c r="R43" s="821"/>
      <c r="S43" s="822"/>
      <c r="T43" s="822"/>
      <c r="U43" s="822"/>
      <c r="V43" s="823"/>
      <c r="W43" s="824"/>
      <c r="X43" s="513"/>
      <c r="Y43" s="513"/>
      <c r="Z43" s="825"/>
      <c r="AA43" s="821"/>
      <c r="AB43" s="822"/>
      <c r="AC43" s="822"/>
      <c r="AD43" s="822"/>
      <c r="AE43" s="822"/>
      <c r="AF43" s="822"/>
      <c r="AG43" s="822"/>
      <c r="AH43" s="823"/>
      <c r="AI43" s="824"/>
      <c r="AJ43" s="513"/>
      <c r="AK43" s="513"/>
      <c r="AL43" s="513"/>
      <c r="AM43" s="513"/>
      <c r="AN43" s="513"/>
      <c r="AO43" s="513"/>
      <c r="AP43" s="513"/>
      <c r="AQ43" s="513"/>
      <c r="AR43" s="513"/>
      <c r="AS43" s="513"/>
      <c r="AT43" s="513"/>
      <c r="AU43" s="513"/>
      <c r="AV43" s="513"/>
      <c r="AW43" s="513"/>
      <c r="AX43" s="513"/>
      <c r="AY43" s="826"/>
      <c r="AZ43" s="817" t="str">
        <f t="shared" si="8"/>
        <v/>
      </c>
      <c r="BA43" s="818">
        <f t="shared" si="2"/>
        <v>0</v>
      </c>
      <c r="BB43" s="819"/>
    </row>
    <row r="44" spans="2:54" ht="13" thickBot="1" x14ac:dyDescent="0.3">
      <c r="B44" s="761">
        <v>35</v>
      </c>
      <c r="C44" s="827">
        <f>BEGINBLAD!C38</f>
        <v>0</v>
      </c>
      <c r="D44" s="829"/>
      <c r="E44" s="829" t="str">
        <f t="shared" si="0"/>
        <v/>
      </c>
      <c r="F44" s="829"/>
      <c r="G44" s="829"/>
      <c r="H44" s="828"/>
      <c r="I44" s="828"/>
      <c r="J44" s="828"/>
      <c r="K44" s="830"/>
      <c r="L44" s="808" t="str">
        <f t="shared" si="3"/>
        <v/>
      </c>
      <c r="M44" s="808" t="str">
        <f t="shared" si="4"/>
        <v/>
      </c>
      <c r="N44" s="808" t="str">
        <f t="shared" si="5"/>
        <v/>
      </c>
      <c r="O44" s="808" t="str">
        <f t="shared" si="6"/>
        <v/>
      </c>
      <c r="P44" s="808">
        <f t="shared" si="7"/>
        <v>0</v>
      </c>
      <c r="Q44" s="831">
        <f t="shared" si="1"/>
        <v>0</v>
      </c>
      <c r="R44" s="832"/>
      <c r="S44" s="833"/>
      <c r="T44" s="833"/>
      <c r="U44" s="833"/>
      <c r="V44" s="834"/>
      <c r="W44" s="835"/>
      <c r="X44" s="836"/>
      <c r="Y44" s="836"/>
      <c r="Z44" s="837"/>
      <c r="AA44" s="832"/>
      <c r="AB44" s="833"/>
      <c r="AC44" s="833"/>
      <c r="AD44" s="833"/>
      <c r="AE44" s="833"/>
      <c r="AF44" s="833"/>
      <c r="AG44" s="833"/>
      <c r="AH44" s="834"/>
      <c r="AI44" s="835"/>
      <c r="AJ44" s="836"/>
      <c r="AK44" s="836"/>
      <c r="AL44" s="836"/>
      <c r="AM44" s="836"/>
      <c r="AN44" s="836"/>
      <c r="AO44" s="836"/>
      <c r="AP44" s="836"/>
      <c r="AQ44" s="836"/>
      <c r="AR44" s="836"/>
      <c r="AS44" s="836"/>
      <c r="AT44" s="836"/>
      <c r="AU44" s="836"/>
      <c r="AV44" s="836"/>
      <c r="AW44" s="836"/>
      <c r="AX44" s="836"/>
      <c r="AY44" s="838"/>
      <c r="AZ44" s="839" t="str">
        <f t="shared" si="8"/>
        <v/>
      </c>
      <c r="BA44" s="840">
        <f t="shared" si="2"/>
        <v>0</v>
      </c>
      <c r="BB44" s="841"/>
    </row>
    <row r="45" spans="2:54" x14ac:dyDescent="0.25">
      <c r="B45" s="842"/>
      <c r="C45" s="843" t="s">
        <v>401</v>
      </c>
      <c r="D45" s="842">
        <f>COUNTIF(D10:D44,"&lt;16")</f>
        <v>0</v>
      </c>
      <c r="E45" s="842">
        <f>COUNTIF(E10:E44,"&lt;15")</f>
        <v>0</v>
      </c>
      <c r="F45" s="842">
        <f>COUNTIF(F10:F44,"&lt;8")</f>
        <v>0</v>
      </c>
      <c r="G45" s="842">
        <f>COUNTIF(G10:G44,"&lt;12")</f>
        <v>0</v>
      </c>
      <c r="H45" s="842">
        <f>COUNTIF(H10:H44,"&gt;1,9")</f>
        <v>0</v>
      </c>
      <c r="I45" s="842">
        <f>COUNTIF(I10:I44,"&gt;1,4")</f>
        <v>0</v>
      </c>
      <c r="J45" s="842">
        <f>COUNTIF(J10:J44,"&gt;1,4")</f>
        <v>0</v>
      </c>
      <c r="K45" s="842">
        <f>COUNTIF(K10:K44,"&gt;1,5")</f>
        <v>0</v>
      </c>
      <c r="L45" s="844"/>
      <c r="M45" s="844"/>
      <c r="N45" s="844"/>
      <c r="O45" s="844"/>
      <c r="P45" s="844"/>
      <c r="Q45" s="844" t="s">
        <v>402</v>
      </c>
      <c r="R45" s="633">
        <f>COUNTIF(R10:R44,"x")</f>
        <v>0</v>
      </c>
      <c r="S45" s="633">
        <f t="shared" ref="S45:AY45" si="9">COUNTIF(S10:S44,"x")</f>
        <v>0</v>
      </c>
      <c r="T45" s="633">
        <f t="shared" si="9"/>
        <v>0</v>
      </c>
      <c r="U45" s="633">
        <f t="shared" si="9"/>
        <v>0</v>
      </c>
      <c r="V45" s="633">
        <f t="shared" si="9"/>
        <v>0</v>
      </c>
      <c r="W45" s="633">
        <f t="shared" si="9"/>
        <v>0</v>
      </c>
      <c r="X45" s="633">
        <f t="shared" si="9"/>
        <v>0</v>
      </c>
      <c r="Y45" s="633">
        <f t="shared" si="9"/>
        <v>0</v>
      </c>
      <c r="Z45" s="633">
        <f t="shared" si="9"/>
        <v>0</v>
      </c>
      <c r="AA45" s="633">
        <f t="shared" si="9"/>
        <v>0</v>
      </c>
      <c r="AB45" s="633">
        <f t="shared" si="9"/>
        <v>0</v>
      </c>
      <c r="AC45" s="633">
        <f t="shared" si="9"/>
        <v>0</v>
      </c>
      <c r="AD45" s="633">
        <f t="shared" si="9"/>
        <v>0</v>
      </c>
      <c r="AE45" s="633">
        <f t="shared" si="9"/>
        <v>0</v>
      </c>
      <c r="AF45" s="633">
        <f t="shared" si="9"/>
        <v>0</v>
      </c>
      <c r="AG45" s="633">
        <f t="shared" si="9"/>
        <v>0</v>
      </c>
      <c r="AH45" s="633">
        <f t="shared" si="9"/>
        <v>0</v>
      </c>
      <c r="AI45" s="633">
        <f t="shared" si="9"/>
        <v>0</v>
      </c>
      <c r="AJ45" s="633">
        <f t="shared" si="9"/>
        <v>0</v>
      </c>
      <c r="AK45" s="633">
        <f t="shared" si="9"/>
        <v>0</v>
      </c>
      <c r="AL45" s="633">
        <f t="shared" si="9"/>
        <v>0</v>
      </c>
      <c r="AM45" s="633">
        <f t="shared" si="9"/>
        <v>0</v>
      </c>
      <c r="AN45" s="633">
        <f t="shared" si="9"/>
        <v>0</v>
      </c>
      <c r="AO45" s="633">
        <f t="shared" si="9"/>
        <v>0</v>
      </c>
      <c r="AP45" s="633">
        <f t="shared" si="9"/>
        <v>0</v>
      </c>
      <c r="AQ45" s="633">
        <f t="shared" si="9"/>
        <v>0</v>
      </c>
      <c r="AR45" s="633">
        <f t="shared" si="9"/>
        <v>0</v>
      </c>
      <c r="AS45" s="633">
        <f t="shared" si="9"/>
        <v>0</v>
      </c>
      <c r="AT45" s="633">
        <f t="shared" si="9"/>
        <v>0</v>
      </c>
      <c r="AU45" s="633">
        <f t="shared" si="9"/>
        <v>0</v>
      </c>
      <c r="AV45" s="633">
        <f t="shared" si="9"/>
        <v>0</v>
      </c>
      <c r="AW45" s="633">
        <f t="shared" si="9"/>
        <v>0</v>
      </c>
      <c r="AX45" s="633">
        <f t="shared" si="9"/>
        <v>0</v>
      </c>
      <c r="AY45" s="845">
        <f t="shared" si="9"/>
        <v>0</v>
      </c>
      <c r="AZ45" s="846"/>
      <c r="BA45" s="775"/>
      <c r="BB45" s="776"/>
    </row>
    <row r="46" spans="2:54" ht="12.75" customHeight="1" x14ac:dyDescent="0.25">
      <c r="B46" s="574"/>
      <c r="C46" s="305" t="s">
        <v>350</v>
      </c>
      <c r="D46" s="574">
        <f t="shared" ref="D46:H46" si="10">COUNT(D10:D44)</f>
        <v>0</v>
      </c>
      <c r="E46" s="574">
        <f t="shared" si="10"/>
        <v>8</v>
      </c>
      <c r="F46" s="574">
        <f t="shared" si="10"/>
        <v>0</v>
      </c>
      <c r="G46" s="574">
        <f t="shared" si="10"/>
        <v>0</v>
      </c>
      <c r="H46" s="574">
        <f t="shared" si="10"/>
        <v>0</v>
      </c>
      <c r="I46" s="574">
        <f>COUNT(I10:I44)</f>
        <v>0</v>
      </c>
      <c r="J46" s="574">
        <f>COUNT(J10:J44)</f>
        <v>0</v>
      </c>
      <c r="K46" s="574">
        <f>COUNT(K10:K44)</f>
        <v>0</v>
      </c>
      <c r="L46" s="847"/>
      <c r="M46" s="847"/>
      <c r="N46" s="847"/>
      <c r="O46" s="847"/>
      <c r="P46" s="847"/>
      <c r="Q46" s="847">
        <f>Q47-Q48</f>
        <v>8</v>
      </c>
      <c r="R46" s="1210">
        <f>IF($Q$46=0,"",IF($Q$46&gt;0,R45/$Q$46))</f>
        <v>0</v>
      </c>
      <c r="S46" s="1210">
        <f t="shared" ref="S46:AY46" si="11">IF($Q$46=0,"",IF($Q$46&gt;0,S45/$Q$46))</f>
        <v>0</v>
      </c>
      <c r="T46" s="1210">
        <f t="shared" si="11"/>
        <v>0</v>
      </c>
      <c r="U46" s="1210">
        <f t="shared" si="11"/>
        <v>0</v>
      </c>
      <c r="V46" s="1210">
        <f t="shared" si="11"/>
        <v>0</v>
      </c>
      <c r="W46" s="1210">
        <f t="shared" si="11"/>
        <v>0</v>
      </c>
      <c r="X46" s="1210">
        <f t="shared" si="11"/>
        <v>0</v>
      </c>
      <c r="Y46" s="1210">
        <f t="shared" si="11"/>
        <v>0</v>
      </c>
      <c r="Z46" s="1210">
        <f t="shared" si="11"/>
        <v>0</v>
      </c>
      <c r="AA46" s="1210">
        <f t="shared" si="11"/>
        <v>0</v>
      </c>
      <c r="AB46" s="1210">
        <f t="shared" si="11"/>
        <v>0</v>
      </c>
      <c r="AC46" s="1210">
        <f t="shared" si="11"/>
        <v>0</v>
      </c>
      <c r="AD46" s="1210">
        <f t="shared" si="11"/>
        <v>0</v>
      </c>
      <c r="AE46" s="1210">
        <f t="shared" si="11"/>
        <v>0</v>
      </c>
      <c r="AF46" s="1210">
        <f t="shared" si="11"/>
        <v>0</v>
      </c>
      <c r="AG46" s="1210">
        <f t="shared" si="11"/>
        <v>0</v>
      </c>
      <c r="AH46" s="1210">
        <f t="shared" si="11"/>
        <v>0</v>
      </c>
      <c r="AI46" s="1210">
        <f t="shared" si="11"/>
        <v>0</v>
      </c>
      <c r="AJ46" s="1210">
        <f t="shared" si="11"/>
        <v>0</v>
      </c>
      <c r="AK46" s="1210">
        <f t="shared" si="11"/>
        <v>0</v>
      </c>
      <c r="AL46" s="1210">
        <f t="shared" si="11"/>
        <v>0</v>
      </c>
      <c r="AM46" s="1210">
        <f t="shared" si="11"/>
        <v>0</v>
      </c>
      <c r="AN46" s="1210">
        <f t="shared" si="11"/>
        <v>0</v>
      </c>
      <c r="AO46" s="1210">
        <f t="shared" si="11"/>
        <v>0</v>
      </c>
      <c r="AP46" s="1210">
        <f t="shared" si="11"/>
        <v>0</v>
      </c>
      <c r="AQ46" s="1210">
        <f t="shared" si="11"/>
        <v>0</v>
      </c>
      <c r="AR46" s="1210">
        <f t="shared" si="11"/>
        <v>0</v>
      </c>
      <c r="AS46" s="1210">
        <f t="shared" si="11"/>
        <v>0</v>
      </c>
      <c r="AT46" s="1210">
        <f t="shared" si="11"/>
        <v>0</v>
      </c>
      <c r="AU46" s="1210">
        <f t="shared" si="11"/>
        <v>0</v>
      </c>
      <c r="AV46" s="1210">
        <f t="shared" si="11"/>
        <v>0</v>
      </c>
      <c r="AW46" s="1210">
        <f t="shared" si="11"/>
        <v>0</v>
      </c>
      <c r="AX46" s="1210">
        <f t="shared" si="11"/>
        <v>0</v>
      </c>
      <c r="AY46" s="1225">
        <f t="shared" si="11"/>
        <v>0</v>
      </c>
      <c r="AZ46" s="1227"/>
      <c r="BA46" s="848"/>
      <c r="BB46" s="776"/>
    </row>
    <row r="47" spans="2:54" x14ac:dyDescent="0.25">
      <c r="B47" s="574"/>
      <c r="C47" s="305" t="s">
        <v>403</v>
      </c>
      <c r="D47" s="849" t="str">
        <f>IF(D46=0,"",IF(D46&gt;0,(D45/D46)))</f>
        <v/>
      </c>
      <c r="E47" s="850">
        <f t="shared" ref="E47:K47" si="12">IF(E46=0,"",IF(E46&gt;0,(E45/E46)))</f>
        <v>0</v>
      </c>
      <c r="F47" s="849" t="str">
        <f t="shared" si="12"/>
        <v/>
      </c>
      <c r="G47" s="850" t="str">
        <f t="shared" si="12"/>
        <v/>
      </c>
      <c r="H47" s="850" t="str">
        <f t="shared" si="12"/>
        <v/>
      </c>
      <c r="I47" s="850" t="str">
        <f t="shared" si="12"/>
        <v/>
      </c>
      <c r="J47" s="850" t="str">
        <f t="shared" si="12"/>
        <v/>
      </c>
      <c r="K47" s="850" t="str">
        <f t="shared" si="12"/>
        <v/>
      </c>
      <c r="L47" s="851"/>
      <c r="M47" s="851"/>
      <c r="N47" s="851"/>
      <c r="O47" s="851"/>
      <c r="P47" s="851"/>
      <c r="Q47" s="852">
        <f>COUNTA(Q10:Q44)</f>
        <v>35</v>
      </c>
      <c r="R47" s="1211"/>
      <c r="S47" s="1211"/>
      <c r="T47" s="1211"/>
      <c r="U47" s="1211"/>
      <c r="V47" s="1211"/>
      <c r="W47" s="1211"/>
      <c r="X47" s="1211"/>
      <c r="Y47" s="1211"/>
      <c r="Z47" s="1211"/>
      <c r="AA47" s="1211"/>
      <c r="AB47" s="1211"/>
      <c r="AC47" s="1211"/>
      <c r="AD47" s="1211"/>
      <c r="AE47" s="1211"/>
      <c r="AF47" s="1211"/>
      <c r="AG47" s="1211"/>
      <c r="AH47" s="1211"/>
      <c r="AI47" s="1211"/>
      <c r="AJ47" s="1211"/>
      <c r="AK47" s="1211"/>
      <c r="AL47" s="1211"/>
      <c r="AM47" s="1211"/>
      <c r="AN47" s="1211"/>
      <c r="AO47" s="1211"/>
      <c r="AP47" s="1211"/>
      <c r="AQ47" s="1211"/>
      <c r="AR47" s="1211"/>
      <c r="AS47" s="1211"/>
      <c r="AT47" s="1211"/>
      <c r="AU47" s="1211"/>
      <c r="AV47" s="1211"/>
      <c r="AW47" s="1211"/>
      <c r="AX47" s="1211"/>
      <c r="AY47" s="1226"/>
      <c r="AZ47" s="1228"/>
      <c r="BA47" s="853"/>
      <c r="BB47" s="854"/>
    </row>
    <row r="48" spans="2:54" x14ac:dyDescent="0.25">
      <c r="Q48" s="131">
        <f>COUNTIF(Q10:Q44,0)</f>
        <v>27</v>
      </c>
    </row>
  </sheetData>
  <sheetProtection sheet="1" objects="1" scenarios="1"/>
  <mergeCells count="42">
    <mergeCell ref="AV46:AV47"/>
    <mergeCell ref="AW46:AW47"/>
    <mergeCell ref="AX46:AX47"/>
    <mergeCell ref="AY46:AY47"/>
    <mergeCell ref="AZ46:AZ47"/>
    <mergeCell ref="AE46:AE47"/>
    <mergeCell ref="AF46:AF47"/>
    <mergeCell ref="AG46:AG47"/>
    <mergeCell ref="AH46:AH47"/>
    <mergeCell ref="AU46:AU47"/>
    <mergeCell ref="AJ46:AJ47"/>
    <mergeCell ref="AK46:AK47"/>
    <mergeCell ref="AL46:AL47"/>
    <mergeCell ref="AM46:AM47"/>
    <mergeCell ref="AN46:AN47"/>
    <mergeCell ref="AO46:AO47"/>
    <mergeCell ref="AP46:AP47"/>
    <mergeCell ref="AQ46:AQ47"/>
    <mergeCell ref="AR46:AR47"/>
    <mergeCell ref="AS46:AS47"/>
    <mergeCell ref="AT46:AT47"/>
    <mergeCell ref="Z46:Z47"/>
    <mergeCell ref="AA46:AA47"/>
    <mergeCell ref="AB46:AB47"/>
    <mergeCell ref="AC46:AC47"/>
    <mergeCell ref="AD46:AD47"/>
    <mergeCell ref="W46:W47"/>
    <mergeCell ref="D6:G6"/>
    <mergeCell ref="H6:K6"/>
    <mergeCell ref="AZ6:AZ9"/>
    <mergeCell ref="BB6:BB9"/>
    <mergeCell ref="F7:G7"/>
    <mergeCell ref="H7:K7"/>
    <mergeCell ref="Q7:R7"/>
    <mergeCell ref="R46:R47"/>
    <mergeCell ref="S46:S47"/>
    <mergeCell ref="T46:T47"/>
    <mergeCell ref="U46:U47"/>
    <mergeCell ref="V46:V47"/>
    <mergeCell ref="AI46:AI47"/>
    <mergeCell ref="X46:X47"/>
    <mergeCell ref="Y46:Y47"/>
  </mergeCells>
  <conditionalFormatting sqref="C10:C44">
    <cfRule type="expression" dxfId="919" priority="3745">
      <formula>$P10=2</formula>
    </cfRule>
    <cfRule type="expression" dxfId="918" priority="3741">
      <formula>$C10=0</formula>
    </cfRule>
    <cfRule type="expression" dxfId="917" priority="3742">
      <formula>$P10=0</formula>
    </cfRule>
    <cfRule type="expression" dxfId="916" priority="3743">
      <formula>$P10&gt;=4</formula>
    </cfRule>
    <cfRule type="expression" dxfId="915" priority="3744">
      <formula>$P10=3</formula>
    </cfRule>
  </conditionalFormatting>
  <conditionalFormatting sqref="D10:D27">
    <cfRule type="cellIs" dxfId="914" priority="3" stopIfTrue="1" operator="equal">
      <formula>""</formula>
    </cfRule>
    <cfRule type="cellIs" dxfId="913" priority="4" stopIfTrue="1" operator="between">
      <formula>0</formula>
      <formula>13</formula>
    </cfRule>
    <cfRule type="cellIs" dxfId="912" priority="5" stopIfTrue="1" operator="between">
      <formula>14</formula>
      <formula>15</formula>
    </cfRule>
  </conditionalFormatting>
  <conditionalFormatting sqref="D28:D44">
    <cfRule type="cellIs" dxfId="911" priority="16" operator="between">
      <formula>17</formula>
      <formula>18</formula>
    </cfRule>
    <cfRule type="cellIs" dxfId="910" priority="35" stopIfTrue="1" operator="between">
      <formula>14</formula>
      <formula>15</formula>
    </cfRule>
    <cfRule type="cellIs" dxfId="909" priority="34" stopIfTrue="1" operator="between">
      <formula>0</formula>
      <formula>13</formula>
    </cfRule>
    <cfRule type="cellIs" dxfId="908" priority="30" stopIfTrue="1" operator="equal">
      <formula>""</formula>
    </cfRule>
  </conditionalFormatting>
  <conditionalFormatting sqref="E10:E44">
    <cfRule type="cellIs" dxfId="907" priority="36" stopIfTrue="1" operator="between">
      <formula>11</formula>
      <formula>14</formula>
    </cfRule>
    <cfRule type="cellIs" dxfId="906" priority="24" stopIfTrue="1" operator="equal">
      <formula>""</formula>
    </cfRule>
    <cfRule type="cellIs" dxfId="905" priority="37" operator="greaterThanOrEqual">
      <formula>27</formula>
    </cfRule>
    <cfRule type="cellIs" dxfId="904" priority="29" stopIfTrue="1" operator="between">
      <formula>0</formula>
      <formula>10</formula>
    </cfRule>
  </conditionalFormatting>
  <conditionalFormatting sqref="F10:F27">
    <cfRule type="cellIs" dxfId="903" priority="7" stopIfTrue="1" operator="equal">
      <formula>""</formula>
    </cfRule>
    <cfRule type="cellIs" dxfId="902" priority="8" stopIfTrue="1" operator="between">
      <formula>0</formula>
      <formula>7</formula>
    </cfRule>
    <cfRule type="cellIs" dxfId="901" priority="9" stopIfTrue="1" operator="equal">
      <formula>8</formula>
    </cfRule>
  </conditionalFormatting>
  <conditionalFormatting sqref="F28:F44">
    <cfRule type="cellIs" dxfId="900" priority="38" stopIfTrue="1" operator="between">
      <formula>0</formula>
      <formula>7</formula>
    </cfRule>
    <cfRule type="cellIs" dxfId="899" priority="15" operator="equal">
      <formula>10</formula>
    </cfRule>
    <cfRule type="cellIs" dxfId="898" priority="28" stopIfTrue="1" operator="equal">
      <formula>""</formula>
    </cfRule>
    <cfRule type="cellIs" dxfId="897" priority="39" stopIfTrue="1" operator="equal">
      <formula>8</formula>
    </cfRule>
  </conditionalFormatting>
  <conditionalFormatting sqref="F9:P9">
    <cfRule type="cellIs" dxfId="896" priority="32" stopIfTrue="1" operator="equal">
      <formula>"D/E"</formula>
    </cfRule>
    <cfRule type="cellIs" dxfId="895" priority="33" stopIfTrue="1" operator="equal">
      <formula>"A"</formula>
    </cfRule>
    <cfRule type="cellIs" dxfId="894" priority="31" stopIfTrue="1" operator="equal">
      <formula>"C"</formula>
    </cfRule>
  </conditionalFormatting>
  <conditionalFormatting sqref="G10:G27">
    <cfRule type="cellIs" dxfId="893" priority="11" stopIfTrue="1" operator="between">
      <formula>12</formula>
      <formula>14</formula>
    </cfRule>
    <cfRule type="cellIs" dxfId="892" priority="10" stopIfTrue="1" operator="between">
      <formula>0</formula>
      <formula>11</formula>
    </cfRule>
  </conditionalFormatting>
  <conditionalFormatting sqref="G10:G44">
    <cfRule type="cellIs" dxfId="891" priority="6" stopIfTrue="1" operator="equal">
      <formula>""</formula>
    </cfRule>
  </conditionalFormatting>
  <conditionalFormatting sqref="G28:G44">
    <cfRule type="cellIs" dxfId="890" priority="40" stopIfTrue="1" operator="between">
      <formula>0</formula>
      <formula>11</formula>
    </cfRule>
    <cfRule type="cellIs" dxfId="889" priority="41" stopIfTrue="1" operator="between">
      <formula>12</formula>
      <formula>14</formula>
    </cfRule>
    <cfRule type="cellIs" dxfId="888" priority="27" operator="equal">
      <formula>16</formula>
    </cfRule>
  </conditionalFormatting>
  <conditionalFormatting sqref="H10:H44">
    <cfRule type="cellIs" dxfId="887" priority="45" stopIfTrue="1" operator="greaterThan">
      <formula>1.9</formula>
    </cfRule>
    <cfRule type="cellIs" dxfId="886" priority="44" stopIfTrue="1" operator="greaterThan">
      <formula>2.9</formula>
    </cfRule>
  </conditionalFormatting>
  <conditionalFormatting sqref="I10:I44">
    <cfRule type="cellIs" dxfId="885" priority="46" stopIfTrue="1" operator="greaterThan">
      <formula>2.1</formula>
    </cfRule>
    <cfRule type="cellIs" dxfId="884" priority="47" stopIfTrue="1" operator="greaterThan">
      <formula>1.4</formula>
    </cfRule>
  </conditionalFormatting>
  <conditionalFormatting sqref="J10:J44">
    <cfRule type="cellIs" dxfId="883" priority="48" stopIfTrue="1" operator="greaterThan">
      <formula>1.8</formula>
    </cfRule>
    <cfRule type="cellIs" dxfId="882" priority="49" stopIfTrue="1" operator="greaterThan">
      <formula>1.4</formula>
    </cfRule>
  </conditionalFormatting>
  <conditionalFormatting sqref="K10:P44">
    <cfRule type="cellIs" dxfId="881" priority="42" stopIfTrue="1" operator="greaterThan">
      <formula>2</formula>
    </cfRule>
    <cfRule type="cellIs" dxfId="880" priority="43" stopIfTrue="1" operator="greaterThan">
      <formula>1.5</formula>
    </cfRule>
  </conditionalFormatting>
  <conditionalFormatting sqref="R10:AY44">
    <cfRule type="cellIs" dxfId="879" priority="1" operator="equal">
      <formula>""</formula>
    </cfRule>
    <cfRule type="cellIs" dxfId="878" priority="2" operator="equal">
      <formula>"x"</formula>
    </cfRule>
  </conditionalFormatting>
  <conditionalFormatting sqref="R46:AY47">
    <cfRule type="cellIs" dxfId="877" priority="23" operator="greaterThan">
      <formula>0.4</formula>
    </cfRule>
    <cfRule type="cellIs" dxfId="876" priority="22" operator="greaterThan">
      <formula>0.6</formula>
    </cfRule>
    <cfRule type="cellIs" dxfId="875" priority="21" operator="greaterThan">
      <formula>0.8</formula>
    </cfRule>
  </conditionalFormatting>
  <pageMargins left="0.75" right="0.75" top="0.39" bottom="0.26" header="0.13" footer="0.14000000000000001"/>
  <pageSetup paperSize="9" scale="97" orientation="landscape" r:id="rId1"/>
  <headerFooter alignWithMargins="0"/>
  <colBreaks count="2" manualBreakCount="2">
    <brk id="16" min="2" max="46" man="1"/>
    <brk id="52" min="2" max="46" man="1"/>
  </col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CCFFFF"/>
    <pageSetUpPr fitToPage="1"/>
  </sheetPr>
  <dimension ref="A1:X126"/>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404</v>
      </c>
      <c r="D1" s="1177"/>
      <c r="E1" s="1177"/>
      <c r="F1" s="1177"/>
      <c r="G1" s="1177"/>
      <c r="H1" s="1177"/>
      <c r="I1" s="1177"/>
      <c r="J1" s="1177"/>
      <c r="K1" s="1233" t="str">
        <f>BEGINBLAD!$I$2</f>
        <v>groep 6</v>
      </c>
      <c r="L1" s="1233"/>
      <c r="M1" s="1233"/>
      <c r="N1" s="1233"/>
      <c r="O1" s="1233"/>
      <c r="P1" s="173"/>
      <c r="X1" s="50"/>
    </row>
    <row r="2" spans="1:24" ht="24" customHeight="1" x14ac:dyDescent="0.25">
      <c r="C2" s="1178" t="str">
        <f>BEGINBLAD!$N$2</f>
        <v>aug.</v>
      </c>
      <c r="D2" s="1178"/>
      <c r="E2" s="175"/>
      <c r="F2" s="412" t="str">
        <f>BEGINBLAD!$O$2</f>
        <v>apr.</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405</v>
      </c>
      <c r="H4" s="61" t="s">
        <v>406</v>
      </c>
      <c r="I4" s="62" t="s">
        <v>407</v>
      </c>
      <c r="J4" s="63" t="s">
        <v>408</v>
      </c>
      <c r="K4" s="60" t="s">
        <v>405</v>
      </c>
      <c r="L4" s="64" t="s">
        <v>409</v>
      </c>
      <c r="M4" s="65" t="s">
        <v>410</v>
      </c>
      <c r="N4" s="54"/>
      <c r="O4" s="54"/>
    </row>
    <row r="5" spans="1:24" ht="19.5" customHeight="1" x14ac:dyDescent="0.25">
      <c r="B5" s="1164" t="s">
        <v>62</v>
      </c>
      <c r="C5" s="66" t="s">
        <v>273</v>
      </c>
      <c r="D5" s="67">
        <v>0</v>
      </c>
      <c r="E5" s="68">
        <v>1</v>
      </c>
      <c r="F5" s="120" t="str">
        <f>BEGINBLAD!C4</f>
        <v>leerling 1</v>
      </c>
      <c r="G5" s="70">
        <f>'NIVEAU WAARDE - vorig jaar'!D9</f>
        <v>4.2</v>
      </c>
      <c r="H5" s="71">
        <f>'NIVEAU WAARDE - 1e toetsperiode'!D9</f>
        <v>3.8</v>
      </c>
      <c r="I5" s="72" t="str">
        <f>IF(H5=0,"",IF(H5&gt;4.5,"A-1+",IF(H5&gt;4.2,"A-1",IF(H5&gt;=4,"A-2",IF(H5&gt;3.4,"B-2",IF(H5&gt;=3,"B-3",IF(H5&gt;2.5,"C-3",IF(H5&gt;=2,"C-4",IF(H5&gt;1.6,"D-4",IF(H5&gt;=1,"D-5",IF(H5&gt;0.5,"E-5",IF(H5&gt;=0,"E-5-"))))))))))))</f>
        <v>B-2</v>
      </c>
      <c r="J5" s="340"/>
      <c r="K5" s="464" t="s">
        <v>411</v>
      </c>
      <c r="L5" s="17" t="s">
        <v>91</v>
      </c>
      <c r="M5" s="256" t="s">
        <v>286</v>
      </c>
      <c r="N5" s="74"/>
      <c r="O5" s="75"/>
    </row>
    <row r="6" spans="1:24" ht="19.5" customHeight="1" x14ac:dyDescent="0.25">
      <c r="B6" s="1164"/>
      <c r="C6" s="76" t="s">
        <v>274</v>
      </c>
      <c r="D6" s="67">
        <v>0</v>
      </c>
      <c r="E6" s="68">
        <v>2</v>
      </c>
      <c r="F6" s="69" t="str">
        <f>BEGINBLAD!C5</f>
        <v>leerling 2</v>
      </c>
      <c r="G6" s="70">
        <f>'NIVEAU WAARDE - vorig jaar'!D10</f>
        <v>4.5999999999999996</v>
      </c>
      <c r="H6" s="71">
        <f>'NIVEAU WAARDE - 1e toetsperiode'!D10</f>
        <v>4.5999999999999996</v>
      </c>
      <c r="I6" s="72" t="str">
        <f t="shared" ref="I6:I40" si="0">IF(H6=0,"",IF(H6&gt;4.5,"A-1+",IF(H6&gt;4.2,"A-1",IF(H6&gt;=4,"A-2",IF(H6&gt;3.4,"B-2",IF(H6&gt;=3,"B-3",IF(H6&gt;2.5,"C-3",IF(H6&gt;=2,"C-4",IF(H6&gt;1.6,"D-4",IF(H6&gt;=1,"D-5",IF(H6&gt;0.5,"E-5",IF(H6&gt;=0,"E-5-"))))))))))))</f>
        <v>A-1+</v>
      </c>
      <c r="J6" s="340"/>
      <c r="K6" s="464" t="s">
        <v>91</v>
      </c>
      <c r="L6" s="17" t="s">
        <v>411</v>
      </c>
      <c r="M6" s="256" t="s">
        <v>285</v>
      </c>
      <c r="N6" s="74"/>
      <c r="O6" s="75"/>
      <c r="R6" s="106"/>
      <c r="S6" s="106"/>
      <c r="T6" s="106"/>
      <c r="U6" s="106"/>
      <c r="V6" s="106"/>
    </row>
    <row r="7" spans="1:24" ht="19.5" customHeight="1" x14ac:dyDescent="0.25">
      <c r="A7" s="77"/>
      <c r="B7" s="257"/>
      <c r="C7" s="258"/>
      <c r="D7" s="67">
        <v>0</v>
      </c>
      <c r="E7" s="68">
        <v>3</v>
      </c>
      <c r="F7" s="69" t="str">
        <f>BEGINBLAD!C6</f>
        <v>leerling 3</v>
      </c>
      <c r="G7" s="70">
        <f>'NIVEAU WAARDE - vorig jaar'!D11</f>
        <v>4.3</v>
      </c>
      <c r="H7" s="71">
        <f>'NIVEAU WAARDE - 1e toetsperiode'!D11</f>
        <v>3.5</v>
      </c>
      <c r="I7" s="72" t="str">
        <f t="shared" si="0"/>
        <v>B-2</v>
      </c>
      <c r="J7" s="340"/>
      <c r="K7" s="464" t="s">
        <v>91</v>
      </c>
      <c r="L7" s="17" t="s">
        <v>411</v>
      </c>
      <c r="M7" s="256" t="s">
        <v>285</v>
      </c>
      <c r="N7" s="74"/>
      <c r="O7" s="75"/>
      <c r="R7" s="107"/>
      <c r="S7" s="107"/>
      <c r="T7" s="107"/>
      <c r="U7" s="107"/>
      <c r="V7" s="107"/>
    </row>
    <row r="8" spans="1:24" ht="19.5" customHeight="1" x14ac:dyDescent="0.25">
      <c r="A8" s="77"/>
      <c r="B8" s="257"/>
      <c r="C8" s="259"/>
      <c r="D8" s="80">
        <v>0</v>
      </c>
      <c r="E8" s="68">
        <v>4</v>
      </c>
      <c r="F8" s="69" t="str">
        <f>BEGINBLAD!C7</f>
        <v>leerling 4</v>
      </c>
      <c r="G8" s="70">
        <f>'NIVEAU WAARDE - vorig jaar'!D12</f>
        <v>4.5999999999999996</v>
      </c>
      <c r="H8" s="71">
        <f>'NIVEAU WAARDE - 1e toetsperiode'!D12</f>
        <v>4</v>
      </c>
      <c r="I8" s="72" t="str">
        <f t="shared" si="0"/>
        <v>A-2</v>
      </c>
      <c r="J8" s="340"/>
      <c r="K8" s="464" t="s">
        <v>91</v>
      </c>
      <c r="L8" s="17" t="s">
        <v>91</v>
      </c>
      <c r="M8" s="256" t="s">
        <v>286</v>
      </c>
      <c r="N8" s="74"/>
      <c r="O8" s="82"/>
      <c r="R8" s="107"/>
      <c r="S8" s="107"/>
      <c r="T8" s="107"/>
      <c r="U8" s="107"/>
      <c r="V8" s="107"/>
    </row>
    <row r="9" spans="1:24" ht="19.5" customHeight="1" x14ac:dyDescent="0.25">
      <c r="A9" s="77"/>
      <c r="B9" s="257"/>
      <c r="C9" s="259"/>
      <c r="D9" s="83">
        <v>0</v>
      </c>
      <c r="E9" s="68">
        <v>5</v>
      </c>
      <c r="F9" s="69" t="str">
        <f>BEGINBLAD!C8</f>
        <v>leerling 5</v>
      </c>
      <c r="G9" s="70">
        <f>'NIVEAU WAARDE - vorig jaar'!D13</f>
        <v>4.3</v>
      </c>
      <c r="H9" s="71">
        <f>'NIVEAU WAARDE - 1e toetsperiode'!D13</f>
        <v>4</v>
      </c>
      <c r="I9" s="72" t="str">
        <f t="shared" si="0"/>
        <v>A-2</v>
      </c>
      <c r="J9" s="340"/>
      <c r="K9" s="473" t="s">
        <v>412</v>
      </c>
      <c r="L9" s="17" t="s">
        <v>412</v>
      </c>
      <c r="M9" s="256" t="s">
        <v>285</v>
      </c>
      <c r="N9" s="74"/>
      <c r="O9" s="84"/>
      <c r="R9" s="107"/>
      <c r="S9" s="107"/>
      <c r="T9" s="107"/>
      <c r="U9" s="107"/>
      <c r="V9" s="107"/>
    </row>
    <row r="10" spans="1:24" ht="19.5" customHeight="1" x14ac:dyDescent="0.25">
      <c r="A10" s="77"/>
      <c r="B10" s="257"/>
      <c r="C10" s="259"/>
      <c r="D10" s="85">
        <v>0</v>
      </c>
      <c r="E10" s="68">
        <v>6</v>
      </c>
      <c r="F10" s="69" t="str">
        <f>BEGINBLAD!C9</f>
        <v>leerling 6</v>
      </c>
      <c r="G10" s="70">
        <f>'NIVEAU WAARDE - vorig jaar'!D14</f>
        <v>3</v>
      </c>
      <c r="H10" s="71">
        <f>'NIVEAU WAARDE - 1e toetsperiode'!D14</f>
        <v>3.6</v>
      </c>
      <c r="I10" s="72" t="str">
        <f t="shared" si="0"/>
        <v>B-2</v>
      </c>
      <c r="J10" s="340"/>
      <c r="K10" s="473" t="s">
        <v>413</v>
      </c>
      <c r="L10" s="17" t="s">
        <v>414</v>
      </c>
      <c r="M10" s="256" t="s">
        <v>287</v>
      </c>
      <c r="N10" s="74"/>
      <c r="O10" s="86"/>
      <c r="R10" s="107"/>
      <c r="S10" s="107"/>
      <c r="T10" s="107"/>
      <c r="U10" s="107"/>
      <c r="V10" s="107"/>
    </row>
    <row r="11" spans="1:24" ht="19.5" customHeight="1" x14ac:dyDescent="0.25">
      <c r="A11" s="77"/>
      <c r="B11" s="257"/>
      <c r="C11" s="259"/>
      <c r="D11" s="85">
        <v>0</v>
      </c>
      <c r="E11" s="68">
        <v>7</v>
      </c>
      <c r="F11" s="69" t="str">
        <f>BEGINBLAD!C10</f>
        <v>leerling 7</v>
      </c>
      <c r="G11" s="70">
        <f>'NIVEAU WAARDE - vorig jaar'!D15</f>
        <v>3</v>
      </c>
      <c r="H11" s="71">
        <f>'NIVEAU WAARDE - 1e toetsperiode'!D15</f>
        <v>3.1</v>
      </c>
      <c r="I11" s="72" t="str">
        <f t="shared" si="0"/>
        <v>B-3</v>
      </c>
      <c r="J11" s="340"/>
      <c r="K11" s="473" t="s">
        <v>413</v>
      </c>
      <c r="L11" s="17" t="s">
        <v>413</v>
      </c>
      <c r="M11" s="256" t="s">
        <v>287</v>
      </c>
      <c r="N11" s="74"/>
      <c r="O11" s="56"/>
      <c r="R11" s="107"/>
      <c r="S11" s="107"/>
      <c r="T11" s="107"/>
      <c r="U11" s="107"/>
      <c r="V11" s="107"/>
    </row>
    <row r="12" spans="1:24" ht="19.5" customHeight="1" x14ac:dyDescent="0.25">
      <c r="A12" s="77"/>
      <c r="B12" s="257"/>
      <c r="C12" s="259"/>
      <c r="D12" s="67">
        <v>0</v>
      </c>
      <c r="E12" s="68">
        <v>8</v>
      </c>
      <c r="F12" s="69" t="str">
        <f>BEGINBLAD!C11</f>
        <v>leerling 8</v>
      </c>
      <c r="G12" s="70">
        <f>'NIVEAU WAARDE - vorig jaar'!D16</f>
        <v>2.8</v>
      </c>
      <c r="H12" s="71">
        <f>'NIVEAU WAARDE - 1e toetsperiode'!D16</f>
        <v>2.2999999999999998</v>
      </c>
      <c r="I12" s="72" t="str">
        <f t="shared" si="0"/>
        <v>C-4</v>
      </c>
      <c r="J12" s="340"/>
      <c r="K12" s="473" t="s">
        <v>413</v>
      </c>
      <c r="L12" s="17" t="s">
        <v>414</v>
      </c>
      <c r="M12" s="256" t="s">
        <v>287</v>
      </c>
      <c r="N12" s="74"/>
      <c r="O12" s="54"/>
      <c r="R12" s="107"/>
      <c r="S12" s="107"/>
      <c r="T12" s="107"/>
      <c r="U12" s="107"/>
      <c r="V12" s="107"/>
    </row>
    <row r="13" spans="1:24" ht="19.5" customHeight="1" x14ac:dyDescent="0.25">
      <c r="A13" s="77"/>
      <c r="B13" s="78"/>
      <c r="C13" s="868"/>
      <c r="D13" s="67">
        <v>0</v>
      </c>
      <c r="E13" s="68">
        <v>9</v>
      </c>
      <c r="F13" s="69">
        <f>BEGINBLAD!C12</f>
        <v>0</v>
      </c>
      <c r="G13" s="70">
        <f>'NIVEAU WAARDE - vorig jaar'!D17</f>
        <v>0</v>
      </c>
      <c r="H13" s="71">
        <f>'NIVEAU WAARDE - 1e toetsperiode'!D17</f>
        <v>0</v>
      </c>
      <c r="I13" s="72" t="str">
        <f t="shared" si="0"/>
        <v/>
      </c>
      <c r="J13" s="340"/>
      <c r="K13" s="473"/>
      <c r="L13" s="17"/>
      <c r="M13" s="256"/>
      <c r="N13" s="74"/>
      <c r="O13" s="75"/>
      <c r="R13" s="108"/>
      <c r="S13" s="108"/>
      <c r="T13" s="108"/>
      <c r="U13" s="108"/>
      <c r="V13" s="108"/>
    </row>
    <row r="14" spans="1:24" ht="19.5" customHeight="1" thickBot="1" x14ac:dyDescent="0.3">
      <c r="A14" s="77"/>
      <c r="B14" s="78"/>
      <c r="C14" s="868"/>
      <c r="D14" s="67">
        <v>0</v>
      </c>
      <c r="E14" s="68">
        <v>10</v>
      </c>
      <c r="F14" s="69">
        <f>BEGINBLAD!C13</f>
        <v>0</v>
      </c>
      <c r="G14" s="70">
        <f>'NIVEAU WAARDE - vorig jaar'!D18</f>
        <v>0</v>
      </c>
      <c r="H14" s="71">
        <f>'NIVEAU WAARDE - 1e toetsperiode'!D18</f>
        <v>0</v>
      </c>
      <c r="I14" s="72" t="str">
        <f t="shared" si="0"/>
        <v/>
      </c>
      <c r="J14" s="340"/>
      <c r="K14" s="473"/>
      <c r="L14" s="17"/>
      <c r="M14" s="256"/>
      <c r="N14" s="74"/>
      <c r="O14" s="82"/>
      <c r="P14" s="54" t="s">
        <v>415</v>
      </c>
      <c r="R14" s="108"/>
      <c r="S14" s="108"/>
      <c r="T14" s="108"/>
      <c r="U14" s="108"/>
      <c r="V14" s="108"/>
    </row>
    <row r="15" spans="1:24" ht="19.5" customHeight="1" x14ac:dyDescent="0.25">
      <c r="A15" s="77"/>
      <c r="B15" s="78"/>
      <c r="C15" s="868"/>
      <c r="D15" s="67">
        <v>0</v>
      </c>
      <c r="E15" s="68">
        <v>11</v>
      </c>
      <c r="F15" s="69">
        <f>BEGINBLAD!C14</f>
        <v>0</v>
      </c>
      <c r="G15" s="70">
        <f>'NIVEAU WAARDE - vorig jaar'!D19</f>
        <v>0</v>
      </c>
      <c r="H15" s="71">
        <f>'NIVEAU WAARDE - 1e toetsperiode'!D19</f>
        <v>0</v>
      </c>
      <c r="I15" s="72" t="str">
        <f t="shared" si="0"/>
        <v/>
      </c>
      <c r="J15" s="340"/>
      <c r="K15" s="473"/>
      <c r="L15" s="17"/>
      <c r="M15" s="256"/>
      <c r="N15" s="74"/>
      <c r="O15" s="1229" t="s">
        <v>208</v>
      </c>
      <c r="P15" s="1231" t="str">
        <f>'BASISAANPAK - 1e periode'!$C$6</f>
        <v>AVI niveau moet minimaal één niveau omhoog
Leesplezier bevorderen
Leessnelheid + intonatie opvoeren</v>
      </c>
      <c r="R15" s="108"/>
      <c r="S15" s="108"/>
      <c r="T15" s="108"/>
      <c r="U15" s="108"/>
      <c r="V15" s="108"/>
    </row>
    <row r="16" spans="1:24" ht="19.5" customHeight="1" x14ac:dyDescent="0.25">
      <c r="A16" s="77"/>
      <c r="B16" s="78"/>
      <c r="C16" s="868"/>
      <c r="D16" s="67">
        <v>0</v>
      </c>
      <c r="E16" s="68">
        <v>12</v>
      </c>
      <c r="F16" s="69">
        <f>BEGINBLAD!C15</f>
        <v>0</v>
      </c>
      <c r="G16" s="70">
        <f>'NIVEAU WAARDE - vorig jaar'!D20</f>
        <v>0</v>
      </c>
      <c r="H16" s="71">
        <f>'NIVEAU WAARDE - 1e toetsperiode'!D20</f>
        <v>0</v>
      </c>
      <c r="I16" s="72" t="str">
        <f t="shared" si="0"/>
        <v/>
      </c>
      <c r="J16" s="340"/>
      <c r="K16" s="473"/>
      <c r="L16" s="17"/>
      <c r="M16" s="256"/>
      <c r="N16" s="74"/>
      <c r="O16" s="1230"/>
      <c r="P16" s="1232"/>
      <c r="R16" s="108"/>
      <c r="S16" s="108"/>
      <c r="T16" s="108"/>
      <c r="U16" s="108"/>
      <c r="V16" s="108"/>
    </row>
    <row r="17" spans="1:24" ht="19.5" customHeight="1" x14ac:dyDescent="0.25">
      <c r="A17" s="77"/>
      <c r="B17" s="78"/>
      <c r="C17" s="868"/>
      <c r="D17" s="80">
        <v>0</v>
      </c>
      <c r="E17" s="68">
        <v>13</v>
      </c>
      <c r="F17" s="69">
        <f>BEGINBLAD!C16</f>
        <v>0</v>
      </c>
      <c r="G17" s="70">
        <f>'NIVEAU WAARDE - vorig jaar'!D21</f>
        <v>0</v>
      </c>
      <c r="H17" s="71">
        <f>'NIVEAU WAARDE - 1e toetsperiode'!D21</f>
        <v>0</v>
      </c>
      <c r="I17" s="72" t="str">
        <f t="shared" si="0"/>
        <v/>
      </c>
      <c r="J17" s="340"/>
      <c r="K17" s="473"/>
      <c r="L17" s="17"/>
      <c r="M17" s="256"/>
      <c r="N17" s="74"/>
      <c r="O17" s="1260" t="s">
        <v>210</v>
      </c>
      <c r="P17" s="1258" t="str">
        <f>'INTENSIEF - 1e periode'!C8</f>
        <v>De kinderen van groep 6 helpen op maandag en woensdag de kinderen van groep 3 met bouw. Groep 5 wordt geholpen met Ralfi lezen</v>
      </c>
    </row>
    <row r="18" spans="1:24" ht="19.5" customHeight="1" x14ac:dyDescent="0.25">
      <c r="A18" s="77"/>
      <c r="B18" s="78"/>
      <c r="C18" s="868"/>
      <c r="D18" s="85">
        <v>0</v>
      </c>
      <c r="E18" s="68">
        <v>14</v>
      </c>
      <c r="F18" s="69">
        <f>BEGINBLAD!C17</f>
        <v>0</v>
      </c>
      <c r="G18" s="70">
        <f>'NIVEAU WAARDE - vorig jaar'!D22</f>
        <v>0</v>
      </c>
      <c r="H18" s="71">
        <f>'NIVEAU WAARDE - 1e toetsperiode'!D22</f>
        <v>0</v>
      </c>
      <c r="I18" s="72" t="str">
        <f t="shared" si="0"/>
        <v/>
      </c>
      <c r="J18" s="340"/>
      <c r="K18" s="473"/>
      <c r="L18" s="17"/>
      <c r="M18" s="256"/>
      <c r="N18" s="74"/>
      <c r="O18" s="1260"/>
      <c r="P18" s="1258"/>
    </row>
    <row r="19" spans="1:24" ht="19.5" customHeight="1" x14ac:dyDescent="0.3">
      <c r="D19" s="85">
        <v>0</v>
      </c>
      <c r="E19" s="68">
        <v>15</v>
      </c>
      <c r="F19" s="69">
        <f>BEGINBLAD!C18</f>
        <v>0</v>
      </c>
      <c r="G19" s="70">
        <f>'NIVEAU WAARDE - vorig jaar'!D23</f>
        <v>0</v>
      </c>
      <c r="H19" s="71">
        <f>'NIVEAU WAARDE - 1e toetsperiode'!D23</f>
        <v>0</v>
      </c>
      <c r="I19" s="72" t="str">
        <f t="shared" si="0"/>
        <v/>
      </c>
      <c r="J19" s="340"/>
      <c r="K19" s="473"/>
      <c r="L19" s="17"/>
      <c r="M19" s="256"/>
      <c r="N19" s="74"/>
      <c r="O19" s="1260"/>
      <c r="P19" s="1258"/>
      <c r="U19" s="88"/>
      <c r="V19" s="88"/>
      <c r="W19" s="88"/>
      <c r="X19" s="88"/>
    </row>
    <row r="20" spans="1:24" ht="19.5" customHeight="1" x14ac:dyDescent="0.25">
      <c r="D20" s="85">
        <v>0</v>
      </c>
      <c r="E20" s="68">
        <v>16</v>
      </c>
      <c r="F20" s="69">
        <f>BEGINBLAD!C19</f>
        <v>0</v>
      </c>
      <c r="G20" s="70">
        <f>'NIVEAU WAARDE - vorig jaar'!D24</f>
        <v>0</v>
      </c>
      <c r="H20" s="71">
        <f>'NIVEAU WAARDE - 1e toetsperiode'!D24</f>
        <v>0</v>
      </c>
      <c r="I20" s="72" t="str">
        <f t="shared" si="0"/>
        <v/>
      </c>
      <c r="J20" s="340"/>
      <c r="K20" s="474"/>
      <c r="L20" s="17"/>
      <c r="M20" s="256"/>
      <c r="N20" s="74"/>
      <c r="O20" s="1260"/>
      <c r="P20" s="1258"/>
    </row>
    <row r="21" spans="1:24" ht="19.5" customHeight="1" x14ac:dyDescent="0.25">
      <c r="D21" s="85">
        <v>0</v>
      </c>
      <c r="E21" s="68">
        <v>17</v>
      </c>
      <c r="F21" s="69">
        <f>BEGINBLAD!C20</f>
        <v>0</v>
      </c>
      <c r="G21" s="70">
        <f>'NIVEAU WAARDE - vorig jaar'!D25</f>
        <v>0</v>
      </c>
      <c r="H21" s="71">
        <f>'NIVEAU WAARDE - 1e toetsperiode'!D25</f>
        <v>0</v>
      </c>
      <c r="I21" s="72" t="str">
        <f t="shared" si="0"/>
        <v/>
      </c>
      <c r="J21" s="340"/>
      <c r="K21" s="474"/>
      <c r="L21" s="17"/>
      <c r="M21" s="256"/>
      <c r="N21" s="74"/>
      <c r="O21" s="1260"/>
      <c r="P21" s="1258"/>
    </row>
    <row r="22" spans="1:24" ht="19.5" customHeight="1" x14ac:dyDescent="0.25">
      <c r="D22" s="85">
        <v>0</v>
      </c>
      <c r="E22" s="68">
        <v>18</v>
      </c>
      <c r="F22" s="69">
        <f>BEGINBLAD!C21</f>
        <v>0</v>
      </c>
      <c r="G22" s="70">
        <f>'NIVEAU WAARDE - vorig jaar'!D26</f>
        <v>0</v>
      </c>
      <c r="H22" s="71">
        <f>'NIVEAU WAARDE - 1e toetsperiode'!D26</f>
        <v>0</v>
      </c>
      <c r="I22" s="72" t="str">
        <f t="shared" si="0"/>
        <v/>
      </c>
      <c r="J22" s="340"/>
      <c r="K22" s="474"/>
      <c r="L22" s="17"/>
      <c r="M22" s="256"/>
      <c r="N22" s="74"/>
      <c r="O22" s="1260"/>
      <c r="P22" s="1258"/>
    </row>
    <row r="23" spans="1:24" ht="19.5" customHeight="1" x14ac:dyDescent="0.25">
      <c r="B23" s="53"/>
      <c r="C23" s="53"/>
      <c r="D23" s="85">
        <v>0</v>
      </c>
      <c r="E23" s="68">
        <v>19</v>
      </c>
      <c r="F23" s="69">
        <f>BEGINBLAD!C22</f>
        <v>0</v>
      </c>
      <c r="G23" s="70">
        <f>'NIVEAU WAARDE - vorig jaar'!D27</f>
        <v>0</v>
      </c>
      <c r="H23" s="71">
        <f>'NIVEAU WAARDE - 1e toetsperiode'!D27</f>
        <v>0</v>
      </c>
      <c r="I23" s="72" t="str">
        <f t="shared" si="0"/>
        <v/>
      </c>
      <c r="J23" s="340"/>
      <c r="K23" s="474"/>
      <c r="L23" s="17"/>
      <c r="M23" s="256"/>
      <c r="N23" s="74"/>
      <c r="O23" s="1260"/>
      <c r="P23" s="1258"/>
    </row>
    <row r="24" spans="1:24" ht="19.5" customHeight="1" thickBot="1" x14ac:dyDescent="0.3">
      <c r="B24" s="89"/>
      <c r="C24" s="53"/>
      <c r="D24" s="85">
        <v>0</v>
      </c>
      <c r="E24" s="68">
        <v>20</v>
      </c>
      <c r="F24" s="69">
        <f>BEGINBLAD!C23</f>
        <v>0</v>
      </c>
      <c r="G24" s="70">
        <f>'NIVEAU WAARDE - vorig jaar'!D28</f>
        <v>0</v>
      </c>
      <c r="H24" s="71">
        <f>'NIVEAU WAARDE - 1e toetsperiode'!D28</f>
        <v>0</v>
      </c>
      <c r="I24" s="72" t="str">
        <f t="shared" si="0"/>
        <v/>
      </c>
      <c r="J24" s="340"/>
      <c r="K24" s="474"/>
      <c r="L24" s="17"/>
      <c r="M24" s="256"/>
      <c r="N24" s="74"/>
      <c r="O24" s="1261"/>
      <c r="P24" s="1259"/>
    </row>
    <row r="25" spans="1:24" ht="19.5" customHeight="1" thickBot="1" x14ac:dyDescent="0.3">
      <c r="B25" s="89"/>
      <c r="C25" s="53"/>
      <c r="D25" s="85">
        <v>0</v>
      </c>
      <c r="E25" s="68">
        <v>21</v>
      </c>
      <c r="F25" s="69">
        <f>BEGINBLAD!C24</f>
        <v>0</v>
      </c>
      <c r="G25" s="70">
        <f>'NIVEAU WAARDE - vorig jaar'!D29</f>
        <v>0</v>
      </c>
      <c r="H25" s="71">
        <f>'NIVEAU WAARDE - 1e toetsperiode'!D29</f>
        <v>0</v>
      </c>
      <c r="I25" s="72" t="str">
        <f t="shared" si="0"/>
        <v/>
      </c>
      <c r="J25" s="340"/>
      <c r="K25" s="474"/>
      <c r="L25" s="17"/>
      <c r="M25" s="256"/>
      <c r="N25" s="74"/>
      <c r="O25" s="82"/>
      <c r="P25" s="54" t="s">
        <v>416</v>
      </c>
    </row>
    <row r="26" spans="1:24" ht="19.5" customHeight="1" x14ac:dyDescent="0.25">
      <c r="D26" s="85">
        <v>0</v>
      </c>
      <c r="E26" s="68">
        <v>22</v>
      </c>
      <c r="F26" s="69">
        <f>BEGINBLAD!C25</f>
        <v>0</v>
      </c>
      <c r="G26" s="70">
        <f>'NIVEAU WAARDE - vorig jaar'!D30</f>
        <v>0</v>
      </c>
      <c r="H26" s="71">
        <f>'NIVEAU WAARDE - 1e toetsperiode'!D30</f>
        <v>0</v>
      </c>
      <c r="I26" s="72" t="str">
        <f t="shared" si="0"/>
        <v/>
      </c>
      <c r="J26" s="340"/>
      <c r="K26" s="474"/>
      <c r="L26" s="17"/>
      <c r="M26" s="256"/>
      <c r="N26" s="74"/>
      <c r="O26" s="1229" t="s">
        <v>208</v>
      </c>
      <c r="P26" s="1231" t="str">
        <f>'BASISAANPAK - 1e periode'!C6</f>
        <v>AVI niveau moet minimaal één niveau omhoog
Leesplezier bevorderen
Leessnelheid + intonatie opvoeren</v>
      </c>
    </row>
    <row r="27" spans="1:24" s="92" customFormat="1" ht="19.5" customHeight="1" x14ac:dyDescent="0.55000000000000004">
      <c r="A27" s="51"/>
      <c r="B27" s="1164" t="s">
        <v>62</v>
      </c>
      <c r="C27" s="66" t="s">
        <v>275</v>
      </c>
      <c r="D27" s="80">
        <v>0</v>
      </c>
      <c r="E27" s="68">
        <v>23</v>
      </c>
      <c r="F27" s="69">
        <f>BEGINBLAD!C26</f>
        <v>0</v>
      </c>
      <c r="G27" s="70">
        <f>'NIVEAU WAARDE - vorig jaar'!D31</f>
        <v>0</v>
      </c>
      <c r="H27" s="71">
        <f>'NIVEAU WAARDE - 1e toetsperiode'!D31</f>
        <v>0</v>
      </c>
      <c r="I27" s="72" t="str">
        <f t="shared" si="0"/>
        <v/>
      </c>
      <c r="J27" s="340"/>
      <c r="K27" s="474"/>
      <c r="L27" s="17"/>
      <c r="M27" s="256"/>
      <c r="N27" s="74"/>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vorig jaar'!D32</f>
        <v>0</v>
      </c>
      <c r="H28" s="71">
        <f>'NIVEAU WAARDE - 1e toetsperiode'!D32</f>
        <v>0</v>
      </c>
      <c r="I28" s="72" t="str">
        <f t="shared" si="0"/>
        <v/>
      </c>
      <c r="J28" s="340"/>
      <c r="K28" s="474"/>
      <c r="L28" s="17"/>
      <c r="M28" s="256"/>
      <c r="N28" s="74"/>
      <c r="O28" s="1230" t="s">
        <v>210</v>
      </c>
      <c r="P28" s="1232" t="str">
        <f>'BASISAANPAK - 1e periode'!C8</f>
        <v>De kinderen helpen op maandag en woensdag groep 3 met bouw. Groep 5 wordt geholpen met Ralfi lezen.   Onder het lezen op maandag gaat de leerkracht de Plusklasleerlingen bij praten. Op woensdag loopt de leekracht de ronde om te zien of iedereen aan het lezen is.                                                                             Leesbevordering  : boekenbeurten en voorleeswedstrijd zijn deze preriode ook inpland.</v>
      </c>
      <c r="Q28" s="56"/>
      <c r="R28" s="93"/>
      <c r="S28" s="54"/>
      <c r="T28" s="54"/>
      <c r="U28" s="54"/>
      <c r="V28" s="54"/>
      <c r="W28" s="54"/>
    </row>
    <row r="29" spans="1:24" ht="19.5" customHeight="1" x14ac:dyDescent="0.25">
      <c r="A29" s="77"/>
      <c r="B29" s="257"/>
      <c r="C29" s="259"/>
      <c r="D29" s="67">
        <v>0</v>
      </c>
      <c r="E29" s="68">
        <v>25</v>
      </c>
      <c r="F29" s="69">
        <f>BEGINBLAD!C28</f>
        <v>0</v>
      </c>
      <c r="G29" s="70">
        <f>'NIVEAU WAARDE - vorig jaar'!D33</f>
        <v>0</v>
      </c>
      <c r="H29" s="71">
        <f>'NIVEAU WAARDE - 1e toetsperiode'!D33</f>
        <v>0</v>
      </c>
      <c r="I29" s="72" t="str">
        <f t="shared" si="0"/>
        <v/>
      </c>
      <c r="J29" s="340"/>
      <c r="K29" s="474"/>
      <c r="L29" s="17"/>
      <c r="M29" s="256"/>
      <c r="N29" s="74"/>
      <c r="O29" s="1230"/>
      <c r="P29" s="1232"/>
    </row>
    <row r="30" spans="1:24" ht="19.5" customHeight="1" x14ac:dyDescent="0.25">
      <c r="A30" s="77"/>
      <c r="B30" s="257"/>
      <c r="C30" s="259"/>
      <c r="D30" s="67">
        <v>0</v>
      </c>
      <c r="E30" s="68">
        <v>26</v>
      </c>
      <c r="F30" s="69">
        <f>BEGINBLAD!C29</f>
        <v>0</v>
      </c>
      <c r="G30" s="70">
        <f>'NIVEAU WAARDE - vorig jaar'!D34</f>
        <v>0</v>
      </c>
      <c r="H30" s="71">
        <f>'NIVEAU WAARDE - 1e toetsperiode'!D34</f>
        <v>0</v>
      </c>
      <c r="I30" s="72" t="str">
        <f t="shared" si="0"/>
        <v/>
      </c>
      <c r="J30" s="340"/>
      <c r="K30" s="465"/>
      <c r="L30" s="17"/>
      <c r="M30" s="256"/>
      <c r="N30" s="74"/>
      <c r="O30" s="1230"/>
      <c r="P30" s="1232"/>
    </row>
    <row r="31" spans="1:24" ht="19.5" customHeight="1" x14ac:dyDescent="0.25">
      <c r="A31" s="77"/>
      <c r="B31" s="257"/>
      <c r="C31" s="259"/>
      <c r="D31" s="67">
        <v>0</v>
      </c>
      <c r="E31" s="68">
        <v>27</v>
      </c>
      <c r="F31" s="69">
        <f>BEGINBLAD!C30</f>
        <v>0</v>
      </c>
      <c r="G31" s="70">
        <f>'NIVEAU WAARDE - vorig jaar'!D35</f>
        <v>0</v>
      </c>
      <c r="H31" s="71">
        <f>'NIVEAU WAARDE - 1e toetsperiode'!D35</f>
        <v>0</v>
      </c>
      <c r="I31" s="72" t="str">
        <f t="shared" si="0"/>
        <v/>
      </c>
      <c r="J31" s="340"/>
      <c r="K31" s="465"/>
      <c r="L31" s="17"/>
      <c r="M31" s="256"/>
      <c r="N31" s="74"/>
      <c r="O31" s="1230"/>
      <c r="P31" s="1232"/>
    </row>
    <row r="32" spans="1:24" ht="19.5" customHeight="1" x14ac:dyDescent="0.25">
      <c r="A32" s="77"/>
      <c r="B32" s="257"/>
      <c r="C32" s="259"/>
      <c r="D32" s="67">
        <v>0</v>
      </c>
      <c r="E32" s="68">
        <v>28</v>
      </c>
      <c r="F32" s="69">
        <f>BEGINBLAD!C31</f>
        <v>0</v>
      </c>
      <c r="G32" s="70">
        <f>'NIVEAU WAARDE - vorig jaar'!D36</f>
        <v>0</v>
      </c>
      <c r="H32" s="71">
        <f>'NIVEAU WAARDE - 1e toetsperiode'!D36</f>
        <v>0</v>
      </c>
      <c r="I32" s="72" t="str">
        <f t="shared" si="0"/>
        <v/>
      </c>
      <c r="J32" s="340"/>
      <c r="K32" s="465"/>
      <c r="L32" s="17"/>
      <c r="M32" s="256"/>
      <c r="N32" s="74"/>
      <c r="O32" s="1230"/>
      <c r="P32" s="1232"/>
    </row>
    <row r="33" spans="1:23" ht="19.5" customHeight="1" x14ac:dyDescent="0.25">
      <c r="A33" s="77"/>
      <c r="B33" s="257"/>
      <c r="C33" s="259"/>
      <c r="D33" s="67">
        <v>0</v>
      </c>
      <c r="E33" s="68">
        <v>29</v>
      </c>
      <c r="F33" s="69">
        <f>BEGINBLAD!C32</f>
        <v>0</v>
      </c>
      <c r="G33" s="70">
        <f>'NIVEAU WAARDE - vorig jaar'!D37</f>
        <v>0</v>
      </c>
      <c r="H33" s="71">
        <f>'NIVEAU WAARDE - 1e toetsperiode'!D37</f>
        <v>0</v>
      </c>
      <c r="I33" s="72" t="str">
        <f t="shared" si="0"/>
        <v/>
      </c>
      <c r="J33" s="340"/>
      <c r="K33" s="465"/>
      <c r="L33" s="17"/>
      <c r="M33" s="256"/>
      <c r="N33" s="74"/>
      <c r="O33" s="1230"/>
      <c r="P33" s="1232"/>
    </row>
    <row r="34" spans="1:23" ht="19.5" customHeight="1" x14ac:dyDescent="0.25">
      <c r="A34" s="77"/>
      <c r="B34" s="78"/>
      <c r="C34" s="868"/>
      <c r="D34" s="67">
        <v>0</v>
      </c>
      <c r="E34" s="68">
        <v>30</v>
      </c>
      <c r="F34" s="69">
        <f>BEGINBLAD!C33</f>
        <v>0</v>
      </c>
      <c r="G34" s="70">
        <f>'NIVEAU WAARDE - vorig jaar'!D38</f>
        <v>0</v>
      </c>
      <c r="H34" s="71">
        <f>'NIVEAU WAARDE - 1e toetsperiode'!D38</f>
        <v>0</v>
      </c>
      <c r="I34" s="72" t="str">
        <f t="shared" si="0"/>
        <v/>
      </c>
      <c r="J34" s="340"/>
      <c r="K34" s="466"/>
      <c r="L34" s="17"/>
      <c r="M34" s="256"/>
      <c r="N34" s="74"/>
      <c r="O34" s="1230"/>
      <c r="P34" s="1232"/>
    </row>
    <row r="35" spans="1:23" ht="19.5" customHeight="1" thickBot="1" x14ac:dyDescent="0.3">
      <c r="A35" s="77"/>
      <c r="B35" s="78"/>
      <c r="C35" s="868"/>
      <c r="D35" s="67">
        <v>0</v>
      </c>
      <c r="E35" s="68">
        <v>31</v>
      </c>
      <c r="F35" s="69">
        <f>BEGINBLAD!C34</f>
        <v>0</v>
      </c>
      <c r="G35" s="70">
        <f>'NIVEAU WAARDE - vorig jaar'!D39</f>
        <v>0</v>
      </c>
      <c r="H35" s="71">
        <f>'NIVEAU WAARDE - 1e toetsperiode'!D39</f>
        <v>0</v>
      </c>
      <c r="I35" s="72" t="str">
        <f t="shared" si="0"/>
        <v/>
      </c>
      <c r="J35" s="340"/>
      <c r="K35" s="466"/>
      <c r="L35" s="17"/>
      <c r="M35" s="256"/>
      <c r="N35" s="74"/>
      <c r="O35" s="1257"/>
      <c r="P35" s="1262"/>
    </row>
    <row r="36" spans="1:23" ht="19.5" customHeight="1" thickBot="1" x14ac:dyDescent="0.3">
      <c r="A36" s="77"/>
      <c r="B36" s="78"/>
      <c r="C36" s="868"/>
      <c r="D36" s="67">
        <v>0</v>
      </c>
      <c r="E36" s="68">
        <v>32</v>
      </c>
      <c r="F36" s="69">
        <f>BEGINBLAD!C35</f>
        <v>0</v>
      </c>
      <c r="G36" s="70">
        <f>'NIVEAU WAARDE - vorig jaar'!D40</f>
        <v>0</v>
      </c>
      <c r="H36" s="71">
        <f>'NIVEAU WAARDE - 1e toetsperiode'!D40</f>
        <v>0</v>
      </c>
      <c r="I36" s="72" t="str">
        <f t="shared" si="0"/>
        <v/>
      </c>
      <c r="J36" s="340"/>
      <c r="K36" s="467"/>
      <c r="L36" s="17"/>
      <c r="M36" s="256"/>
      <c r="N36" s="74"/>
      <c r="O36" s="82"/>
      <c r="P36" s="54" t="s">
        <v>417</v>
      </c>
    </row>
    <row r="37" spans="1:23" ht="19.5" customHeight="1" x14ac:dyDescent="0.25">
      <c r="A37" s="77"/>
      <c r="B37" s="78"/>
      <c r="C37" s="868"/>
      <c r="D37" s="67">
        <v>0</v>
      </c>
      <c r="E37" s="68">
        <v>33</v>
      </c>
      <c r="F37" s="69">
        <f>BEGINBLAD!C36</f>
        <v>0</v>
      </c>
      <c r="G37" s="70">
        <f>'NIVEAU WAARDE - vorig jaar'!D41</f>
        <v>0</v>
      </c>
      <c r="H37" s="71">
        <f>'NIVEAU WAARDE - 1e toetsperiode'!D41</f>
        <v>0</v>
      </c>
      <c r="I37" s="72" t="str">
        <f t="shared" si="0"/>
        <v/>
      </c>
      <c r="J37" s="340"/>
      <c r="K37" s="467"/>
      <c r="L37" s="17"/>
      <c r="M37" s="256"/>
      <c r="N37" s="74"/>
      <c r="O37" s="1229" t="s">
        <v>208</v>
      </c>
      <c r="P37" s="1231">
        <f>'VERRIJKT - 1e periode'!C6</f>
        <v>0</v>
      </c>
    </row>
    <row r="38" spans="1:23" ht="19.5" customHeight="1" x14ac:dyDescent="0.25">
      <c r="A38" s="77"/>
      <c r="B38" s="78"/>
      <c r="C38" s="868"/>
      <c r="D38" s="67">
        <v>0</v>
      </c>
      <c r="E38" s="68">
        <v>34</v>
      </c>
      <c r="F38" s="69">
        <f>BEGINBLAD!C37</f>
        <v>0</v>
      </c>
      <c r="G38" s="70">
        <f>'NIVEAU WAARDE - vorig jaar'!D42</f>
        <v>0</v>
      </c>
      <c r="H38" s="71">
        <f>'NIVEAU WAARDE - 1e toetsperiode'!D42</f>
        <v>0</v>
      </c>
      <c r="I38" s="72" t="str">
        <f t="shared" si="0"/>
        <v/>
      </c>
      <c r="J38" s="340"/>
      <c r="K38" s="467"/>
      <c r="L38" s="17"/>
      <c r="M38" s="256"/>
      <c r="N38" s="74"/>
      <c r="O38" s="1230"/>
      <c r="P38" s="1232"/>
    </row>
    <row r="39" spans="1:23" ht="19.5" customHeight="1" x14ac:dyDescent="0.25">
      <c r="A39" s="77"/>
      <c r="B39" s="78"/>
      <c r="C39" s="868"/>
      <c r="D39" s="67">
        <v>0</v>
      </c>
      <c r="E39" s="68">
        <v>35</v>
      </c>
      <c r="F39" s="69">
        <f>BEGINBLAD!C38</f>
        <v>0</v>
      </c>
      <c r="G39" s="70">
        <f>'NIVEAU WAARDE - vorig jaar'!D43</f>
        <v>0</v>
      </c>
      <c r="H39" s="71">
        <f>'NIVEAU WAARDE - 1e toetsperiode'!D43</f>
        <v>0</v>
      </c>
      <c r="I39" s="72" t="str">
        <f t="shared" si="0"/>
        <v/>
      </c>
      <c r="J39" s="340"/>
      <c r="K39" s="468"/>
      <c r="L39" s="17"/>
      <c r="M39" s="469"/>
      <c r="N39" s="74"/>
      <c r="O39" s="1230" t="s">
        <v>210</v>
      </c>
      <c r="P39" s="1255">
        <f>'VERRIJKT - 1e periode'!C8</f>
        <v>0</v>
      </c>
    </row>
    <row r="40" spans="1:23" ht="19.5" customHeight="1" thickBot="1" x14ac:dyDescent="0.3">
      <c r="A40" s="77"/>
      <c r="B40" s="78"/>
      <c r="C40" s="868"/>
      <c r="D40" s="67">
        <v>0</v>
      </c>
      <c r="E40" s="94">
        <v>36</v>
      </c>
      <c r="F40" s="95">
        <f>BEGINBLAD!C39</f>
        <v>0</v>
      </c>
      <c r="G40" s="96">
        <f>'NIVEAU WAARDE - vorig jaar'!D44</f>
        <v>0</v>
      </c>
      <c r="H40" s="97">
        <f>'NIVEAU WAARDE - 1e toetsperiode'!D44</f>
        <v>0</v>
      </c>
      <c r="I40" s="98" t="str">
        <f t="shared" si="0"/>
        <v/>
      </c>
      <c r="J40" s="470"/>
      <c r="K40" s="471"/>
      <c r="L40" s="923"/>
      <c r="M40" s="472"/>
      <c r="N40" s="74"/>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66"/>
      <c r="G42" s="1267" t="s">
        <v>279</v>
      </c>
      <c r="H42" s="1268"/>
      <c r="I42" s="1234"/>
      <c r="J42" s="1235"/>
      <c r="K42" s="1235"/>
      <c r="L42" s="1235"/>
      <c r="M42" s="1236"/>
      <c r="O42" s="1230"/>
      <c r="P42" s="1255"/>
      <c r="R42" s="101"/>
      <c r="S42" s="101"/>
      <c r="T42" s="101"/>
      <c r="U42" s="101"/>
      <c r="V42" s="101"/>
      <c r="W42" s="101"/>
    </row>
    <row r="43" spans="1:23" ht="19.5" customHeight="1" x14ac:dyDescent="0.25">
      <c r="B43" s="78"/>
      <c r="C43" s="122" t="s">
        <v>280</v>
      </c>
      <c r="D43" s="1246"/>
      <c r="E43" s="1247"/>
      <c r="F43" s="1248"/>
      <c r="G43" s="1249" t="s">
        <v>280</v>
      </c>
      <c r="H43" s="1250"/>
      <c r="I43" s="1251"/>
      <c r="J43" s="1252"/>
      <c r="K43" s="1252"/>
      <c r="L43" s="1252"/>
      <c r="M43" s="1253"/>
      <c r="O43" s="1230"/>
      <c r="P43" s="1255"/>
      <c r="R43" s="101"/>
      <c r="S43" s="101"/>
      <c r="T43" s="101"/>
      <c r="U43" s="101"/>
      <c r="V43" s="101"/>
      <c r="W43" s="101"/>
    </row>
    <row r="44" spans="1:23" ht="19.5" customHeight="1" x14ac:dyDescent="0.25">
      <c r="B44" s="78"/>
      <c r="C44" s="122" t="s">
        <v>281</v>
      </c>
      <c r="D44" s="1246"/>
      <c r="E44" s="1247"/>
      <c r="F44" s="1248"/>
      <c r="G44" s="1249" t="s">
        <v>281</v>
      </c>
      <c r="H44" s="1250"/>
      <c r="I44" s="1251"/>
      <c r="J44" s="1252"/>
      <c r="K44" s="1252"/>
      <c r="L44" s="1252"/>
      <c r="M44" s="1253"/>
      <c r="O44" s="1230"/>
      <c r="P44" s="1255"/>
      <c r="R44" s="101"/>
      <c r="S44" s="101"/>
      <c r="T44" s="101"/>
      <c r="U44" s="101"/>
      <c r="V44" s="101"/>
      <c r="W44" s="101"/>
    </row>
    <row r="45" spans="1:23" ht="19.5" customHeight="1" x14ac:dyDescent="0.25">
      <c r="B45" s="78"/>
      <c r="C45" s="122" t="s">
        <v>282</v>
      </c>
      <c r="D45" s="1246"/>
      <c r="E45" s="1247"/>
      <c r="F45" s="1248"/>
      <c r="G45" s="1249" t="s">
        <v>282</v>
      </c>
      <c r="H45" s="1250"/>
      <c r="I45" s="1251"/>
      <c r="J45" s="1252"/>
      <c r="K45" s="1252"/>
      <c r="L45" s="1252"/>
      <c r="M45" s="1253"/>
      <c r="O45" s="1230"/>
      <c r="P45" s="1255"/>
      <c r="R45" s="101"/>
      <c r="S45" s="101"/>
      <c r="T45" s="101"/>
      <c r="U45" s="101"/>
      <c r="V45" s="101"/>
      <c r="W45" s="101"/>
    </row>
    <row r="46" spans="1:23" ht="19.5" customHeight="1" thickBot="1" x14ac:dyDescent="0.3">
      <c r="B46" s="78"/>
      <c r="C46" s="123" t="s">
        <v>283</v>
      </c>
      <c r="D46" s="1237"/>
      <c r="E46" s="1238"/>
      <c r="F46" s="1239"/>
      <c r="G46" s="1240" t="s">
        <v>283</v>
      </c>
      <c r="H46" s="1241"/>
      <c r="I46" s="1242"/>
      <c r="J46" s="1243"/>
      <c r="K46" s="1243"/>
      <c r="L46" s="1243"/>
      <c r="M46" s="1244"/>
      <c r="O46" s="1257"/>
      <c r="P46" s="1256"/>
    </row>
    <row r="47" spans="1:23" x14ac:dyDescent="0.25">
      <c r="D47" s="379"/>
      <c r="K47" s="1254" t="s">
        <v>278</v>
      </c>
      <c r="L47" s="1254"/>
      <c r="M47" s="1254"/>
      <c r="N47" s="102"/>
      <c r="O47" s="102"/>
      <c r="P47" s="102"/>
    </row>
    <row r="48" spans="1:23" x14ac:dyDescent="0.25">
      <c r="B48" s="116"/>
      <c r="C48" s="104"/>
      <c r="D48" s="83">
        <f>BEGINBLAD!$D$40</f>
        <v>8</v>
      </c>
      <c r="E48" s="142"/>
      <c r="F48" s="143" t="s">
        <v>418</v>
      </c>
      <c r="G48" s="150">
        <f>H48/$D$49</f>
        <v>0.125</v>
      </c>
      <c r="H48" s="85">
        <f>COUNTIF($I$5:$I$40,"A-1+")</f>
        <v>1</v>
      </c>
      <c r="I48" s="85"/>
      <c r="J48" s="141" t="s">
        <v>419</v>
      </c>
      <c r="K48" s="141"/>
      <c r="L48" s="141"/>
      <c r="M48" s="161">
        <f>G48+G49+G50+G51+G52</f>
        <v>0.875</v>
      </c>
      <c r="N48" s="161">
        <v>1</v>
      </c>
      <c r="O48" s="149"/>
      <c r="P48" s="102"/>
    </row>
    <row r="49" spans="2:16" x14ac:dyDescent="0.25">
      <c r="B49" s="116"/>
      <c r="C49" s="104"/>
      <c r="D49" s="148">
        <f>COUNTIF(H5:H40,"&gt;0")</f>
        <v>8</v>
      </c>
      <c r="E49" s="142"/>
      <c r="F49" s="143" t="s">
        <v>420</v>
      </c>
      <c r="G49" s="150">
        <f>H49/$D$49</f>
        <v>0</v>
      </c>
      <c r="H49" s="85">
        <f>COUNTIF($I$5:$I$40,"A-1")</f>
        <v>0</v>
      </c>
      <c r="I49" s="85"/>
      <c r="J49" s="141"/>
      <c r="K49" s="141"/>
      <c r="L49" s="141"/>
      <c r="M49" s="161"/>
      <c r="N49" s="161">
        <v>0.7</v>
      </c>
      <c r="O49" s="162"/>
      <c r="P49" s="111"/>
    </row>
    <row r="50" spans="2:16" x14ac:dyDescent="0.25">
      <c r="B50" s="116"/>
      <c r="C50" s="104"/>
      <c r="D50" s="144"/>
      <c r="E50" s="142"/>
      <c r="F50" s="145" t="s">
        <v>421</v>
      </c>
      <c r="G50" s="150">
        <f>(H50+I50)/$D$49</f>
        <v>0.625</v>
      </c>
      <c r="H50" s="85">
        <f>COUNTIF($I$5:$I$40,"A-2")</f>
        <v>2</v>
      </c>
      <c r="I50" s="85">
        <f>COUNTIF($I$5:$I$40,"B-2")</f>
        <v>3</v>
      </c>
      <c r="J50" s="141"/>
      <c r="K50" s="141"/>
      <c r="L50" s="141"/>
      <c r="M50" s="161"/>
      <c r="N50" s="161">
        <v>0.6</v>
      </c>
      <c r="O50" s="162"/>
      <c r="P50" s="111"/>
    </row>
    <row r="51" spans="2:16" x14ac:dyDescent="0.25">
      <c r="B51" s="116"/>
      <c r="C51" s="104"/>
      <c r="D51" s="144"/>
      <c r="E51" s="142"/>
      <c r="F51" s="143" t="s">
        <v>422</v>
      </c>
      <c r="G51" s="150">
        <f>H51/$D$49</f>
        <v>0.125</v>
      </c>
      <c r="H51" s="85">
        <f>COUNTIF($I$5:$I$40,"B-3")</f>
        <v>1</v>
      </c>
      <c r="I51" s="85"/>
      <c r="J51" s="141"/>
      <c r="K51" s="141"/>
      <c r="L51" s="141"/>
      <c r="M51" s="161"/>
      <c r="N51" s="161">
        <f>$M$48</f>
        <v>0.875</v>
      </c>
      <c r="O51" s="162"/>
      <c r="P51" s="111"/>
    </row>
    <row r="52" spans="2:16" x14ac:dyDescent="0.25">
      <c r="B52" s="116"/>
      <c r="C52" s="104"/>
      <c r="D52" s="144"/>
      <c r="E52" s="142"/>
      <c r="F52" s="143" t="s">
        <v>423</v>
      </c>
      <c r="G52" s="150">
        <f>H52/$D$49</f>
        <v>0</v>
      </c>
      <c r="H52" s="85">
        <f>COUNTIF($I$5:$I$40,"c-3")</f>
        <v>0</v>
      </c>
      <c r="I52" s="85"/>
      <c r="J52" s="141" t="s">
        <v>352</v>
      </c>
      <c r="K52" s="141"/>
      <c r="L52" s="141"/>
      <c r="M52" s="161">
        <f>G53+G54+G55+G57</f>
        <v>0.125</v>
      </c>
      <c r="N52" s="163"/>
      <c r="O52" s="162"/>
      <c r="P52" s="111"/>
    </row>
    <row r="53" spans="2:16" x14ac:dyDescent="0.25">
      <c r="B53" s="116"/>
      <c r="C53" s="104"/>
      <c r="D53" s="144"/>
      <c r="E53" s="142"/>
      <c r="F53" s="145" t="s">
        <v>424</v>
      </c>
      <c r="G53" s="150">
        <f>H53/$D$49</f>
        <v>0.125</v>
      </c>
      <c r="H53" s="85">
        <f>COUNTIF($I$5:$I$40,"c-4")</f>
        <v>1</v>
      </c>
      <c r="I53" s="83"/>
      <c r="J53" s="141"/>
      <c r="K53" s="141"/>
      <c r="L53" s="141"/>
      <c r="M53" s="161"/>
      <c r="N53" s="163"/>
      <c r="O53" s="162"/>
      <c r="P53" s="111"/>
    </row>
    <row r="54" spans="2:16" x14ac:dyDescent="0.25">
      <c r="B54" s="116"/>
      <c r="C54" s="104"/>
      <c r="D54" s="144"/>
      <c r="E54" s="142"/>
      <c r="F54" s="142" t="s">
        <v>425</v>
      </c>
      <c r="G54" s="150">
        <f>H54/$D$49</f>
        <v>0</v>
      </c>
      <c r="H54" s="85">
        <f>COUNTIF($I$5:$I$40,"d-4")</f>
        <v>0</v>
      </c>
      <c r="I54" s="83"/>
      <c r="J54" s="141"/>
      <c r="K54" s="141"/>
      <c r="L54" s="141"/>
      <c r="M54" s="161"/>
      <c r="N54" s="163"/>
      <c r="O54" s="162"/>
      <c r="P54" s="111"/>
    </row>
    <row r="55" spans="2:16" x14ac:dyDescent="0.25">
      <c r="B55" s="116"/>
      <c r="C55" s="104"/>
      <c r="D55" s="144"/>
      <c r="E55" s="142"/>
      <c r="F55" s="143" t="s">
        <v>426</v>
      </c>
      <c r="G55" s="150">
        <f>(H55+I55)/$D$49</f>
        <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f>M48+M52</f>
        <v>1</v>
      </c>
      <c r="N56" s="1245"/>
      <c r="O56" s="162"/>
      <c r="P56" s="111"/>
    </row>
    <row r="57" spans="2:16" x14ac:dyDescent="0.25">
      <c r="B57" s="116"/>
      <c r="C57" s="104"/>
      <c r="D57" s="144"/>
      <c r="E57" s="142"/>
      <c r="F57" s="146" t="s">
        <v>427</v>
      </c>
      <c r="G57" s="150">
        <f>H57/$D$49</f>
        <v>0</v>
      </c>
      <c r="H57" s="85">
        <f>COUNTIF($I$5:$I$40,"e-5-")</f>
        <v>0</v>
      </c>
      <c r="I57" s="85"/>
      <c r="J57" s="141"/>
      <c r="K57" s="141"/>
      <c r="L57" s="141"/>
      <c r="M57" s="161"/>
      <c r="N57" s="1245"/>
      <c r="O57" s="162"/>
      <c r="P57" s="111"/>
    </row>
    <row r="58" spans="2:16" x14ac:dyDescent="0.25">
      <c r="B58" s="116"/>
      <c r="C58" s="104"/>
      <c r="D58" s="144"/>
      <c r="E58" s="142"/>
      <c r="F58" s="143" t="s">
        <v>69</v>
      </c>
      <c r="G58" s="147">
        <f>SUM(G48:G57)</f>
        <v>1</v>
      </c>
      <c r="H58" s="131">
        <f>SUM(H48:H57)</f>
        <v>5</v>
      </c>
      <c r="I58" s="131">
        <f>SUM(I48:I57)</f>
        <v>3</v>
      </c>
      <c r="J58" s="83"/>
      <c r="K58" s="83"/>
      <c r="L58" s="149"/>
      <c r="M58" s="149"/>
      <c r="N58" s="149"/>
      <c r="O58" s="149"/>
      <c r="P58" s="102"/>
    </row>
    <row r="59" spans="2:16" x14ac:dyDescent="0.25">
      <c r="B59" s="116"/>
      <c r="C59" s="104"/>
      <c r="D59" s="144"/>
      <c r="E59" s="142"/>
      <c r="F59" s="131"/>
      <c r="G59" s="131"/>
      <c r="H59" s="83">
        <f>SUM(H58+I58)</f>
        <v>8</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row r="86" spans="3:16" x14ac:dyDescent="0.25">
      <c r="D86" s="105"/>
      <c r="E86" s="104"/>
      <c r="F86" s="104"/>
      <c r="G86" s="104"/>
      <c r="H86" s="103"/>
      <c r="I86" s="103"/>
      <c r="J86" s="103"/>
      <c r="K86" s="103"/>
      <c r="L86" s="104"/>
      <c r="M86" s="102"/>
    </row>
    <row r="87" spans="3:16" x14ac:dyDescent="0.25">
      <c r="D87" s="105"/>
      <c r="E87" s="104"/>
      <c r="F87" s="104"/>
      <c r="G87" s="104"/>
      <c r="H87" s="103"/>
      <c r="I87" s="103"/>
      <c r="J87" s="103"/>
      <c r="K87" s="103"/>
      <c r="L87" s="104"/>
      <c r="M87" s="102"/>
    </row>
    <row r="88" spans="3:16" x14ac:dyDescent="0.25">
      <c r="D88" s="105"/>
      <c r="E88" s="104"/>
      <c r="F88" s="104"/>
      <c r="G88" s="104"/>
      <c r="H88" s="103"/>
      <c r="I88" s="103"/>
      <c r="J88" s="103"/>
      <c r="K88" s="103"/>
      <c r="L88" s="104"/>
      <c r="M88" s="102"/>
    </row>
    <row r="89" spans="3:16" x14ac:dyDescent="0.25">
      <c r="D89" s="105"/>
      <c r="E89" s="104"/>
      <c r="F89" s="104"/>
      <c r="G89" s="104"/>
      <c r="H89" s="103"/>
      <c r="I89" s="103"/>
      <c r="J89" s="103"/>
      <c r="K89" s="103"/>
      <c r="L89" s="104"/>
      <c r="M89" s="102"/>
    </row>
    <row r="90" spans="3:16" x14ac:dyDescent="0.25">
      <c r="D90" s="105"/>
      <c r="E90" s="104"/>
      <c r="F90" s="104"/>
      <c r="G90" s="104"/>
      <c r="H90" s="103"/>
      <c r="I90" s="103"/>
      <c r="J90" s="103"/>
      <c r="K90" s="103"/>
      <c r="L90" s="104"/>
      <c r="M90" s="102"/>
    </row>
    <row r="91" spans="3:16" x14ac:dyDescent="0.25">
      <c r="D91" s="105"/>
      <c r="E91" s="104"/>
      <c r="F91" s="104"/>
      <c r="G91" s="104"/>
      <c r="H91" s="103"/>
      <c r="I91" s="103"/>
      <c r="J91" s="103"/>
      <c r="K91" s="103"/>
      <c r="L91" s="104"/>
      <c r="M91" s="102"/>
    </row>
    <row r="92" spans="3:16" x14ac:dyDescent="0.25">
      <c r="D92" s="105"/>
      <c r="E92" s="104"/>
      <c r="F92" s="104"/>
      <c r="G92" s="104"/>
      <c r="H92" s="103"/>
      <c r="I92" s="103"/>
      <c r="J92" s="103"/>
      <c r="K92" s="103"/>
      <c r="L92" s="104"/>
      <c r="M92" s="102"/>
    </row>
    <row r="93" spans="3:16" x14ac:dyDescent="0.25">
      <c r="D93" s="105"/>
      <c r="E93" s="104"/>
      <c r="F93" s="104"/>
      <c r="G93" s="104"/>
      <c r="H93" s="103"/>
      <c r="I93" s="103"/>
      <c r="J93" s="103"/>
      <c r="K93" s="103"/>
      <c r="L93" s="104"/>
      <c r="M93" s="102"/>
    </row>
    <row r="94" spans="3:16" x14ac:dyDescent="0.25">
      <c r="D94" s="105"/>
      <c r="E94" s="104"/>
      <c r="F94" s="104"/>
      <c r="G94" s="104"/>
      <c r="H94" s="103"/>
      <c r="I94" s="103"/>
      <c r="J94" s="103"/>
      <c r="K94" s="103"/>
      <c r="L94" s="104"/>
      <c r="M94" s="102"/>
    </row>
    <row r="95" spans="3:16" x14ac:dyDescent="0.25">
      <c r="D95" s="105"/>
      <c r="E95" s="104"/>
      <c r="F95" s="104"/>
      <c r="G95" s="104"/>
      <c r="H95" s="103"/>
      <c r="I95" s="103"/>
      <c r="J95" s="103"/>
      <c r="K95" s="103"/>
      <c r="L95" s="104"/>
      <c r="M95" s="102"/>
    </row>
    <row r="96" spans="3:16" x14ac:dyDescent="0.25">
      <c r="D96" s="105"/>
      <c r="E96" s="104"/>
      <c r="F96" s="104"/>
      <c r="G96" s="104"/>
      <c r="H96" s="103"/>
      <c r="I96" s="103"/>
      <c r="J96" s="103"/>
      <c r="K96" s="103"/>
      <c r="L96" s="104"/>
      <c r="M96" s="102"/>
    </row>
    <row r="97" spans="4:13" x14ac:dyDescent="0.25">
      <c r="D97" s="105"/>
      <c r="E97" s="104"/>
      <c r="F97" s="104"/>
      <c r="G97" s="104"/>
      <c r="H97" s="103"/>
      <c r="I97" s="103"/>
      <c r="J97" s="103"/>
      <c r="K97" s="103"/>
      <c r="L97" s="104"/>
      <c r="M97" s="102"/>
    </row>
    <row r="98" spans="4:13" x14ac:dyDescent="0.25">
      <c r="D98" s="105"/>
      <c r="E98" s="104"/>
      <c r="F98" s="104"/>
      <c r="G98" s="104"/>
      <c r="H98" s="103"/>
      <c r="I98" s="103"/>
      <c r="J98" s="103"/>
      <c r="K98" s="103"/>
      <c r="L98" s="104"/>
      <c r="M98" s="102"/>
    </row>
    <row r="99" spans="4:13" x14ac:dyDescent="0.25">
      <c r="D99" s="105"/>
      <c r="E99" s="104"/>
      <c r="F99" s="104"/>
      <c r="G99" s="104"/>
      <c r="H99" s="103"/>
      <c r="I99" s="103"/>
      <c r="J99" s="103"/>
      <c r="K99" s="103"/>
      <c r="L99" s="104"/>
      <c r="M99" s="102"/>
    </row>
    <row r="100" spans="4:13" x14ac:dyDescent="0.25">
      <c r="D100" s="105"/>
      <c r="E100" s="104"/>
      <c r="F100" s="104"/>
      <c r="G100" s="104"/>
      <c r="H100" s="103"/>
      <c r="I100" s="103"/>
      <c r="J100" s="103"/>
      <c r="K100" s="103"/>
      <c r="L100" s="104"/>
      <c r="M100" s="102"/>
    </row>
    <row r="101" spans="4:13" x14ac:dyDescent="0.25">
      <c r="D101" s="105"/>
      <c r="E101" s="104"/>
      <c r="F101" s="104"/>
      <c r="G101" s="104"/>
      <c r="H101" s="103"/>
      <c r="I101" s="103"/>
      <c r="J101" s="103"/>
      <c r="K101" s="103"/>
      <c r="L101" s="104"/>
      <c r="M101" s="102"/>
    </row>
    <row r="102" spans="4:13" x14ac:dyDescent="0.25">
      <c r="D102" s="105"/>
      <c r="E102" s="104"/>
      <c r="F102" s="104"/>
      <c r="G102" s="104"/>
      <c r="H102" s="103"/>
      <c r="I102" s="103"/>
      <c r="J102" s="103"/>
      <c r="K102" s="103"/>
      <c r="L102" s="104"/>
      <c r="M102" s="102"/>
    </row>
    <row r="103" spans="4:13" x14ac:dyDescent="0.25">
      <c r="D103" s="105"/>
      <c r="E103" s="104"/>
      <c r="F103" s="104"/>
      <c r="G103" s="104"/>
      <c r="H103" s="103"/>
      <c r="I103" s="103"/>
      <c r="J103" s="103"/>
      <c r="K103" s="103"/>
      <c r="L103" s="104"/>
      <c r="M103" s="102"/>
    </row>
    <row r="104" spans="4:13" x14ac:dyDescent="0.25">
      <c r="D104" s="105"/>
      <c r="E104" s="104"/>
      <c r="F104" s="104"/>
      <c r="G104" s="104"/>
      <c r="H104" s="103"/>
      <c r="I104" s="103"/>
      <c r="J104" s="103"/>
      <c r="K104" s="103"/>
      <c r="L104" s="104"/>
      <c r="M104" s="102"/>
    </row>
    <row r="105" spans="4:13" x14ac:dyDescent="0.25">
      <c r="D105" s="105"/>
      <c r="E105" s="104"/>
      <c r="F105" s="104"/>
      <c r="G105" s="104"/>
      <c r="H105" s="103"/>
      <c r="I105" s="103"/>
      <c r="J105" s="103"/>
      <c r="K105" s="103"/>
      <c r="L105" s="104"/>
      <c r="M105" s="102"/>
    </row>
    <row r="106" spans="4:13" x14ac:dyDescent="0.25">
      <c r="D106" s="105"/>
      <c r="E106" s="104"/>
      <c r="F106" s="104"/>
      <c r="G106" s="104"/>
      <c r="H106" s="103"/>
      <c r="I106" s="103"/>
      <c r="J106" s="103"/>
      <c r="K106" s="103"/>
      <c r="L106" s="104"/>
      <c r="M106" s="102"/>
    </row>
    <row r="107" spans="4:13" x14ac:dyDescent="0.25">
      <c r="D107" s="105"/>
      <c r="E107" s="104"/>
      <c r="F107" s="104"/>
      <c r="G107" s="104"/>
      <c r="H107" s="103"/>
      <c r="I107" s="103"/>
      <c r="J107" s="103"/>
      <c r="K107" s="103"/>
      <c r="L107" s="104"/>
      <c r="M107" s="102"/>
    </row>
    <row r="108" spans="4:13" x14ac:dyDescent="0.25">
      <c r="D108" s="105"/>
      <c r="E108" s="104"/>
      <c r="F108" s="104"/>
      <c r="G108" s="104"/>
      <c r="H108" s="103"/>
      <c r="I108" s="103"/>
      <c r="J108" s="103"/>
      <c r="K108" s="103"/>
      <c r="L108" s="104"/>
      <c r="M108" s="102"/>
    </row>
    <row r="109" spans="4:13" x14ac:dyDescent="0.25">
      <c r="D109" s="105"/>
      <c r="E109" s="104"/>
      <c r="F109" s="104"/>
      <c r="G109" s="104"/>
      <c r="H109" s="103"/>
      <c r="I109" s="103"/>
      <c r="J109" s="103"/>
      <c r="K109" s="103"/>
      <c r="L109" s="104"/>
      <c r="M109" s="102"/>
    </row>
    <row r="110" spans="4:13" x14ac:dyDescent="0.25">
      <c r="D110" s="105"/>
      <c r="E110" s="104"/>
      <c r="F110" s="104"/>
      <c r="G110" s="104"/>
      <c r="H110" s="103"/>
      <c r="I110" s="103"/>
      <c r="J110" s="103"/>
      <c r="K110" s="103"/>
      <c r="L110" s="104"/>
      <c r="M110" s="102"/>
    </row>
    <row r="111" spans="4:13" x14ac:dyDescent="0.25">
      <c r="D111" s="105"/>
      <c r="E111" s="104"/>
      <c r="F111" s="104"/>
      <c r="G111" s="104"/>
      <c r="H111" s="103"/>
      <c r="I111" s="103"/>
      <c r="J111" s="103"/>
      <c r="K111" s="103"/>
      <c r="L111" s="104"/>
      <c r="M111" s="102"/>
    </row>
    <row r="112" spans="4:13" x14ac:dyDescent="0.25">
      <c r="D112" s="105"/>
      <c r="E112" s="104"/>
      <c r="F112" s="104"/>
      <c r="G112" s="104"/>
      <c r="H112" s="103"/>
      <c r="I112" s="103"/>
      <c r="J112" s="103"/>
      <c r="K112" s="103"/>
      <c r="L112" s="104"/>
      <c r="M112" s="102"/>
    </row>
    <row r="113" spans="4:13" x14ac:dyDescent="0.25">
      <c r="D113" s="105"/>
      <c r="E113" s="104"/>
      <c r="F113" s="104"/>
      <c r="G113" s="104"/>
      <c r="H113" s="103"/>
      <c r="I113" s="103"/>
      <c r="J113" s="103"/>
      <c r="K113" s="103"/>
      <c r="L113" s="104"/>
      <c r="M113" s="102"/>
    </row>
    <row r="114" spans="4:13" x14ac:dyDescent="0.25">
      <c r="D114" s="105"/>
      <c r="E114" s="104"/>
      <c r="F114" s="104"/>
      <c r="G114" s="104"/>
      <c r="H114" s="103"/>
      <c r="I114" s="103"/>
      <c r="J114" s="103"/>
      <c r="K114" s="103"/>
      <c r="L114" s="104"/>
      <c r="M114" s="102"/>
    </row>
    <row r="115" spans="4:13" x14ac:dyDescent="0.25">
      <c r="D115" s="105"/>
      <c r="E115" s="104"/>
      <c r="F115" s="104"/>
      <c r="G115" s="104"/>
      <c r="H115" s="103"/>
      <c r="I115" s="103"/>
      <c r="J115" s="103"/>
      <c r="K115" s="103"/>
      <c r="L115" s="104"/>
      <c r="M115" s="102"/>
    </row>
    <row r="116" spans="4:13" x14ac:dyDescent="0.25">
      <c r="D116" s="105"/>
      <c r="E116" s="104"/>
      <c r="F116" s="104"/>
      <c r="G116" s="104"/>
      <c r="H116" s="103"/>
      <c r="I116" s="103"/>
      <c r="J116" s="103"/>
      <c r="K116" s="103"/>
      <c r="L116" s="104"/>
      <c r="M116" s="102"/>
    </row>
    <row r="117" spans="4:13" x14ac:dyDescent="0.25">
      <c r="D117" s="105"/>
      <c r="E117" s="104"/>
      <c r="F117" s="104"/>
      <c r="G117" s="104"/>
      <c r="H117" s="103"/>
      <c r="I117" s="103"/>
      <c r="J117" s="103"/>
      <c r="K117" s="103"/>
      <c r="L117" s="104"/>
      <c r="M117" s="102"/>
    </row>
    <row r="118" spans="4:13" x14ac:dyDescent="0.25">
      <c r="D118" s="105"/>
      <c r="E118" s="104"/>
      <c r="F118" s="104"/>
      <c r="G118" s="104"/>
      <c r="H118" s="103"/>
      <c r="I118" s="103"/>
      <c r="J118" s="103"/>
      <c r="K118" s="103"/>
      <c r="L118" s="104"/>
      <c r="M118" s="102"/>
    </row>
    <row r="119" spans="4:13" x14ac:dyDescent="0.25">
      <c r="D119" s="105"/>
      <c r="E119" s="104"/>
      <c r="F119" s="104"/>
      <c r="G119" s="104"/>
      <c r="H119" s="103"/>
      <c r="I119" s="103"/>
      <c r="J119" s="103"/>
      <c r="K119" s="103"/>
      <c r="L119" s="104"/>
      <c r="M119" s="102"/>
    </row>
    <row r="120" spans="4:13" x14ac:dyDescent="0.25">
      <c r="D120" s="105"/>
      <c r="E120" s="104"/>
      <c r="F120" s="104"/>
      <c r="G120" s="104"/>
      <c r="H120" s="103"/>
      <c r="I120" s="103"/>
      <c r="J120" s="103"/>
      <c r="K120" s="103"/>
      <c r="L120" s="104"/>
      <c r="M120" s="102"/>
    </row>
    <row r="121" spans="4:13" x14ac:dyDescent="0.25">
      <c r="D121" s="105"/>
      <c r="E121" s="104"/>
      <c r="F121" s="104"/>
      <c r="G121" s="104"/>
      <c r="H121" s="103"/>
      <c r="I121" s="103"/>
      <c r="J121" s="103"/>
      <c r="K121" s="103"/>
      <c r="L121" s="104"/>
      <c r="M121" s="102"/>
    </row>
    <row r="122" spans="4:13" x14ac:dyDescent="0.25">
      <c r="D122" s="105"/>
      <c r="E122" s="104"/>
      <c r="F122" s="104"/>
      <c r="G122" s="104"/>
      <c r="H122" s="103"/>
      <c r="I122" s="103"/>
      <c r="J122" s="103"/>
      <c r="K122" s="103"/>
      <c r="L122" s="104"/>
      <c r="M122" s="102"/>
    </row>
    <row r="123" spans="4:13" x14ac:dyDescent="0.25">
      <c r="D123" s="105"/>
      <c r="E123" s="104"/>
      <c r="F123" s="104"/>
      <c r="G123" s="104"/>
      <c r="H123" s="103"/>
      <c r="I123" s="103"/>
      <c r="J123" s="103"/>
      <c r="K123" s="103"/>
      <c r="L123" s="104"/>
      <c r="M123" s="102"/>
    </row>
    <row r="124" spans="4:13" x14ac:dyDescent="0.25">
      <c r="D124" s="105"/>
      <c r="E124" s="104"/>
      <c r="F124" s="104"/>
      <c r="G124" s="104"/>
      <c r="H124" s="103"/>
      <c r="I124" s="103"/>
      <c r="J124" s="103"/>
      <c r="K124" s="103"/>
      <c r="L124" s="104"/>
      <c r="M124" s="102"/>
    </row>
    <row r="125" spans="4:13" x14ac:dyDescent="0.25">
      <c r="D125" s="105"/>
      <c r="E125" s="104"/>
      <c r="F125" s="104"/>
      <c r="G125" s="104"/>
      <c r="H125" s="103"/>
      <c r="I125" s="103"/>
      <c r="J125" s="103"/>
      <c r="K125" s="103"/>
      <c r="L125" s="104"/>
      <c r="M125" s="102"/>
    </row>
    <row r="126" spans="4:13" x14ac:dyDescent="0.25">
      <c r="D126" s="105"/>
      <c r="E126" s="104"/>
      <c r="F126" s="104"/>
      <c r="G126" s="104"/>
      <c r="H126" s="103"/>
      <c r="I126" s="103"/>
      <c r="J126" s="103"/>
      <c r="K126" s="103"/>
      <c r="L126" s="104"/>
      <c r="M126" s="102"/>
    </row>
  </sheetData>
  <sheetProtection sheet="1" objects="1" scenarios="1"/>
  <dataConsolidate link="1"/>
  <mergeCells count="37">
    <mergeCell ref="P39:P46"/>
    <mergeCell ref="O37:O38"/>
    <mergeCell ref="O39:O46"/>
    <mergeCell ref="C1:J1"/>
    <mergeCell ref="G2:I2"/>
    <mergeCell ref="P37:P38"/>
    <mergeCell ref="P17:P24"/>
    <mergeCell ref="O17:O24"/>
    <mergeCell ref="P28:P35"/>
    <mergeCell ref="O28:O35"/>
    <mergeCell ref="P15:P16"/>
    <mergeCell ref="O15:O16"/>
    <mergeCell ref="C41:F41"/>
    <mergeCell ref="G41:M41"/>
    <mergeCell ref="D42:F42"/>
    <mergeCell ref="G42:H42"/>
    <mergeCell ref="N56:N57"/>
    <mergeCell ref="D43:F43"/>
    <mergeCell ref="G43:H43"/>
    <mergeCell ref="I43:M43"/>
    <mergeCell ref="D44:F44"/>
    <mergeCell ref="G44:H44"/>
    <mergeCell ref="I44:M44"/>
    <mergeCell ref="D45:F45"/>
    <mergeCell ref="G45:H45"/>
    <mergeCell ref="I45:M45"/>
    <mergeCell ref="K47:M47"/>
    <mergeCell ref="I42:M42"/>
    <mergeCell ref="D46:F46"/>
    <mergeCell ref="G46:H46"/>
    <mergeCell ref="I46:M46"/>
    <mergeCell ref="B27:B28"/>
    <mergeCell ref="O26:O27"/>
    <mergeCell ref="P26:P27"/>
    <mergeCell ref="B5:B6"/>
    <mergeCell ref="C2:D2"/>
    <mergeCell ref="K1:O1"/>
  </mergeCells>
  <conditionalFormatting sqref="C7:C18">
    <cfRule type="cellIs" dxfId="874" priority="11" operator="equal">
      <formula>""</formula>
    </cfRule>
    <cfRule type="expression" dxfId="873" priority="12" stopIfTrue="1">
      <formula>B7=8</formula>
    </cfRule>
    <cfRule type="expression" dxfId="872" priority="13" stopIfTrue="1">
      <formula>B7=7</formula>
    </cfRule>
    <cfRule type="expression" dxfId="871" priority="14" stopIfTrue="1">
      <formula>B7=6</formula>
    </cfRule>
    <cfRule type="expression" dxfId="870" priority="15" stopIfTrue="1">
      <formula>B7=3</formula>
    </cfRule>
    <cfRule type="expression" dxfId="869" priority="16" stopIfTrue="1">
      <formula>B7=4</formula>
    </cfRule>
    <cfRule type="expression" dxfId="868" priority="17" stopIfTrue="1">
      <formula>B7=5</formula>
    </cfRule>
  </conditionalFormatting>
  <conditionalFormatting sqref="C29:C40">
    <cfRule type="expression" dxfId="867" priority="111" stopIfTrue="1">
      <formula>B29=7</formula>
    </cfRule>
    <cfRule type="expression" dxfId="866" priority="112" stopIfTrue="1">
      <formula>B29=6</formula>
    </cfRule>
    <cfRule type="expression" dxfId="865" priority="113" stopIfTrue="1">
      <formula>B29=3</formula>
    </cfRule>
    <cfRule type="expression" dxfId="864" priority="114" stopIfTrue="1">
      <formula>B29=4</formula>
    </cfRule>
    <cfRule type="expression" dxfId="863" priority="115" stopIfTrue="1">
      <formula>B29=5</formula>
    </cfRule>
    <cfRule type="cellIs" dxfId="862" priority="109" operator="equal">
      <formula>""</formula>
    </cfRule>
    <cfRule type="expression" dxfId="861" priority="110" stopIfTrue="1">
      <formula>B29=8</formula>
    </cfRule>
  </conditionalFormatting>
  <conditionalFormatting sqref="C42:C46">
    <cfRule type="cellIs" dxfId="860" priority="229" operator="notEqual">
      <formula>""</formula>
    </cfRule>
  </conditionalFormatting>
  <conditionalFormatting sqref="E5:E40">
    <cfRule type="expression" dxfId="859" priority="276">
      <formula>$D5=8</formula>
    </cfRule>
    <cfRule type="expression" dxfId="858" priority="277">
      <formula>$D5=7</formula>
    </cfRule>
    <cfRule type="expression" dxfId="857" priority="275">
      <formula>$D5=5</formula>
    </cfRule>
    <cfRule type="expression" dxfId="856" priority="274">
      <formula>$D5=4</formula>
    </cfRule>
    <cfRule type="expression" dxfId="855" priority="273">
      <formula>$D5=3</formula>
    </cfRule>
    <cfRule type="expression" dxfId="854" priority="278">
      <formula>$D5=6</formula>
    </cfRule>
  </conditionalFormatting>
  <conditionalFormatting sqref="F5:F40">
    <cfRule type="expression" dxfId="853" priority="279">
      <formula>$H5=0</formula>
    </cfRule>
    <cfRule type="expression" dxfId="852" priority="280">
      <formula>$H5&lt;#REF!</formula>
    </cfRule>
    <cfRule type="expression" dxfId="851" priority="281">
      <formula>$H5&gt;=#REF!</formula>
    </cfRule>
    <cfRule type="expression" dxfId="850" priority="282">
      <formula>$H5=0</formula>
    </cfRule>
  </conditionalFormatting>
  <conditionalFormatting sqref="G42:G46">
    <cfRule type="cellIs" dxfId="849" priority="259" operator="notEqual">
      <formula>""</formula>
    </cfRule>
  </conditionalFormatting>
  <conditionalFormatting sqref="H5:H40">
    <cfRule type="cellIs" dxfId="848" priority="288" stopIfTrue="1" operator="between">
      <formula>4</formula>
      <formula>5</formula>
    </cfRule>
    <cfRule type="cellIs" dxfId="847" priority="3" operator="between">
      <formula>1.6</formula>
      <formula>2.5</formula>
    </cfRule>
    <cfRule type="cellIs" dxfId="846" priority="286" stopIfTrue="1" operator="between">
      <formula>0.1</formula>
      <formula>1.5</formula>
    </cfRule>
    <cfRule type="cellIs" dxfId="845" priority="287" stopIfTrue="1" operator="between">
      <formula>3</formula>
      <formula>3.9</formula>
    </cfRule>
  </conditionalFormatting>
  <conditionalFormatting sqref="I5:I40">
    <cfRule type="cellIs" dxfId="844" priority="238" operator="equal">
      <formula>"A-1+"</formula>
    </cfRule>
    <cfRule type="cellIs" dxfId="843" priority="237" operator="equal">
      <formula>"E-5-"</formula>
    </cfRule>
    <cfRule type="cellIs" dxfId="842" priority="2" operator="between">
      <formula>"C-4"</formula>
      <formula>"D-4"</formula>
    </cfRule>
    <cfRule type="cellIs" dxfId="841" priority="241" stopIfTrue="1" operator="between">
      <formula>"A-1"</formula>
      <formula>"A-2"</formula>
    </cfRule>
    <cfRule type="cellIs" dxfId="840" priority="240" stopIfTrue="1" operator="between">
      <formula>"B-2"</formula>
      <formula>"B-3"</formula>
    </cfRule>
    <cfRule type="cellIs" dxfId="839" priority="239" stopIfTrue="1" operator="between">
      <formula>"D-5"</formula>
      <formula>"E-5"</formula>
    </cfRule>
  </conditionalFormatting>
  <conditionalFormatting sqref="J5:J40">
    <cfRule type="cellIs" dxfId="838" priority="9" operator="equal">
      <formula>3</formula>
    </cfRule>
    <cfRule type="cellIs" dxfId="837" priority="8" operator="equal">
      <formula>4</formula>
    </cfRule>
    <cfRule type="cellIs" dxfId="836" priority="7" operator="equal">
      <formula>5</formula>
    </cfRule>
    <cfRule type="cellIs" dxfId="835" priority="5" operator="equal">
      <formula>7</formula>
    </cfRule>
    <cfRule type="cellIs" dxfId="834" priority="4" operator="equal">
      <formula>1</formula>
    </cfRule>
    <cfRule type="cellIs" dxfId="833" priority="6" operator="equal">
      <formula>6</formula>
    </cfRule>
    <cfRule type="cellIs" dxfId="832" priority="10" operator="equal">
      <formula>2</formula>
    </cfRule>
  </conditionalFormatting>
  <conditionalFormatting sqref="L5:L40">
    <cfRule type="cellIs" dxfId="831" priority="76" stopIfTrue="1" operator="between">
      <formula>3</formula>
      <formula>3.9</formula>
    </cfRule>
    <cfRule type="cellIs" dxfId="830" priority="75" stopIfTrue="1" operator="between">
      <formula>0.1</formula>
      <formula>1.5</formula>
    </cfRule>
    <cfRule type="cellIs" dxfId="829" priority="77" stopIfTrue="1" operator="between">
      <formula>4</formula>
      <formula>5</formula>
    </cfRule>
    <cfRule type="cellIs" dxfId="828" priority="1" operator="between">
      <formula>1.6</formula>
      <formula>2.5</formula>
    </cfRule>
  </conditionalFormatting>
  <conditionalFormatting sqref="M5:M19">
    <cfRule type="cellIs" dxfId="827" priority="59" stopIfTrue="1" operator="between">
      <formula>"D"</formula>
      <formula>"E"</formula>
    </cfRule>
    <cfRule type="cellIs" dxfId="826" priority="58" stopIfTrue="1" operator="equal">
      <formula>"B"</formula>
    </cfRule>
    <cfRule type="cellIs" dxfId="825" priority="57" stopIfTrue="1" operator="between">
      <formula>"A+"</formula>
      <formula>"A"</formula>
    </cfRule>
  </conditionalFormatting>
  <conditionalFormatting sqref="M12">
    <cfRule type="cellIs" dxfId="824" priority="67" operator="equal">
      <formula>"B"</formula>
    </cfRule>
    <cfRule type="cellIs" dxfId="823" priority="66" operator="between">
      <formula>"D"</formula>
      <formula>"E"</formula>
    </cfRule>
    <cfRule type="cellIs" dxfId="822" priority="65" operator="equal">
      <formula>1</formula>
    </cfRule>
    <cfRule type="cellIs" dxfId="821" priority="64" operator="equal">
      <formula>2</formula>
    </cfRule>
    <cfRule type="cellIs" dxfId="820" priority="63" operator="between">
      <formula>4</formula>
      <formula>"5-"</formula>
    </cfRule>
    <cfRule type="cellIs" dxfId="819" priority="62" operator="equal">
      <formula>"1+"</formula>
    </cfRule>
    <cfRule type="cellIs" dxfId="818" priority="60" operator="equal">
      <formula>""</formula>
    </cfRule>
    <cfRule type="cellIs" dxfId="817" priority="68" operator="between">
      <formula>"A"</formula>
      <formula>"A+"</formula>
    </cfRule>
  </conditionalFormatting>
  <conditionalFormatting sqref="M19:M40">
    <cfRule type="cellIs" dxfId="816" priority="90" operator="between">
      <formula>"A"</formula>
      <formula>"A+"</formula>
    </cfRule>
    <cfRule type="cellIs" dxfId="815" priority="89" operator="equal">
      <formula>"B"</formula>
    </cfRule>
    <cfRule type="cellIs" dxfId="814" priority="88" operator="between">
      <formula>"D"</formula>
      <formula>"E"</formula>
    </cfRule>
    <cfRule type="cellIs" dxfId="813" priority="87" operator="equal">
      <formula>1</formula>
    </cfRule>
    <cfRule type="cellIs" dxfId="812" priority="86" operator="equal">
      <formula>2</formula>
    </cfRule>
    <cfRule type="cellIs" dxfId="811" priority="85" operator="between">
      <formula>4</formula>
      <formula>"5-"</formula>
    </cfRule>
    <cfRule type="cellIs" dxfId="810" priority="84" operator="equal">
      <formula>"1+"</formula>
    </cfRule>
    <cfRule type="cellIs" dxfId="809" priority="81" operator="equal">
      <formula>""</formula>
    </cfRule>
  </conditionalFormatting>
  <conditionalFormatting sqref="N5:N40">
    <cfRule type="cellIs" dxfId="808" priority="260" operator="equal">
      <formula>"*"</formula>
    </cfRule>
    <cfRule type="cellIs" dxfId="807" priority="261" operator="equal">
      <formula>"!"</formula>
    </cfRule>
  </conditionalFormatting>
  <conditionalFormatting sqref="R6:R7">
    <cfRule type="cellIs" dxfId="806" priority="243" operator="equal">
      <formula>0</formula>
    </cfRule>
  </conditionalFormatting>
  <conditionalFormatting sqref="R9 R11">
    <cfRule type="cellIs" dxfId="805" priority="246" operator="equal">
      <formula>0</formula>
    </cfRule>
  </conditionalFormatting>
  <conditionalFormatting sqref="R13 R15">
    <cfRule type="cellIs" dxfId="804" priority="247" operator="equal">
      <formula>0</formula>
    </cfRule>
  </conditionalFormatting>
  <conditionalFormatting sqref="S7:U7 S9:U9 S11:U11">
    <cfRule type="cellIs" dxfId="803" priority="249" operator="equal">
      <formula>0</formula>
    </cfRule>
  </conditionalFormatting>
  <conditionalFormatting sqref="S13:U13 S15:U15">
    <cfRule type="cellIs" dxfId="802" priority="244" operator="equal">
      <formula>0</formula>
    </cfRule>
  </conditionalFormatting>
  <conditionalFormatting sqref="V6:V7">
    <cfRule type="cellIs" dxfId="801" priority="242" operator="equal">
      <formula>0</formula>
    </cfRule>
  </conditionalFormatting>
  <conditionalFormatting sqref="V9 V11">
    <cfRule type="cellIs" dxfId="800" priority="245" operator="equal">
      <formula>0</formula>
    </cfRule>
  </conditionalFormatting>
  <conditionalFormatting sqref="V13 V15">
    <cfRule type="cellIs" dxfId="799" priority="248" operator="equal">
      <formula>0</formula>
    </cfRule>
  </conditionalFormatting>
  <dataValidations count="12">
    <dataValidation type="list" allowBlank="1" showInputMessage="1" showErrorMessage="1" sqref="C46 G46" xr:uid="{00000000-0002-0000-2300-000000000000}">
      <formula1>"vrijdag,"</formula1>
    </dataValidation>
    <dataValidation type="list" allowBlank="1" showInputMessage="1" showErrorMessage="1" sqref="C45 G45" xr:uid="{00000000-0002-0000-2300-000001000000}">
      <formula1>"donderdag,"</formula1>
    </dataValidation>
    <dataValidation type="list" allowBlank="1" showInputMessage="1" showErrorMessage="1" sqref="C44 G44" xr:uid="{00000000-0002-0000-2300-000002000000}">
      <formula1>"woensdag,"</formula1>
    </dataValidation>
    <dataValidation type="list" allowBlank="1" showInputMessage="1" showErrorMessage="1" sqref="C43 G43" xr:uid="{00000000-0002-0000-2300-000003000000}">
      <formula1>"dinsdag,"</formula1>
    </dataValidation>
    <dataValidation type="list" allowBlank="1" showInputMessage="1" showErrorMessage="1" sqref="C42 G42" xr:uid="{00000000-0002-0000-2300-000004000000}">
      <formula1>"maandag,"</formula1>
    </dataValidation>
    <dataValidation type="list" allowBlank="1" showInputMessage="1" showErrorMessage="1" sqref="B29:B40 B7:B18" xr:uid="{00000000-0002-0000-23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300-000006000000}">
      <formula1>2</formula1>
    </dataValidation>
    <dataValidation allowBlank="1" showInputMessage="1" showErrorMessage="1" promptTitle="Pulldown venster" prompt="groeps  HP: -_x000a_indiv.    HP:#_x000a_hele groep: $" sqref="C29:C39 C7:C17" xr:uid="{00000000-0002-0000-2300-000007000000}"/>
    <dataValidation allowBlank="1" showInputMessage="1" showErrorMessage="1" promptTitle="Pulldown menu" prompt="groeps  HP: -_x000a_indiv.    HP:#_x000a_hele groep: $" sqref="C18 C40" xr:uid="{00000000-0002-0000-2300-000008000000}"/>
    <dataValidation allowBlank="1" showInputMessage="1" showErrorMessage="1" promptTitle="Nieuwe regel:" prompt="druk op Alt-Enter" sqref="P15 P28 P17 P26 P37 P39" xr:uid="{00000000-0002-0000-2300-000009000000}"/>
    <dataValidation type="list" allowBlank="1" showInputMessage="1" showErrorMessage="1" promptTitle="Pulldown venster" prompt="Kies uit:_x000a_A+ / A / B / C / C- / D / E of_x000a_1+ / 1 / 2 / 3 / 4 / 5 / 5-" sqref="M5:M40" xr:uid="{00000000-0002-0000-2300-00000A000000}">
      <formula1>"--,A+,A,B,C,C-,D,E,1+,1,2,3,4,5,5-,"</formula1>
    </dataValidation>
    <dataValidation type="list" allowBlank="1" showInputMessage="1" showErrorMessage="1" promptTitle="EMT - Brus" prompt="kies uit:_x000a_1 = zeer goed = A+_x000a_2 = goed = A_x000a_3 = gemiddeld = C+B_x000a_4 = laag gemiddeld = D+_x000a_5 = beneden gemiddeld = D-_x000a_6 = zwak = E+ (dyslexie?)_x000a_7 = zeer zwak = E- (dyslexie?)" sqref="J5:J40" xr:uid="{00000000-0002-0000-2300-00000B000000}">
      <formula1>"1,2,3,4,5,6,7,"</formula1>
    </dataValidation>
  </dataValidations>
  <pageMargins left="0.26" right="0.14000000000000001" top="0.82" bottom="0.33" header="0.33" footer="0.21"/>
  <pageSetup paperSize="9" scale="67" orientation="portrait" r:id="rId1"/>
  <headerFooter alignWithMargins="0">
    <oddHeader>&amp;C&amp;"Arial,Vet"&amp;16&amp;A</oddHeader>
    <oddFooter>&amp;R© www.meesterharrie.nl</oddFooter>
  </headerFooter>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pageSetUpPr fitToPage="1"/>
  </sheetPr>
  <dimension ref="A1:X85"/>
  <sheetViews>
    <sheetView showGridLines="0" showRowColHeaders="0" zoomScale="75" zoomScaleNormal="75" workbookViewId="0">
      <selection activeCell="R7" sqref="R7"/>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428</v>
      </c>
      <c r="D1" s="1177"/>
      <c r="E1" s="1177"/>
      <c r="F1" s="1177"/>
      <c r="G1" s="1177"/>
      <c r="H1" s="1177"/>
      <c r="I1" s="1177"/>
      <c r="J1" s="1177"/>
      <c r="K1" s="1233" t="str">
        <f>BEGINBLAD!$I$2</f>
        <v>groep 6</v>
      </c>
      <c r="L1" s="1233"/>
      <c r="M1" s="1233"/>
      <c r="N1" s="174"/>
      <c r="O1" s="174"/>
      <c r="P1" s="173"/>
      <c r="X1" s="50"/>
    </row>
    <row r="2" spans="1:24" ht="24" customHeight="1" x14ac:dyDescent="0.25">
      <c r="C2" s="1178" t="str">
        <f>BEGINBLAD!$S$2</f>
        <v>mei.</v>
      </c>
      <c r="D2" s="1178"/>
      <c r="E2" s="175"/>
      <c r="F2" s="412" t="str">
        <f>BEGINBLAD!$T$2</f>
        <v>sep.</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179</v>
      </c>
      <c r="H4" s="61" t="s">
        <v>406</v>
      </c>
      <c r="I4" s="62" t="s">
        <v>407</v>
      </c>
      <c r="J4" s="63" t="s">
        <v>408</v>
      </c>
      <c r="K4" s="60" t="s">
        <v>429</v>
      </c>
      <c r="L4" s="64" t="s">
        <v>409</v>
      </c>
      <c r="M4" s="65" t="s">
        <v>410</v>
      </c>
      <c r="N4" s="54"/>
      <c r="O4" s="54"/>
    </row>
    <row r="5" spans="1:24" ht="19.5" customHeight="1" x14ac:dyDescent="0.25">
      <c r="B5" s="1164" t="s">
        <v>62</v>
      </c>
      <c r="C5" s="66" t="s">
        <v>273</v>
      </c>
      <c r="D5" s="67">
        <v>0</v>
      </c>
      <c r="E5" s="68">
        <v>1</v>
      </c>
      <c r="F5" s="120" t="str">
        <f>BEGINBLAD!C4</f>
        <v>leerling 1</v>
      </c>
      <c r="G5" s="70">
        <f>'NIVEAU WAARDE - 1e toetsperiode'!D9</f>
        <v>3.8</v>
      </c>
      <c r="H5" s="71">
        <f>'NIVEAU WAARDE - 2e toetsperiode'!D9</f>
        <v>0</v>
      </c>
      <c r="I5" s="72" t="str">
        <f>IF(H5=0,"",IF(H5&gt;4.5,"A-1+",IF(H5&gt;4.2,"A-1",IF(H5&gt;=4,"A-2",IF(H5&gt;3.4,"B-2",IF(H5&gt;=3,"B-3",IF(H5&gt;2.5,"C-3",IF(H5&gt;=2,"C-4",IF(H5&gt;1.6,"D-4",IF(H5&gt;=1,"D-5",IF(H5&gt;0.5,"E-5",IF(H5&gt;=0,"E-5-"))))))))))))</f>
        <v/>
      </c>
      <c r="J5" s="340"/>
      <c r="K5" s="90" t="str">
        <f>'TECHNISCH LEZEN - 1e periode'!L5</f>
        <v>M7</v>
      </c>
      <c r="L5" s="17"/>
      <c r="M5" s="256"/>
      <c r="N5" s="74"/>
      <c r="O5" s="75"/>
    </row>
    <row r="6" spans="1:24" ht="19.5" customHeight="1" x14ac:dyDescent="0.25">
      <c r="B6" s="1164"/>
      <c r="C6" s="76" t="s">
        <v>274</v>
      </c>
      <c r="D6" s="67">
        <v>0</v>
      </c>
      <c r="E6" s="68">
        <v>2</v>
      </c>
      <c r="F6" s="69" t="str">
        <f>BEGINBLAD!C5</f>
        <v>leerling 2</v>
      </c>
      <c r="G6" s="70">
        <f>'NIVEAU WAARDE - 1e toetsperiode'!D10</f>
        <v>4.5999999999999996</v>
      </c>
      <c r="H6" s="71">
        <f>'NIVEAU WAARDE - 2e toetsperiode'!D10</f>
        <v>0</v>
      </c>
      <c r="I6" s="72" t="str">
        <f t="shared" ref="I6:I40" si="0">IF(H6=0,"",IF(H6&gt;4.5,"A-1+",IF(H6&gt;4.2,"A-1",IF(H6&gt;=4,"A-2",IF(H6&gt;3.4,"B-2",IF(H6&gt;=3,"B-3",IF(H6&gt;2.5,"C-3",IF(H6&gt;=2,"C-4",IF(H6&gt;1.6,"D-4",IF(H6&gt;=1,"D-5",IF(H6&gt;0.5,"E-5",IF(H6&gt;=0,"E-5-"))))))))))))</f>
        <v/>
      </c>
      <c r="J6" s="340"/>
      <c r="K6" s="90" t="str">
        <f>'TECHNISCH LEZEN - 1e periode'!L6</f>
        <v>E7</v>
      </c>
      <c r="L6" s="17"/>
      <c r="M6" s="256"/>
      <c r="N6" s="74"/>
      <c r="O6" s="75"/>
      <c r="R6" s="106"/>
      <c r="S6" s="106"/>
      <c r="T6" s="106"/>
      <c r="U6" s="106"/>
      <c r="V6" s="106"/>
    </row>
    <row r="7" spans="1:24" ht="19.5" customHeight="1" x14ac:dyDescent="0.25">
      <c r="A7" s="77"/>
      <c r="B7" s="257"/>
      <c r="C7" s="258"/>
      <c r="D7" s="67">
        <v>0</v>
      </c>
      <c r="E7" s="68">
        <v>3</v>
      </c>
      <c r="F7" s="69" t="str">
        <f>BEGINBLAD!C6</f>
        <v>leerling 3</v>
      </c>
      <c r="G7" s="70">
        <f>'NIVEAU WAARDE - 1e toetsperiode'!D11</f>
        <v>3.5</v>
      </c>
      <c r="H7" s="71">
        <f>'NIVEAU WAARDE - 2e toetsperiode'!D11</f>
        <v>0</v>
      </c>
      <c r="I7" s="72" t="str">
        <f t="shared" si="0"/>
        <v/>
      </c>
      <c r="J7" s="340"/>
      <c r="K7" s="90" t="str">
        <f>'TECHNISCH LEZEN - 1e periode'!L7</f>
        <v>E7</v>
      </c>
      <c r="L7" s="17"/>
      <c r="M7" s="256"/>
      <c r="N7" s="74"/>
      <c r="O7" s="75"/>
      <c r="R7" s="107"/>
      <c r="S7" s="107"/>
      <c r="T7" s="107"/>
      <c r="U7" s="107"/>
      <c r="V7" s="107"/>
    </row>
    <row r="8" spans="1:24" ht="19.5" customHeight="1" x14ac:dyDescent="0.25">
      <c r="A8" s="77"/>
      <c r="B8" s="257"/>
      <c r="C8" s="259"/>
      <c r="D8" s="80">
        <v>0</v>
      </c>
      <c r="E8" s="68">
        <v>4</v>
      </c>
      <c r="F8" s="69" t="str">
        <f>BEGINBLAD!C7</f>
        <v>leerling 4</v>
      </c>
      <c r="G8" s="70">
        <f>'NIVEAU WAARDE - 1e toetsperiode'!D12</f>
        <v>4</v>
      </c>
      <c r="H8" s="71">
        <f>'NIVEAU WAARDE - 2e toetsperiode'!D12</f>
        <v>0</v>
      </c>
      <c r="I8" s="72" t="str">
        <f t="shared" si="0"/>
        <v/>
      </c>
      <c r="J8" s="340"/>
      <c r="K8" s="90" t="str">
        <f>'TECHNISCH LEZEN - 1e periode'!L8</f>
        <v>M7</v>
      </c>
      <c r="L8" s="17"/>
      <c r="M8" s="256"/>
      <c r="N8" s="74"/>
      <c r="O8" s="82"/>
      <c r="R8" s="107"/>
      <c r="S8" s="107"/>
      <c r="T8" s="107"/>
      <c r="U8" s="107"/>
      <c r="V8" s="107"/>
    </row>
    <row r="9" spans="1:24" ht="19.5" customHeight="1" x14ac:dyDescent="0.25">
      <c r="A9" s="77"/>
      <c r="B9" s="257"/>
      <c r="C9" s="259"/>
      <c r="D9" s="83">
        <v>0</v>
      </c>
      <c r="E9" s="68">
        <v>5</v>
      </c>
      <c r="F9" s="69" t="str">
        <f>BEGINBLAD!C8</f>
        <v>leerling 5</v>
      </c>
      <c r="G9" s="70">
        <f>'NIVEAU WAARDE - 1e toetsperiode'!D13</f>
        <v>4</v>
      </c>
      <c r="H9" s="71">
        <f>'NIVEAU WAARDE - 2e toetsperiode'!D13</f>
        <v>0</v>
      </c>
      <c r="I9" s="72" t="str">
        <f t="shared" si="0"/>
        <v/>
      </c>
      <c r="J9" s="340"/>
      <c r="K9" s="90" t="str">
        <f>'TECHNISCH LEZEN - 1e periode'!L9</f>
        <v>PLUS</v>
      </c>
      <c r="L9" s="17"/>
      <c r="M9" s="256"/>
      <c r="N9" s="74"/>
      <c r="O9" s="84"/>
      <c r="R9" s="107"/>
      <c r="S9" s="107"/>
      <c r="T9" s="107"/>
      <c r="U9" s="107"/>
      <c r="V9" s="107"/>
    </row>
    <row r="10" spans="1:24" ht="19.5" customHeight="1" x14ac:dyDescent="0.25">
      <c r="A10" s="77"/>
      <c r="B10" s="257"/>
      <c r="C10" s="259"/>
      <c r="D10" s="85">
        <v>0</v>
      </c>
      <c r="E10" s="68">
        <v>6</v>
      </c>
      <c r="F10" s="69" t="str">
        <f>BEGINBLAD!C9</f>
        <v>leerling 6</v>
      </c>
      <c r="G10" s="70">
        <f>'NIVEAU WAARDE - 1e toetsperiode'!D14</f>
        <v>3.6</v>
      </c>
      <c r="H10" s="71">
        <f>'NIVEAU WAARDE - 2e toetsperiode'!D14</f>
        <v>0</v>
      </c>
      <c r="I10" s="72" t="str">
        <f t="shared" si="0"/>
        <v/>
      </c>
      <c r="J10" s="340"/>
      <c r="K10" s="90" t="str">
        <f>'TECHNISCH LEZEN - 1e periode'!L10</f>
        <v>E5</v>
      </c>
      <c r="L10" s="17"/>
      <c r="M10" s="256"/>
      <c r="N10" s="74"/>
      <c r="O10" s="86"/>
      <c r="R10" s="107"/>
      <c r="S10" s="107"/>
      <c r="T10" s="107"/>
      <c r="U10" s="107"/>
      <c r="V10" s="107"/>
    </row>
    <row r="11" spans="1:24" ht="19.5" customHeight="1" x14ac:dyDescent="0.25">
      <c r="A11" s="77"/>
      <c r="B11" s="257"/>
      <c r="C11" s="259"/>
      <c r="D11" s="85">
        <v>0</v>
      </c>
      <c r="E11" s="68">
        <v>7</v>
      </c>
      <c r="F11" s="69" t="str">
        <f>BEGINBLAD!C10</f>
        <v>leerling 7</v>
      </c>
      <c r="G11" s="70">
        <f>'NIVEAU WAARDE - 1e toetsperiode'!D15</f>
        <v>3.1</v>
      </c>
      <c r="H11" s="71">
        <f>'NIVEAU WAARDE - 2e toetsperiode'!D15</f>
        <v>0</v>
      </c>
      <c r="I11" s="72" t="str">
        <f t="shared" si="0"/>
        <v/>
      </c>
      <c r="J11" s="340"/>
      <c r="K11" s="90" t="str">
        <f>'TECHNISCH LEZEN - 1e periode'!L11</f>
        <v>M5</v>
      </c>
      <c r="L11" s="17"/>
      <c r="M11" s="256"/>
      <c r="N11" s="74"/>
      <c r="O11" s="56"/>
      <c r="R11" s="107"/>
      <c r="S11" s="107"/>
      <c r="T11" s="107"/>
      <c r="U11" s="107"/>
      <c r="V11" s="107"/>
    </row>
    <row r="12" spans="1:24" ht="19.5" customHeight="1" x14ac:dyDescent="0.25">
      <c r="A12" s="77"/>
      <c r="B12" s="257"/>
      <c r="C12" s="259"/>
      <c r="D12" s="67">
        <v>0</v>
      </c>
      <c r="E12" s="68">
        <v>8</v>
      </c>
      <c r="F12" s="69" t="str">
        <f>BEGINBLAD!C11</f>
        <v>leerling 8</v>
      </c>
      <c r="G12" s="70">
        <f>'NIVEAU WAARDE - 1e toetsperiode'!D16</f>
        <v>2.2999999999999998</v>
      </c>
      <c r="H12" s="71">
        <f>'NIVEAU WAARDE - 2e toetsperiode'!D16</f>
        <v>0</v>
      </c>
      <c r="I12" s="72" t="str">
        <f t="shared" si="0"/>
        <v/>
      </c>
      <c r="J12" s="340"/>
      <c r="K12" s="90" t="str">
        <f>'TECHNISCH LEZEN - 1e periode'!L12</f>
        <v>E5</v>
      </c>
      <c r="L12" s="17"/>
      <c r="M12" s="256"/>
      <c r="N12" s="74"/>
      <c r="O12" s="54"/>
      <c r="R12" s="107"/>
      <c r="S12" s="107"/>
      <c r="T12" s="107"/>
      <c r="U12" s="107"/>
      <c r="V12" s="107"/>
    </row>
    <row r="13" spans="1:24" ht="19.5" customHeight="1" x14ac:dyDescent="0.25">
      <c r="A13" s="77"/>
      <c r="B13" s="257"/>
      <c r="C13" s="259"/>
      <c r="D13" s="67">
        <v>0</v>
      </c>
      <c r="E13" s="68">
        <v>9</v>
      </c>
      <c r="F13" s="69">
        <f>BEGINBLAD!C12</f>
        <v>0</v>
      </c>
      <c r="G13" s="70">
        <f>'NIVEAU WAARDE - 1e toetsperiode'!D17</f>
        <v>0</v>
      </c>
      <c r="H13" s="71">
        <f>'NIVEAU WAARDE - 2e toetsperiode'!D17</f>
        <v>0</v>
      </c>
      <c r="I13" s="72" t="str">
        <f t="shared" si="0"/>
        <v/>
      </c>
      <c r="J13" s="340"/>
      <c r="K13" s="90">
        <f>'TECHNISCH LEZEN - 1e periode'!L13</f>
        <v>0</v>
      </c>
      <c r="L13" s="17"/>
      <c r="M13" s="256"/>
      <c r="N13" s="74"/>
      <c r="O13" s="75"/>
      <c r="R13" s="108"/>
      <c r="S13" s="108"/>
      <c r="T13" s="108"/>
      <c r="U13" s="108"/>
      <c r="V13" s="108"/>
    </row>
    <row r="14" spans="1:24" ht="19.5" customHeight="1" thickBot="1" x14ac:dyDescent="0.3">
      <c r="A14" s="77"/>
      <c r="B14" s="78"/>
      <c r="C14" s="868"/>
      <c r="D14" s="67">
        <v>0</v>
      </c>
      <c r="E14" s="68">
        <v>10</v>
      </c>
      <c r="F14" s="69">
        <f>BEGINBLAD!C13</f>
        <v>0</v>
      </c>
      <c r="G14" s="70">
        <f>'NIVEAU WAARDE - 1e toetsperiode'!D18</f>
        <v>0</v>
      </c>
      <c r="H14" s="71">
        <f>'NIVEAU WAARDE - 2e toetsperiode'!D18</f>
        <v>0</v>
      </c>
      <c r="I14" s="72" t="str">
        <f t="shared" si="0"/>
        <v/>
      </c>
      <c r="J14" s="340"/>
      <c r="K14" s="90">
        <f>'TECHNISCH LEZEN - 1e periode'!L14</f>
        <v>0</v>
      </c>
      <c r="L14" s="17"/>
      <c r="M14" s="256"/>
      <c r="N14" s="74"/>
      <c r="O14" s="82"/>
      <c r="P14" s="54" t="s">
        <v>415</v>
      </c>
      <c r="R14" s="108"/>
      <c r="S14" s="108"/>
      <c r="T14" s="108"/>
      <c r="U14" s="108"/>
      <c r="V14" s="108"/>
    </row>
    <row r="15" spans="1:24" ht="19.5" customHeight="1" x14ac:dyDescent="0.25">
      <c r="A15" s="77"/>
      <c r="B15" s="78"/>
      <c r="C15" s="868"/>
      <c r="D15" s="67">
        <v>0</v>
      </c>
      <c r="E15" s="68">
        <v>11</v>
      </c>
      <c r="F15" s="69">
        <f>BEGINBLAD!C14</f>
        <v>0</v>
      </c>
      <c r="G15" s="70">
        <f>'NIVEAU WAARDE - 1e toetsperiode'!D19</f>
        <v>0</v>
      </c>
      <c r="H15" s="71">
        <f>'NIVEAU WAARDE - 2e toetsperiode'!D19</f>
        <v>0</v>
      </c>
      <c r="I15" s="72" t="str">
        <f t="shared" si="0"/>
        <v/>
      </c>
      <c r="J15" s="340"/>
      <c r="K15" s="90">
        <f>'TECHNISCH LEZEN - 1e periode'!L15</f>
        <v>0</v>
      </c>
      <c r="L15" s="17"/>
      <c r="M15" s="256"/>
      <c r="N15" s="74"/>
      <c r="O15" s="1229" t="s">
        <v>208</v>
      </c>
      <c r="P15" s="1231">
        <f>'INTENSIEF - 2e periode'!$C$6</f>
        <v>0</v>
      </c>
      <c r="R15" s="108"/>
      <c r="S15" s="108"/>
      <c r="T15" s="108"/>
      <c r="U15" s="108"/>
      <c r="V15" s="108"/>
    </row>
    <row r="16" spans="1:24" ht="19.5" customHeight="1" x14ac:dyDescent="0.25">
      <c r="A16" s="77"/>
      <c r="B16" s="78"/>
      <c r="C16" s="868"/>
      <c r="D16" s="67">
        <v>0</v>
      </c>
      <c r="E16" s="68">
        <v>12</v>
      </c>
      <c r="F16" s="69">
        <f>BEGINBLAD!C15</f>
        <v>0</v>
      </c>
      <c r="G16" s="70">
        <f>'NIVEAU WAARDE - 1e toetsperiode'!D20</f>
        <v>0</v>
      </c>
      <c r="H16" s="71">
        <f>'NIVEAU WAARDE - 2e toetsperiode'!D20</f>
        <v>0</v>
      </c>
      <c r="I16" s="72" t="str">
        <f t="shared" si="0"/>
        <v/>
      </c>
      <c r="J16" s="340"/>
      <c r="K16" s="90">
        <f>'TECHNISCH LEZEN - 1e periode'!L16</f>
        <v>0</v>
      </c>
      <c r="L16" s="17"/>
      <c r="M16" s="256"/>
      <c r="N16" s="74"/>
      <c r="O16" s="1230"/>
      <c r="P16" s="1232"/>
      <c r="R16" s="108"/>
      <c r="S16" s="108"/>
      <c r="T16" s="108"/>
      <c r="U16" s="108"/>
      <c r="V16" s="108"/>
    </row>
    <row r="17" spans="1:24" ht="19.5" customHeight="1" x14ac:dyDescent="0.25">
      <c r="A17" s="77"/>
      <c r="B17" s="78"/>
      <c r="C17" s="868"/>
      <c r="D17" s="80">
        <v>0</v>
      </c>
      <c r="E17" s="68">
        <v>13</v>
      </c>
      <c r="F17" s="69">
        <f>BEGINBLAD!C16</f>
        <v>0</v>
      </c>
      <c r="G17" s="70">
        <f>'NIVEAU WAARDE - 1e toetsperiode'!D21</f>
        <v>0</v>
      </c>
      <c r="H17" s="71">
        <f>'NIVEAU WAARDE - 2e toetsperiode'!D21</f>
        <v>0</v>
      </c>
      <c r="I17" s="72" t="str">
        <f t="shared" si="0"/>
        <v/>
      </c>
      <c r="J17" s="340"/>
      <c r="K17" s="90">
        <f>'TECHNISCH LEZEN - 1e periode'!L17</f>
        <v>0</v>
      </c>
      <c r="L17" s="17"/>
      <c r="M17" s="256"/>
      <c r="N17" s="74"/>
      <c r="O17" s="1260" t="s">
        <v>210</v>
      </c>
      <c r="P17" s="1258">
        <f>'INTENSIEF - 2e periode'!C8</f>
        <v>0</v>
      </c>
    </row>
    <row r="18" spans="1:24" ht="19.5" customHeight="1" x14ac:dyDescent="0.25">
      <c r="A18" s="77"/>
      <c r="B18" s="78"/>
      <c r="C18" s="868"/>
      <c r="D18" s="85">
        <v>0</v>
      </c>
      <c r="E18" s="68">
        <v>14</v>
      </c>
      <c r="F18" s="69">
        <f>BEGINBLAD!C17</f>
        <v>0</v>
      </c>
      <c r="G18" s="70">
        <f>'NIVEAU WAARDE - 1e toetsperiode'!D22</f>
        <v>0</v>
      </c>
      <c r="H18" s="71">
        <f>'NIVEAU WAARDE - 2e toetsperiode'!D22</f>
        <v>0</v>
      </c>
      <c r="I18" s="72" t="str">
        <f t="shared" si="0"/>
        <v/>
      </c>
      <c r="J18" s="340"/>
      <c r="K18" s="90">
        <f>'TECHNISCH LEZEN - 1e periode'!L18</f>
        <v>0</v>
      </c>
      <c r="L18" s="17"/>
      <c r="M18" s="256"/>
      <c r="N18" s="74"/>
      <c r="O18" s="1260"/>
      <c r="P18" s="1258"/>
    </row>
    <row r="19" spans="1:24" ht="19.5" customHeight="1" x14ac:dyDescent="0.3">
      <c r="D19" s="85">
        <v>0</v>
      </c>
      <c r="E19" s="68">
        <v>15</v>
      </c>
      <c r="F19" s="69">
        <f>BEGINBLAD!C18</f>
        <v>0</v>
      </c>
      <c r="G19" s="70">
        <f>'NIVEAU WAARDE - 1e toetsperiode'!D23</f>
        <v>0</v>
      </c>
      <c r="H19" s="71">
        <f>'NIVEAU WAARDE - 2e toetsperiode'!D23</f>
        <v>0</v>
      </c>
      <c r="I19" s="72" t="str">
        <f t="shared" si="0"/>
        <v/>
      </c>
      <c r="J19" s="340"/>
      <c r="K19" s="90">
        <f>'TECHNISCH LEZEN - 1e periode'!L19</f>
        <v>0</v>
      </c>
      <c r="L19" s="17"/>
      <c r="M19" s="256"/>
      <c r="N19" s="74"/>
      <c r="O19" s="1260"/>
      <c r="P19" s="1258"/>
      <c r="U19" s="88"/>
      <c r="V19" s="88"/>
      <c r="W19" s="88"/>
      <c r="X19" s="88"/>
    </row>
    <row r="20" spans="1:24" ht="19.5" customHeight="1" x14ac:dyDescent="0.25">
      <c r="D20" s="85">
        <v>0</v>
      </c>
      <c r="E20" s="68">
        <v>16</v>
      </c>
      <c r="F20" s="69">
        <f>BEGINBLAD!C19</f>
        <v>0</v>
      </c>
      <c r="G20" s="70">
        <f>'NIVEAU WAARDE - 1e toetsperiode'!D24</f>
        <v>0</v>
      </c>
      <c r="H20" s="71">
        <f>'NIVEAU WAARDE - 2e toetsperiode'!D24</f>
        <v>0</v>
      </c>
      <c r="I20" s="72" t="str">
        <f t="shared" si="0"/>
        <v/>
      </c>
      <c r="J20" s="340"/>
      <c r="K20" s="90">
        <f>'TECHNISCH LEZEN - 1e periode'!L20</f>
        <v>0</v>
      </c>
      <c r="L20" s="17"/>
      <c r="M20" s="256"/>
      <c r="N20" s="74"/>
      <c r="O20" s="1260"/>
      <c r="P20" s="1258"/>
    </row>
    <row r="21" spans="1:24" ht="19.5" customHeight="1" x14ac:dyDescent="0.25">
      <c r="D21" s="85">
        <v>0</v>
      </c>
      <c r="E21" s="68">
        <v>17</v>
      </c>
      <c r="F21" s="69">
        <f>BEGINBLAD!C20</f>
        <v>0</v>
      </c>
      <c r="G21" s="70">
        <f>'NIVEAU WAARDE - 1e toetsperiode'!D25</f>
        <v>0</v>
      </c>
      <c r="H21" s="71">
        <f>'NIVEAU WAARDE - 2e toetsperiode'!D25</f>
        <v>0</v>
      </c>
      <c r="I21" s="72" t="str">
        <f t="shared" si="0"/>
        <v/>
      </c>
      <c r="J21" s="340"/>
      <c r="K21" s="90">
        <f>'TECHNISCH LEZEN - 1e periode'!L21</f>
        <v>0</v>
      </c>
      <c r="L21" s="17"/>
      <c r="M21" s="256"/>
      <c r="N21" s="74"/>
      <c r="O21" s="1260"/>
      <c r="P21" s="1258"/>
    </row>
    <row r="22" spans="1:24" ht="19.5" customHeight="1" x14ac:dyDescent="0.25">
      <c r="D22" s="85">
        <v>0</v>
      </c>
      <c r="E22" s="68">
        <v>18</v>
      </c>
      <c r="F22" s="69">
        <f>BEGINBLAD!C21</f>
        <v>0</v>
      </c>
      <c r="G22" s="70">
        <f>'NIVEAU WAARDE - 1e toetsperiode'!D26</f>
        <v>0</v>
      </c>
      <c r="H22" s="71">
        <f>'NIVEAU WAARDE - 2e toetsperiode'!D26</f>
        <v>0</v>
      </c>
      <c r="I22" s="72" t="str">
        <f t="shared" si="0"/>
        <v/>
      </c>
      <c r="J22" s="340"/>
      <c r="K22" s="90">
        <f>'TECHNISCH LEZEN - 1e periode'!L22</f>
        <v>0</v>
      </c>
      <c r="L22" s="17"/>
      <c r="M22" s="256"/>
      <c r="N22" s="74"/>
      <c r="O22" s="1260"/>
      <c r="P22" s="1258"/>
    </row>
    <row r="23" spans="1:24" ht="19.5" customHeight="1" x14ac:dyDescent="0.25">
      <c r="B23" s="53"/>
      <c r="C23" s="53"/>
      <c r="D23" s="85">
        <v>0</v>
      </c>
      <c r="E23" s="68">
        <v>19</v>
      </c>
      <c r="F23" s="69">
        <f>BEGINBLAD!C22</f>
        <v>0</v>
      </c>
      <c r="G23" s="70">
        <f>'NIVEAU WAARDE - 1e toetsperiode'!D27</f>
        <v>0</v>
      </c>
      <c r="H23" s="71">
        <f>'NIVEAU WAARDE - 2e toetsperiode'!D27</f>
        <v>0</v>
      </c>
      <c r="I23" s="72" t="str">
        <f t="shared" si="0"/>
        <v/>
      </c>
      <c r="J23" s="340"/>
      <c r="K23" s="90">
        <f>'TECHNISCH LEZEN - 1e periode'!L23</f>
        <v>0</v>
      </c>
      <c r="L23" s="17"/>
      <c r="M23" s="256"/>
      <c r="N23" s="74"/>
      <c r="O23" s="1260"/>
      <c r="P23" s="1258"/>
    </row>
    <row r="24" spans="1:24" ht="19.5" customHeight="1" thickBot="1" x14ac:dyDescent="0.3">
      <c r="B24" s="89"/>
      <c r="C24" s="53"/>
      <c r="D24" s="85">
        <v>0</v>
      </c>
      <c r="E24" s="68">
        <v>20</v>
      </c>
      <c r="F24" s="69">
        <f>BEGINBLAD!C23</f>
        <v>0</v>
      </c>
      <c r="G24" s="70">
        <f>'NIVEAU WAARDE - 1e toetsperiode'!D28</f>
        <v>0</v>
      </c>
      <c r="H24" s="71">
        <f>'NIVEAU WAARDE - 2e toetsperiode'!D28</f>
        <v>0</v>
      </c>
      <c r="I24" s="72" t="str">
        <f t="shared" si="0"/>
        <v/>
      </c>
      <c r="J24" s="340"/>
      <c r="K24" s="90">
        <f>'TECHNISCH LEZEN - 1e periode'!L24</f>
        <v>0</v>
      </c>
      <c r="L24" s="17"/>
      <c r="M24" s="256"/>
      <c r="N24" s="74"/>
      <c r="O24" s="1261"/>
      <c r="P24" s="1259"/>
    </row>
    <row r="25" spans="1:24" ht="19.5" customHeight="1" thickBot="1" x14ac:dyDescent="0.3">
      <c r="B25" s="89"/>
      <c r="C25" s="53"/>
      <c r="D25" s="85">
        <v>0</v>
      </c>
      <c r="E25" s="68">
        <v>21</v>
      </c>
      <c r="F25" s="69">
        <f>BEGINBLAD!C24</f>
        <v>0</v>
      </c>
      <c r="G25" s="70">
        <f>'NIVEAU WAARDE - 1e toetsperiode'!D29</f>
        <v>0</v>
      </c>
      <c r="H25" s="71">
        <f>'NIVEAU WAARDE - 2e toetsperiode'!D29</f>
        <v>0</v>
      </c>
      <c r="I25" s="72" t="str">
        <f t="shared" si="0"/>
        <v/>
      </c>
      <c r="J25" s="340"/>
      <c r="K25" s="90">
        <f>'TECHNISCH LEZEN - 1e periode'!L25</f>
        <v>0</v>
      </c>
      <c r="L25" s="17"/>
      <c r="M25" s="256"/>
      <c r="N25" s="74"/>
      <c r="O25" s="82"/>
      <c r="P25" s="54" t="s">
        <v>416</v>
      </c>
    </row>
    <row r="26" spans="1:24" ht="19.5" customHeight="1" x14ac:dyDescent="0.25">
      <c r="D26" s="85">
        <v>0</v>
      </c>
      <c r="E26" s="68">
        <v>22</v>
      </c>
      <c r="F26" s="69">
        <f>BEGINBLAD!C25</f>
        <v>0</v>
      </c>
      <c r="G26" s="70">
        <f>'NIVEAU WAARDE - 1e toetsperiode'!D30</f>
        <v>0</v>
      </c>
      <c r="H26" s="71">
        <f>'NIVEAU WAARDE - 2e toetsperiode'!D30</f>
        <v>0</v>
      </c>
      <c r="I26" s="72" t="str">
        <f t="shared" si="0"/>
        <v/>
      </c>
      <c r="J26" s="340"/>
      <c r="K26" s="90">
        <f>'TECHNISCH LEZEN - 1e periode'!L26</f>
        <v>0</v>
      </c>
      <c r="L26" s="17"/>
      <c r="M26" s="256"/>
      <c r="N26" s="74"/>
      <c r="O26" s="1229" t="s">
        <v>208</v>
      </c>
      <c r="P26" s="1231">
        <f>'BASISAANPAK - 2e periode'!C6</f>
        <v>0</v>
      </c>
    </row>
    <row r="27" spans="1:24" s="92" customFormat="1" ht="19.5" customHeight="1" x14ac:dyDescent="0.55000000000000004">
      <c r="A27" s="51"/>
      <c r="B27" s="1164" t="s">
        <v>62</v>
      </c>
      <c r="C27" s="66" t="s">
        <v>275</v>
      </c>
      <c r="D27" s="80">
        <v>0</v>
      </c>
      <c r="E27" s="68">
        <v>23</v>
      </c>
      <c r="F27" s="69">
        <f>BEGINBLAD!C26</f>
        <v>0</v>
      </c>
      <c r="G27" s="70">
        <f>'NIVEAU WAARDE - 1e toetsperiode'!D31</f>
        <v>0</v>
      </c>
      <c r="H27" s="71">
        <f>'NIVEAU WAARDE - 2e toetsperiode'!D31</f>
        <v>0</v>
      </c>
      <c r="I27" s="72" t="str">
        <f t="shared" si="0"/>
        <v/>
      </c>
      <c r="J27" s="340"/>
      <c r="K27" s="90">
        <f>'TECHNISCH LEZEN - 1e periode'!L27</f>
        <v>0</v>
      </c>
      <c r="L27" s="17"/>
      <c r="M27" s="256"/>
      <c r="N27" s="74"/>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- 1e toetsperiode'!D32</f>
        <v>0</v>
      </c>
      <c r="H28" s="71">
        <f>'NIVEAU WAARDE - 2e toetsperiode'!D32</f>
        <v>0</v>
      </c>
      <c r="I28" s="72" t="str">
        <f t="shared" si="0"/>
        <v/>
      </c>
      <c r="J28" s="340"/>
      <c r="K28" s="90">
        <f>'TECHNISCH LEZEN - 1e periode'!L28</f>
        <v>0</v>
      </c>
      <c r="L28" s="17"/>
      <c r="M28" s="256"/>
      <c r="N28" s="74"/>
      <c r="O28" s="1230" t="s">
        <v>210</v>
      </c>
      <c r="P28" s="1232">
        <f>'BASISAANPAK - 2e periode'!C8</f>
        <v>0</v>
      </c>
      <c r="Q28" s="56"/>
      <c r="R28" s="93"/>
      <c r="S28" s="54"/>
      <c r="T28" s="54"/>
      <c r="U28" s="54"/>
      <c r="V28" s="54"/>
      <c r="W28" s="54"/>
    </row>
    <row r="29" spans="1:24" ht="19.5" customHeight="1" x14ac:dyDescent="0.25">
      <c r="A29" s="77"/>
      <c r="B29" s="78"/>
      <c r="C29" s="868"/>
      <c r="D29" s="67">
        <v>0</v>
      </c>
      <c r="E29" s="68">
        <v>25</v>
      </c>
      <c r="F29" s="69">
        <f>BEGINBLAD!C28</f>
        <v>0</v>
      </c>
      <c r="G29" s="70">
        <f>'NIVEAU WAARDE - 1e toetsperiode'!D33</f>
        <v>0</v>
      </c>
      <c r="H29" s="71">
        <f>'NIVEAU WAARDE - 2e toetsperiode'!D33</f>
        <v>0</v>
      </c>
      <c r="I29" s="72" t="str">
        <f t="shared" si="0"/>
        <v/>
      </c>
      <c r="J29" s="340"/>
      <c r="K29" s="90">
        <f>'TECHNISCH LEZEN - 1e periode'!L29</f>
        <v>0</v>
      </c>
      <c r="L29" s="17"/>
      <c r="M29" s="256"/>
      <c r="N29" s="74"/>
      <c r="O29" s="1230"/>
      <c r="P29" s="1232"/>
    </row>
    <row r="30" spans="1:24" ht="19.5" customHeight="1" x14ac:dyDescent="0.25">
      <c r="A30" s="77"/>
      <c r="B30" s="78"/>
      <c r="C30" s="868"/>
      <c r="D30" s="67">
        <v>0</v>
      </c>
      <c r="E30" s="68">
        <v>26</v>
      </c>
      <c r="F30" s="69">
        <f>BEGINBLAD!C29</f>
        <v>0</v>
      </c>
      <c r="G30" s="70">
        <f>'NIVEAU WAARDE - 1e toetsperiode'!D34</f>
        <v>0</v>
      </c>
      <c r="H30" s="71">
        <f>'NIVEAU WAARDE - 2e toetsperiode'!D34</f>
        <v>0</v>
      </c>
      <c r="I30" s="72" t="str">
        <f t="shared" si="0"/>
        <v/>
      </c>
      <c r="J30" s="340"/>
      <c r="K30" s="90">
        <f>'TECHNISCH LEZEN - 1e periode'!L30</f>
        <v>0</v>
      </c>
      <c r="L30" s="17"/>
      <c r="M30" s="256"/>
      <c r="N30" s="74"/>
      <c r="O30" s="1230"/>
      <c r="P30" s="1232"/>
    </row>
    <row r="31" spans="1:24" ht="19.5" customHeight="1" x14ac:dyDescent="0.25">
      <c r="A31" s="77"/>
      <c r="B31" s="78"/>
      <c r="C31" s="868"/>
      <c r="D31" s="67">
        <v>0</v>
      </c>
      <c r="E31" s="68">
        <v>27</v>
      </c>
      <c r="F31" s="69">
        <f>BEGINBLAD!C30</f>
        <v>0</v>
      </c>
      <c r="G31" s="70">
        <f>'NIVEAU WAARDE - 1e toetsperiode'!D35</f>
        <v>0</v>
      </c>
      <c r="H31" s="71">
        <f>'NIVEAU WAARDE - 2e toetsperiode'!D35</f>
        <v>0</v>
      </c>
      <c r="I31" s="72" t="str">
        <f t="shared" si="0"/>
        <v/>
      </c>
      <c r="J31" s="340"/>
      <c r="K31" s="90">
        <f>'TECHNISCH LEZEN - 1e periode'!L31</f>
        <v>0</v>
      </c>
      <c r="L31" s="17"/>
      <c r="M31" s="256"/>
      <c r="N31" s="74"/>
      <c r="O31" s="1230"/>
      <c r="P31" s="1232"/>
    </row>
    <row r="32" spans="1:24" ht="19.5" customHeight="1" x14ac:dyDescent="0.25">
      <c r="A32" s="77"/>
      <c r="B32" s="78"/>
      <c r="C32" s="868"/>
      <c r="D32" s="67">
        <v>0</v>
      </c>
      <c r="E32" s="68">
        <v>28</v>
      </c>
      <c r="F32" s="69">
        <f>BEGINBLAD!C31</f>
        <v>0</v>
      </c>
      <c r="G32" s="70">
        <f>'NIVEAU WAARDE - 1e toetsperiode'!D36</f>
        <v>0</v>
      </c>
      <c r="H32" s="71">
        <f>'NIVEAU WAARDE - 2e toetsperiode'!D36</f>
        <v>0</v>
      </c>
      <c r="I32" s="72" t="str">
        <f t="shared" si="0"/>
        <v/>
      </c>
      <c r="J32" s="340"/>
      <c r="K32" s="90">
        <f>'TECHNISCH LEZEN - 1e periode'!L32</f>
        <v>0</v>
      </c>
      <c r="L32" s="17"/>
      <c r="M32" s="256"/>
      <c r="N32" s="74"/>
      <c r="O32" s="1230"/>
      <c r="P32" s="1232"/>
    </row>
    <row r="33" spans="1:23" ht="19.5" customHeight="1" x14ac:dyDescent="0.25">
      <c r="A33" s="77"/>
      <c r="B33" s="78"/>
      <c r="C33" s="868"/>
      <c r="D33" s="67">
        <v>0</v>
      </c>
      <c r="E33" s="68">
        <v>29</v>
      </c>
      <c r="F33" s="69">
        <f>BEGINBLAD!C32</f>
        <v>0</v>
      </c>
      <c r="G33" s="70">
        <f>'NIVEAU WAARDE - 1e toetsperiode'!D37</f>
        <v>0</v>
      </c>
      <c r="H33" s="71">
        <f>'NIVEAU WAARDE - 2e toetsperiode'!D37</f>
        <v>0</v>
      </c>
      <c r="I33" s="72" t="str">
        <f t="shared" si="0"/>
        <v/>
      </c>
      <c r="J33" s="340"/>
      <c r="K33" s="90">
        <f>'TECHNISCH LEZEN - 1e periode'!L33</f>
        <v>0</v>
      </c>
      <c r="L33" s="17"/>
      <c r="M33" s="256"/>
      <c r="N33" s="74"/>
      <c r="O33" s="1230"/>
      <c r="P33" s="1232"/>
    </row>
    <row r="34" spans="1:23" ht="19.5" customHeight="1" x14ac:dyDescent="0.25">
      <c r="A34" s="77"/>
      <c r="B34" s="78"/>
      <c r="C34" s="868"/>
      <c r="D34" s="67">
        <v>0</v>
      </c>
      <c r="E34" s="68">
        <v>30</v>
      </c>
      <c r="F34" s="69">
        <f>BEGINBLAD!C33</f>
        <v>0</v>
      </c>
      <c r="G34" s="70">
        <f>'NIVEAU WAARDE - 1e toetsperiode'!D38</f>
        <v>0</v>
      </c>
      <c r="H34" s="71">
        <f>'NIVEAU WAARDE - 2e toetsperiode'!D38</f>
        <v>0</v>
      </c>
      <c r="I34" s="72" t="str">
        <f t="shared" si="0"/>
        <v/>
      </c>
      <c r="J34" s="340"/>
      <c r="K34" s="90">
        <f>'TECHNISCH LEZEN - 1e periode'!L34</f>
        <v>0</v>
      </c>
      <c r="L34" s="17"/>
      <c r="M34" s="256"/>
      <c r="N34" s="74"/>
      <c r="O34" s="1230"/>
      <c r="P34" s="1232"/>
    </row>
    <row r="35" spans="1:23" ht="19.5" customHeight="1" thickBot="1" x14ac:dyDescent="0.3">
      <c r="A35" s="77"/>
      <c r="B35" s="78"/>
      <c r="C35" s="868"/>
      <c r="D35" s="67">
        <v>0</v>
      </c>
      <c r="E35" s="68">
        <v>31</v>
      </c>
      <c r="F35" s="69">
        <f>BEGINBLAD!C34</f>
        <v>0</v>
      </c>
      <c r="G35" s="70">
        <f>'NIVEAU WAARDE - 1e toetsperiode'!D39</f>
        <v>0</v>
      </c>
      <c r="H35" s="71">
        <f>'NIVEAU WAARDE - 2e toetsperiode'!D39</f>
        <v>0</v>
      </c>
      <c r="I35" s="72" t="str">
        <f t="shared" si="0"/>
        <v/>
      </c>
      <c r="J35" s="340"/>
      <c r="K35" s="90">
        <f>'TECHNISCH LEZEN - 1e periode'!L35</f>
        <v>0</v>
      </c>
      <c r="L35" s="17"/>
      <c r="M35" s="256"/>
      <c r="N35" s="74"/>
      <c r="O35" s="1257"/>
      <c r="P35" s="1262"/>
    </row>
    <row r="36" spans="1:23" ht="19.5" customHeight="1" thickBot="1" x14ac:dyDescent="0.3">
      <c r="A36" s="77"/>
      <c r="B36" s="78"/>
      <c r="C36" s="868"/>
      <c r="D36" s="67">
        <v>0</v>
      </c>
      <c r="E36" s="68">
        <v>32</v>
      </c>
      <c r="F36" s="69">
        <f>BEGINBLAD!C35</f>
        <v>0</v>
      </c>
      <c r="G36" s="70">
        <f>'NIVEAU WAARDE - 1e toetsperiode'!D40</f>
        <v>0</v>
      </c>
      <c r="H36" s="71">
        <f>'NIVEAU WAARDE - 2e toetsperiode'!D40</f>
        <v>0</v>
      </c>
      <c r="I36" s="72" t="str">
        <f t="shared" si="0"/>
        <v/>
      </c>
      <c r="J36" s="340"/>
      <c r="K36" s="90">
        <f>'TECHNISCH LEZEN - 1e periode'!L36</f>
        <v>0</v>
      </c>
      <c r="L36" s="17"/>
      <c r="M36" s="256"/>
      <c r="N36" s="74"/>
      <c r="O36" s="82"/>
      <c r="P36" s="54" t="s">
        <v>417</v>
      </c>
    </row>
    <row r="37" spans="1:23" ht="19.5" customHeight="1" x14ac:dyDescent="0.25">
      <c r="A37" s="77"/>
      <c r="B37" s="78"/>
      <c r="C37" s="868"/>
      <c r="D37" s="67">
        <v>0</v>
      </c>
      <c r="E37" s="68">
        <v>33</v>
      </c>
      <c r="F37" s="69">
        <f>BEGINBLAD!C36</f>
        <v>0</v>
      </c>
      <c r="G37" s="70">
        <f>'NIVEAU WAARDE - 1e toetsperiode'!D41</f>
        <v>0</v>
      </c>
      <c r="H37" s="71">
        <f>'NIVEAU WAARDE - 2e toetsperiode'!D41</f>
        <v>0</v>
      </c>
      <c r="I37" s="72" t="str">
        <f t="shared" si="0"/>
        <v/>
      </c>
      <c r="J37" s="340"/>
      <c r="K37" s="90">
        <f>'TECHNISCH LEZEN - 1e periode'!L37</f>
        <v>0</v>
      </c>
      <c r="L37" s="17"/>
      <c r="M37" s="256"/>
      <c r="N37" s="74"/>
      <c r="O37" s="1229" t="s">
        <v>208</v>
      </c>
      <c r="P37" s="1231">
        <f>'VERRIJKT - 2e periode'!C6</f>
        <v>0</v>
      </c>
    </row>
    <row r="38" spans="1:23" ht="19.5" customHeight="1" x14ac:dyDescent="0.25">
      <c r="A38" s="77"/>
      <c r="B38" s="78"/>
      <c r="C38" s="868"/>
      <c r="D38" s="67">
        <v>0</v>
      </c>
      <c r="E38" s="68">
        <v>34</v>
      </c>
      <c r="F38" s="69">
        <f>BEGINBLAD!C37</f>
        <v>0</v>
      </c>
      <c r="G38" s="70">
        <f>'NIVEAU WAARDE - 1e toetsperiode'!D42</f>
        <v>0</v>
      </c>
      <c r="H38" s="71">
        <f>'NIVEAU WAARDE - 2e toetsperiode'!D42</f>
        <v>0</v>
      </c>
      <c r="I38" s="72" t="str">
        <f t="shared" si="0"/>
        <v/>
      </c>
      <c r="J38" s="340"/>
      <c r="K38" s="90">
        <f>'TECHNISCH LEZEN - 1e periode'!L38</f>
        <v>0</v>
      </c>
      <c r="L38" s="17"/>
      <c r="M38" s="256"/>
      <c r="N38" s="74"/>
      <c r="O38" s="1230"/>
      <c r="P38" s="1232"/>
    </row>
    <row r="39" spans="1:23" ht="19.5" customHeight="1" x14ac:dyDescent="0.25">
      <c r="A39" s="77"/>
      <c r="B39" s="78"/>
      <c r="C39" s="868"/>
      <c r="D39" s="67">
        <v>0</v>
      </c>
      <c r="E39" s="68">
        <v>35</v>
      </c>
      <c r="F39" s="69">
        <f>BEGINBLAD!C38</f>
        <v>0</v>
      </c>
      <c r="G39" s="70">
        <f>'NIVEAU WAARDE - 1e toetsperiode'!D43</f>
        <v>0</v>
      </c>
      <c r="H39" s="71">
        <f>'NIVEAU WAARDE - 2e toetsperiode'!D43</f>
        <v>0</v>
      </c>
      <c r="I39" s="72" t="str">
        <f t="shared" si="0"/>
        <v/>
      </c>
      <c r="J39" s="340"/>
      <c r="K39" s="90">
        <f>'TECHNISCH LEZEN - 1e periode'!L39</f>
        <v>0</v>
      </c>
      <c r="L39" s="17"/>
      <c r="M39" s="469"/>
      <c r="N39" s="74"/>
      <c r="O39" s="1230" t="s">
        <v>210</v>
      </c>
      <c r="P39" s="1255">
        <f>'VERRIJKT - 2e periode'!C8</f>
        <v>0</v>
      </c>
    </row>
    <row r="40" spans="1:23" ht="19.5" customHeight="1" thickBot="1" x14ac:dyDescent="0.3">
      <c r="A40" s="77"/>
      <c r="B40" s="78"/>
      <c r="C40" s="868"/>
      <c r="D40" s="67">
        <v>0</v>
      </c>
      <c r="E40" s="94">
        <v>36</v>
      </c>
      <c r="F40" s="95">
        <f>BEGINBLAD!C39</f>
        <v>0</v>
      </c>
      <c r="G40" s="96">
        <f>'NIVEAU WAARDE - 1e toetsperiode'!D44</f>
        <v>0</v>
      </c>
      <c r="H40" s="97">
        <f>'NIVEAU WAARDE - 2e toetsperiode'!D44</f>
        <v>0</v>
      </c>
      <c r="I40" s="98" t="str">
        <f t="shared" si="0"/>
        <v/>
      </c>
      <c r="J40" s="470"/>
      <c r="K40" s="177">
        <f>'TECHNISCH LEZEN - 1e periode'!L40</f>
        <v>0</v>
      </c>
      <c r="L40" s="923"/>
      <c r="M40" s="472"/>
      <c r="N40" s="74"/>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66"/>
      <c r="G42" s="1267" t="s">
        <v>279</v>
      </c>
      <c r="H42" s="1268"/>
      <c r="I42" s="1276"/>
      <c r="J42" s="1276"/>
      <c r="K42" s="1276"/>
      <c r="L42" s="1276"/>
      <c r="M42" s="1277"/>
      <c r="O42" s="1230"/>
      <c r="P42" s="1255"/>
      <c r="R42" s="101"/>
      <c r="S42" s="101"/>
      <c r="T42" s="101"/>
      <c r="U42" s="101"/>
      <c r="V42" s="101"/>
      <c r="W42" s="101"/>
    </row>
    <row r="43" spans="1:23" ht="19.5" customHeight="1" x14ac:dyDescent="0.25">
      <c r="B43" s="78"/>
      <c r="C43" s="122" t="s">
        <v>280</v>
      </c>
      <c r="D43" s="1246"/>
      <c r="E43" s="1247"/>
      <c r="F43" s="1248"/>
      <c r="G43" s="1249" t="s">
        <v>280</v>
      </c>
      <c r="H43" s="1250"/>
      <c r="I43" s="1270"/>
      <c r="J43" s="1270"/>
      <c r="K43" s="1270"/>
      <c r="L43" s="1270"/>
      <c r="M43" s="1271"/>
      <c r="O43" s="1230"/>
      <c r="P43" s="1255"/>
      <c r="R43" s="101"/>
      <c r="S43" s="101"/>
      <c r="T43" s="101"/>
      <c r="U43" s="101"/>
      <c r="V43" s="101"/>
      <c r="W43" s="101"/>
    </row>
    <row r="44" spans="1:23" ht="19.5" customHeight="1" x14ac:dyDescent="0.25">
      <c r="B44" s="78"/>
      <c r="C44" s="122" t="s">
        <v>281</v>
      </c>
      <c r="D44" s="1246"/>
      <c r="E44" s="1247"/>
      <c r="F44" s="1248"/>
      <c r="G44" s="1249" t="s">
        <v>281</v>
      </c>
      <c r="H44" s="1250"/>
      <c r="I44" s="1270"/>
      <c r="J44" s="1270"/>
      <c r="K44" s="1270"/>
      <c r="L44" s="1270"/>
      <c r="M44" s="1271"/>
      <c r="O44" s="1230"/>
      <c r="P44" s="1255"/>
      <c r="R44" s="101"/>
      <c r="S44" s="101"/>
      <c r="T44" s="101"/>
      <c r="U44" s="101"/>
      <c r="V44" s="101"/>
      <c r="W44" s="101"/>
    </row>
    <row r="45" spans="1:23" ht="19.5" customHeight="1" x14ac:dyDescent="0.25">
      <c r="B45" s="78"/>
      <c r="C45" s="122" t="s">
        <v>282</v>
      </c>
      <c r="D45" s="1246"/>
      <c r="E45" s="1247"/>
      <c r="F45" s="1248"/>
      <c r="G45" s="1249" t="s">
        <v>282</v>
      </c>
      <c r="H45" s="1250"/>
      <c r="I45" s="1270"/>
      <c r="J45" s="1270"/>
      <c r="K45" s="1270"/>
      <c r="L45" s="1270"/>
      <c r="M45" s="1271"/>
      <c r="O45" s="1230"/>
      <c r="P45" s="1255"/>
      <c r="R45" s="101"/>
      <c r="S45" s="101"/>
      <c r="T45" s="101"/>
      <c r="U45" s="101"/>
      <c r="V45" s="101"/>
      <c r="W45" s="101"/>
    </row>
    <row r="46" spans="1:23" ht="19.5" customHeight="1" thickBot="1" x14ac:dyDescent="0.3">
      <c r="B46" s="78"/>
      <c r="C46" s="123" t="s">
        <v>283</v>
      </c>
      <c r="D46" s="1272"/>
      <c r="E46" s="1272"/>
      <c r="F46" s="1273"/>
      <c r="G46" s="1240" t="s">
        <v>283</v>
      </c>
      <c r="H46" s="1241"/>
      <c r="I46" s="1274"/>
      <c r="J46" s="1274"/>
      <c r="K46" s="1274"/>
      <c r="L46" s="1274"/>
      <c r="M46" s="1275"/>
      <c r="O46" s="1257"/>
      <c r="P46" s="1256"/>
    </row>
    <row r="47" spans="1:23" x14ac:dyDescent="0.25">
      <c r="C47" s="104"/>
      <c r="D47" s="109"/>
      <c r="E47" s="131"/>
      <c r="F47" s="131"/>
      <c r="G47" s="131"/>
      <c r="H47" s="83"/>
      <c r="I47" s="83"/>
      <c r="J47" s="83"/>
      <c r="K47" s="1269" t="s">
        <v>278</v>
      </c>
      <c r="L47" s="1269"/>
      <c r="M47" s="1269"/>
      <c r="N47" s="102"/>
      <c r="O47" s="102"/>
      <c r="P47" s="102"/>
    </row>
    <row r="48" spans="1:23" x14ac:dyDescent="0.25">
      <c r="B48" s="116"/>
      <c r="C48" s="104"/>
      <c r="D48" s="103">
        <f>BEGINBLAD!$D$40</f>
        <v>8</v>
      </c>
      <c r="E48" s="142"/>
      <c r="F48" s="143" t="s">
        <v>418</v>
      </c>
      <c r="G48" s="150" t="e">
        <f>H48/$D$49</f>
        <v>#DIV/0!</v>
      </c>
      <c r="H48" s="85">
        <f>COUNTIF($I$5:$I$40,"A-1+")</f>
        <v>0</v>
      </c>
      <c r="I48" s="85"/>
      <c r="J48" s="141" t="s">
        <v>419</v>
      </c>
      <c r="K48" s="141"/>
      <c r="L48" s="141"/>
      <c r="M48" s="161" t="e">
        <f>G48+G49+G50+G51+G52</f>
        <v>#DIV/0!</v>
      </c>
      <c r="N48" s="161">
        <v>1</v>
      </c>
      <c r="O48" s="149"/>
      <c r="P48" s="102"/>
    </row>
    <row r="49" spans="2:16" x14ac:dyDescent="0.25">
      <c r="B49" s="116"/>
      <c r="C49" s="104"/>
      <c r="D49" s="105">
        <f>COUNTIF(H5:H40,"&gt;0")</f>
        <v>0</v>
      </c>
      <c r="E49" s="142"/>
      <c r="F49" s="143" t="s">
        <v>420</v>
      </c>
      <c r="G49" s="150" t="e">
        <f>H49/$D$49</f>
        <v>#DIV/0!</v>
      </c>
      <c r="H49" s="85">
        <f>COUNTIF($I$5:$I$40,"A-1")</f>
        <v>0</v>
      </c>
      <c r="I49" s="85"/>
      <c r="J49" s="141"/>
      <c r="K49" s="141"/>
      <c r="L49" s="141"/>
      <c r="M49" s="161"/>
      <c r="N49" s="161">
        <v>0.7</v>
      </c>
      <c r="O49" s="162"/>
      <c r="P49" s="111"/>
    </row>
    <row r="50" spans="2:16" x14ac:dyDescent="0.25">
      <c r="B50" s="116"/>
      <c r="C50" s="104"/>
      <c r="D50" s="110"/>
      <c r="E50" s="142"/>
      <c r="F50" s="145" t="s">
        <v>421</v>
      </c>
      <c r="G50" s="150" t="e">
        <f>(H50+I50)/$D$49</f>
        <v>#DIV/0!</v>
      </c>
      <c r="H50" s="85">
        <f>COUNTIF($I$5:$I$40,"A-2")</f>
        <v>0</v>
      </c>
      <c r="I50" s="85">
        <f>COUNTIF($I$5:$I$40,"B-2")</f>
        <v>0</v>
      </c>
      <c r="J50" s="141"/>
      <c r="K50" s="141"/>
      <c r="L50" s="141"/>
      <c r="M50" s="161"/>
      <c r="N50" s="161">
        <v>0.6</v>
      </c>
      <c r="O50" s="162"/>
      <c r="P50" s="111"/>
    </row>
    <row r="51" spans="2:16" x14ac:dyDescent="0.25">
      <c r="B51" s="116"/>
      <c r="C51" s="104"/>
      <c r="D51" s="110"/>
      <c r="E51" s="142"/>
      <c r="F51" s="143" t="s">
        <v>422</v>
      </c>
      <c r="G51" s="150" t="e">
        <f>H51/$D$49</f>
        <v>#DIV/0!</v>
      </c>
      <c r="H51" s="85">
        <f>COUNTIF($I$5:$I$40,"B-3")</f>
        <v>0</v>
      </c>
      <c r="I51" s="85"/>
      <c r="J51" s="141"/>
      <c r="K51" s="141"/>
      <c r="L51" s="141"/>
      <c r="M51" s="161"/>
      <c r="N51" s="161" t="e">
        <f>$M$48</f>
        <v>#DIV/0!</v>
      </c>
      <c r="O51" s="162"/>
      <c r="P51" s="111"/>
    </row>
    <row r="52" spans="2:16" x14ac:dyDescent="0.25">
      <c r="B52" s="116"/>
      <c r="C52" s="104"/>
      <c r="D52" s="110"/>
      <c r="E52" s="142"/>
      <c r="F52" s="143" t="s">
        <v>423</v>
      </c>
      <c r="G52" s="150" t="e">
        <f>H52/$D$49</f>
        <v>#DIV/0!</v>
      </c>
      <c r="H52" s="85">
        <f>COUNTIF($I$5:$I$40,"c-3")</f>
        <v>0</v>
      </c>
      <c r="I52" s="85"/>
      <c r="J52" s="141" t="s">
        <v>352</v>
      </c>
      <c r="K52" s="141"/>
      <c r="L52" s="141"/>
      <c r="M52" s="161" t="e">
        <f>G53+G54+G55+G57</f>
        <v>#DIV/0!</v>
      </c>
      <c r="N52" s="163"/>
      <c r="O52" s="162"/>
      <c r="P52" s="111"/>
    </row>
    <row r="53" spans="2:16" x14ac:dyDescent="0.25">
      <c r="B53" s="116"/>
      <c r="C53" s="104"/>
      <c r="D53" s="110"/>
      <c r="E53" s="142"/>
      <c r="F53" s="145" t="s">
        <v>424</v>
      </c>
      <c r="G53" s="150" t="e">
        <f>H53/$D$49</f>
        <v>#DIV/0!</v>
      </c>
      <c r="H53" s="85">
        <f>COUNTIF($I$5:$I$40,"c-4")</f>
        <v>0</v>
      </c>
      <c r="I53" s="83"/>
      <c r="J53" s="141"/>
      <c r="K53" s="141"/>
      <c r="L53" s="141"/>
      <c r="M53" s="161"/>
      <c r="N53" s="163"/>
      <c r="O53" s="162"/>
      <c r="P53" s="111"/>
    </row>
    <row r="54" spans="2:16" x14ac:dyDescent="0.25">
      <c r="B54" s="116"/>
      <c r="C54" s="104"/>
      <c r="D54" s="110"/>
      <c r="E54" s="142"/>
      <c r="F54" s="142" t="s">
        <v>425</v>
      </c>
      <c r="G54" s="150" t="e">
        <f>H54/$D$49</f>
        <v>#DIV/0!</v>
      </c>
      <c r="H54" s="85">
        <f>COUNTIF($I$5:$I$40,"d-4")</f>
        <v>0</v>
      </c>
      <c r="I54" s="83"/>
      <c r="J54" s="141"/>
      <c r="K54" s="141"/>
      <c r="L54" s="141"/>
      <c r="M54" s="161"/>
      <c r="N54" s="163"/>
      <c r="O54" s="162"/>
      <c r="P54" s="111"/>
    </row>
    <row r="55" spans="2:16" x14ac:dyDescent="0.25">
      <c r="B55" s="116"/>
      <c r="C55" s="104"/>
      <c r="D55" s="110"/>
      <c r="E55" s="142"/>
      <c r="F55" s="143" t="s">
        <v>426</v>
      </c>
      <c r="G55" s="150" t="e">
        <f>(H55+I55)/$D$49</f>
        <v>#DIV/0!</v>
      </c>
      <c r="H55" s="85">
        <f>COUNTIF($I$5:$I$40,"d-5")</f>
        <v>0</v>
      </c>
      <c r="I55" s="85">
        <f>COUNTIF($I$5:$I$40,"e-5")</f>
        <v>0</v>
      </c>
      <c r="J55" s="141"/>
      <c r="K55" s="141"/>
      <c r="L55" s="141"/>
      <c r="M55" s="161"/>
      <c r="N55" s="163"/>
      <c r="O55" s="162"/>
      <c r="P55" s="111"/>
    </row>
    <row r="56" spans="2:16" x14ac:dyDescent="0.25">
      <c r="B56" s="116"/>
      <c r="C56" s="104"/>
      <c r="D56" s="110"/>
      <c r="E56" s="142"/>
      <c r="F56" s="143"/>
      <c r="G56" s="150"/>
      <c r="H56" s="85"/>
      <c r="I56" s="85"/>
      <c r="J56" s="141" t="s">
        <v>69</v>
      </c>
      <c r="K56" s="141"/>
      <c r="L56" s="141"/>
      <c r="M56" s="161" t="e">
        <f>M48+M52</f>
        <v>#DIV/0!</v>
      </c>
      <c r="N56" s="1245"/>
      <c r="O56" s="162"/>
      <c r="P56" s="111"/>
    </row>
    <row r="57" spans="2:16" x14ac:dyDescent="0.25">
      <c r="B57" s="116"/>
      <c r="C57" s="104"/>
      <c r="D57" s="110"/>
      <c r="E57" s="142"/>
      <c r="F57" s="146" t="s">
        <v>427</v>
      </c>
      <c r="G57" s="150" t="e">
        <f>H57/$D$49</f>
        <v>#DIV/0!</v>
      </c>
      <c r="H57" s="85">
        <f>COUNTIF($I$5:$I$40,"e-5-")</f>
        <v>0</v>
      </c>
      <c r="I57" s="85"/>
      <c r="J57" s="141"/>
      <c r="K57" s="141"/>
      <c r="L57" s="141"/>
      <c r="M57" s="161"/>
      <c r="N57" s="1245"/>
      <c r="O57" s="162"/>
      <c r="P57" s="111"/>
    </row>
    <row r="58" spans="2:16" x14ac:dyDescent="0.25">
      <c r="B58" s="116"/>
      <c r="C58" s="104"/>
      <c r="D58" s="110"/>
      <c r="E58" s="142"/>
      <c r="F58" s="143" t="s">
        <v>69</v>
      </c>
      <c r="G58" s="147" t="e">
        <f>SUM(G48:G57)</f>
        <v>#DIV/0!</v>
      </c>
      <c r="H58" s="131">
        <f>SUM(H48:H57)</f>
        <v>0</v>
      </c>
      <c r="I58" s="131">
        <f>SUM(I48:I57)</f>
        <v>0</v>
      </c>
      <c r="J58" s="83"/>
      <c r="K58" s="83"/>
      <c r="L58" s="149"/>
      <c r="M58" s="149"/>
      <c r="N58" s="149"/>
      <c r="O58" s="149"/>
      <c r="P58" s="102"/>
    </row>
    <row r="59" spans="2:16" x14ac:dyDescent="0.25">
      <c r="B59" s="116"/>
      <c r="C59" s="104"/>
      <c r="D59" s="110"/>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31"/>
      <c r="F62" s="149"/>
      <c r="G62" s="150"/>
      <c r="H62" s="83"/>
      <c r="I62" s="83"/>
      <c r="J62" s="83"/>
      <c r="K62" s="103"/>
      <c r="L62" s="102"/>
      <c r="M62" s="102"/>
      <c r="N62" s="102"/>
      <c r="O62" s="102"/>
      <c r="P62" s="102"/>
    </row>
    <row r="63" spans="2:16" x14ac:dyDescent="0.25">
      <c r="B63" s="116"/>
      <c r="C63" s="104"/>
      <c r="D63" s="105"/>
      <c r="E63" s="131"/>
      <c r="F63" s="131"/>
      <c r="G63" s="131"/>
      <c r="H63" s="83"/>
      <c r="I63" s="83"/>
      <c r="J63" s="83"/>
      <c r="K63" s="103"/>
      <c r="L63" s="102"/>
      <c r="M63" s="102"/>
      <c r="N63" s="102"/>
      <c r="O63" s="102"/>
      <c r="P63" s="102"/>
    </row>
    <row r="64" spans="2:16" x14ac:dyDescent="0.25">
      <c r="B64" s="116"/>
      <c r="C64" s="104"/>
      <c r="D64" s="105"/>
      <c r="E64" s="131"/>
      <c r="F64" s="131"/>
      <c r="G64" s="131"/>
      <c r="H64" s="83"/>
      <c r="I64" s="83"/>
      <c r="J64" s="83"/>
      <c r="K64" s="103"/>
      <c r="L64" s="104"/>
      <c r="M64" s="102"/>
      <c r="N64" s="102"/>
      <c r="O64" s="102"/>
      <c r="P64" s="102"/>
    </row>
    <row r="65" spans="3:24" x14ac:dyDescent="0.25">
      <c r="C65" s="104"/>
      <c r="D65" s="105"/>
      <c r="E65" s="131"/>
      <c r="F65" s="131"/>
      <c r="G65" s="131"/>
      <c r="H65" s="83"/>
      <c r="I65" s="83"/>
      <c r="J65" s="83"/>
      <c r="K65" s="103"/>
      <c r="L65" s="104"/>
      <c r="M65" s="102"/>
      <c r="N65" s="102"/>
      <c r="O65" s="102"/>
      <c r="P65" s="102"/>
    </row>
    <row r="66" spans="3:24" x14ac:dyDescent="0.25">
      <c r="C66" s="104"/>
      <c r="D66" s="105"/>
      <c r="E66" s="131"/>
      <c r="F66" s="131"/>
      <c r="G66" s="131"/>
      <c r="H66" s="83"/>
      <c r="I66" s="83"/>
      <c r="J66" s="8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C2:D2"/>
    <mergeCell ref="G2:I2"/>
    <mergeCell ref="B5:B6"/>
    <mergeCell ref="O15:O16"/>
    <mergeCell ref="P15:P16"/>
    <mergeCell ref="O17:O24"/>
    <mergeCell ref="P17:P24"/>
    <mergeCell ref="O26:O27"/>
    <mergeCell ref="P26:P27"/>
    <mergeCell ref="K1:M1"/>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798" priority="47" stopIfTrue="1">
      <formula>B7=8</formula>
    </cfRule>
    <cfRule type="cellIs" dxfId="797" priority="46" operator="equal">
      <formula>""</formula>
    </cfRule>
    <cfRule type="expression" dxfId="796" priority="52" stopIfTrue="1">
      <formula>B7=5</formula>
    </cfRule>
    <cfRule type="expression" dxfId="795" priority="51" stopIfTrue="1">
      <formula>B7=4</formula>
    </cfRule>
    <cfRule type="expression" dxfId="794" priority="50" stopIfTrue="1">
      <formula>B7=3</formula>
    </cfRule>
    <cfRule type="expression" dxfId="793" priority="49" stopIfTrue="1">
      <formula>B7=6</formula>
    </cfRule>
    <cfRule type="expression" dxfId="792" priority="48" stopIfTrue="1">
      <formula>B7=7</formula>
    </cfRule>
  </conditionalFormatting>
  <conditionalFormatting sqref="C29:C40">
    <cfRule type="expression" dxfId="791" priority="136" stopIfTrue="1">
      <formula>B29=4</formula>
    </cfRule>
    <cfRule type="expression" dxfId="790" priority="137" stopIfTrue="1">
      <formula>B29=5</formula>
    </cfRule>
    <cfRule type="expression" dxfId="789" priority="135" stopIfTrue="1">
      <formula>B29=3</formula>
    </cfRule>
    <cfRule type="expression" dxfId="788" priority="134" stopIfTrue="1">
      <formula>B29=6</formula>
    </cfRule>
    <cfRule type="expression" dxfId="787" priority="133" stopIfTrue="1">
      <formula>B29=7</formula>
    </cfRule>
    <cfRule type="expression" dxfId="786" priority="132" stopIfTrue="1">
      <formula>B29=8</formula>
    </cfRule>
    <cfRule type="cellIs" dxfId="785" priority="131" operator="equal">
      <formula>""</formula>
    </cfRule>
  </conditionalFormatting>
  <conditionalFormatting sqref="C42:C46">
    <cfRule type="cellIs" dxfId="784" priority="107" operator="notEqual">
      <formula>""</formula>
    </cfRule>
  </conditionalFormatting>
  <conditionalFormatting sqref="E5:E40">
    <cfRule type="expression" dxfId="783" priority="145">
      <formula>$D5=8</formula>
    </cfRule>
    <cfRule type="expression" dxfId="782" priority="143">
      <formula>$D5=4</formula>
    </cfRule>
    <cfRule type="expression" dxfId="781" priority="142">
      <formula>$D5=3</formula>
    </cfRule>
    <cfRule type="expression" dxfId="780" priority="146">
      <formula>$D5=7</formula>
    </cfRule>
    <cfRule type="expression" dxfId="779" priority="144">
      <formula>$D5=5</formula>
    </cfRule>
    <cfRule type="expression" dxfId="778" priority="147">
      <formula>$D5=6</formula>
    </cfRule>
  </conditionalFormatting>
  <conditionalFormatting sqref="F5:F40">
    <cfRule type="expression" dxfId="777" priority="150">
      <formula>$H5&gt;=#REF!</formula>
    </cfRule>
    <cfRule type="expression" dxfId="776" priority="151">
      <formula>$H5=0</formula>
    </cfRule>
    <cfRule type="expression" dxfId="775" priority="148">
      <formula>$H5=0</formula>
    </cfRule>
    <cfRule type="expression" dxfId="774" priority="149">
      <formula>$H5&lt;#REF!</formula>
    </cfRule>
  </conditionalFormatting>
  <conditionalFormatting sqref="G42:G46">
    <cfRule type="cellIs" dxfId="773" priority="128" operator="notEqual">
      <formula>""</formula>
    </cfRule>
  </conditionalFormatting>
  <conditionalFormatting sqref="H5:H40">
    <cfRule type="cellIs" dxfId="772" priority="157" stopIfTrue="1" operator="between">
      <formula>4</formula>
      <formula>5</formula>
    </cfRule>
    <cfRule type="cellIs" dxfId="771" priority="25" operator="between">
      <formula>1.6</formula>
      <formula>2.5</formula>
    </cfRule>
    <cfRule type="cellIs" dxfId="770" priority="155" stopIfTrue="1" operator="between">
      <formula>0.1</formula>
      <formula>1.5</formula>
    </cfRule>
    <cfRule type="cellIs" dxfId="769" priority="156" stopIfTrue="1" operator="between">
      <formula>3</formula>
      <formula>3.9</formula>
    </cfRule>
  </conditionalFormatting>
  <conditionalFormatting sqref="I5:I40">
    <cfRule type="cellIs" dxfId="768" priority="115" operator="equal">
      <formula>"E-5-"</formula>
    </cfRule>
    <cfRule type="cellIs" dxfId="767" priority="116" operator="equal">
      <formula>"A-1+"</formula>
    </cfRule>
    <cfRule type="cellIs" dxfId="766" priority="117" stopIfTrue="1" operator="between">
      <formula>"D-5"</formula>
      <formula>"E-5"</formula>
    </cfRule>
    <cfRule type="cellIs" dxfId="765" priority="118" stopIfTrue="1" operator="between">
      <formula>"B-2"</formula>
      <formula>"B-3"</formula>
    </cfRule>
    <cfRule type="cellIs" dxfId="764" priority="119" stopIfTrue="1" operator="between">
      <formula>"A-1"</formula>
      <formula>"A-2"</formula>
    </cfRule>
    <cfRule type="cellIs" dxfId="763" priority="24" operator="between">
      <formula>"C-4"</formula>
      <formula>"D-4"</formula>
    </cfRule>
  </conditionalFormatting>
  <conditionalFormatting sqref="J5:J40">
    <cfRule type="cellIs" dxfId="762" priority="28" operator="equal">
      <formula>6</formula>
    </cfRule>
    <cfRule type="cellIs" dxfId="761" priority="29" operator="equal">
      <formula>5</formula>
    </cfRule>
    <cfRule type="cellIs" dxfId="760" priority="30" operator="equal">
      <formula>4</formula>
    </cfRule>
    <cfRule type="cellIs" dxfId="759" priority="31" operator="equal">
      <formula>3</formula>
    </cfRule>
    <cfRule type="cellIs" dxfId="758" priority="32" operator="equal">
      <formula>2</formula>
    </cfRule>
    <cfRule type="cellIs" dxfId="757" priority="26" operator="equal">
      <formula>1</formula>
    </cfRule>
    <cfRule type="cellIs" dxfId="756" priority="27" operator="equal">
      <formula>7</formula>
    </cfRule>
  </conditionalFormatting>
  <conditionalFormatting sqref="K5:K8">
    <cfRule type="cellIs" dxfId="755" priority="72" operator="greaterThanOrEqual">
      <formula>""</formula>
    </cfRule>
  </conditionalFormatting>
  <conditionalFormatting sqref="K19:K23">
    <cfRule type="cellIs" dxfId="754" priority="79" stopIfTrue="1" operator="between">
      <formula>0.1</formula>
      <formula>1.9</formula>
    </cfRule>
    <cfRule type="cellIs" dxfId="753" priority="80" stopIfTrue="1" operator="between">
      <formula>3</formula>
      <formula>3.9</formula>
    </cfRule>
    <cfRule type="cellIs" dxfId="752" priority="81" stopIfTrue="1" operator="between">
      <formula>4</formula>
      <formula>5</formula>
    </cfRule>
  </conditionalFormatting>
  <conditionalFormatting sqref="K19:K40">
    <cfRule type="cellIs" dxfId="751" priority="78" operator="equal">
      <formula>""</formula>
    </cfRule>
  </conditionalFormatting>
  <conditionalFormatting sqref="L5:L40">
    <cfRule type="cellIs" dxfId="750" priority="15" stopIfTrue="1" operator="between">
      <formula>4</formula>
      <formula>5</formula>
    </cfRule>
    <cfRule type="cellIs" dxfId="749" priority="1" operator="between">
      <formula>1.6</formula>
      <formula>2.5</formula>
    </cfRule>
    <cfRule type="cellIs" dxfId="748" priority="14" stopIfTrue="1" operator="between">
      <formula>3</formula>
      <formula>3.9</formula>
    </cfRule>
    <cfRule type="cellIs" dxfId="747" priority="13" stopIfTrue="1" operator="between">
      <formula>0.1</formula>
      <formula>1.5</formula>
    </cfRule>
  </conditionalFormatting>
  <conditionalFormatting sqref="M5:M19">
    <cfRule type="cellIs" dxfId="746" priority="2" stopIfTrue="1" operator="between">
      <formula>"A+"</formula>
      <formula>"A"</formula>
    </cfRule>
    <cfRule type="cellIs" dxfId="745" priority="3" stopIfTrue="1" operator="equal">
      <formula>"B"</formula>
    </cfRule>
    <cfRule type="cellIs" dxfId="744" priority="4" stopIfTrue="1" operator="between">
      <formula>"D"</formula>
      <formula>"E"</formula>
    </cfRule>
  </conditionalFormatting>
  <conditionalFormatting sqref="M12">
    <cfRule type="cellIs" dxfId="743" priority="8" operator="equal">
      <formula>2</formula>
    </cfRule>
    <cfRule type="cellIs" dxfId="742" priority="9" operator="equal">
      <formula>1</formula>
    </cfRule>
    <cfRule type="cellIs" dxfId="741" priority="11" operator="equal">
      <formula>"B"</formula>
    </cfRule>
    <cfRule type="cellIs" dxfId="740" priority="5" operator="equal">
      <formula>""</formula>
    </cfRule>
    <cfRule type="cellIs" dxfId="739" priority="6" operator="equal">
      <formula>"1+"</formula>
    </cfRule>
    <cfRule type="cellIs" dxfId="738" priority="7" operator="between">
      <formula>4</formula>
      <formula>"5-"</formula>
    </cfRule>
    <cfRule type="cellIs" dxfId="737" priority="12" operator="between">
      <formula>"A"</formula>
      <formula>"A+"</formula>
    </cfRule>
    <cfRule type="cellIs" dxfId="736" priority="10" operator="between">
      <formula>"D"</formula>
      <formula>"E"</formula>
    </cfRule>
  </conditionalFormatting>
  <conditionalFormatting sqref="M19:M40">
    <cfRule type="cellIs" dxfId="735" priority="17" operator="equal">
      <formula>"1+"</formula>
    </cfRule>
    <cfRule type="cellIs" dxfId="734" priority="16" operator="equal">
      <formula>""</formula>
    </cfRule>
    <cfRule type="cellIs" dxfId="733" priority="23" operator="between">
      <formula>"A"</formula>
      <formula>"A+"</formula>
    </cfRule>
    <cfRule type="cellIs" dxfId="732" priority="22" operator="equal">
      <formula>"B"</formula>
    </cfRule>
    <cfRule type="cellIs" dxfId="731" priority="21" operator="between">
      <formula>"D"</formula>
      <formula>"E"</formula>
    </cfRule>
    <cfRule type="cellIs" dxfId="730" priority="20" operator="equal">
      <formula>1</formula>
    </cfRule>
    <cfRule type="cellIs" dxfId="729" priority="19" operator="equal">
      <formula>2</formula>
    </cfRule>
    <cfRule type="cellIs" dxfId="728" priority="18" operator="between">
      <formula>4</formula>
      <formula>"5-"</formula>
    </cfRule>
  </conditionalFormatting>
  <conditionalFormatting sqref="N5:N40">
    <cfRule type="cellIs" dxfId="727" priority="129" operator="equal">
      <formula>"*"</formula>
    </cfRule>
    <cfRule type="cellIs" dxfId="726" priority="130" operator="equal">
      <formula>"!"</formula>
    </cfRule>
  </conditionalFormatting>
  <conditionalFormatting sqref="R6:R7">
    <cfRule type="cellIs" dxfId="725" priority="121" operator="equal">
      <formula>0</formula>
    </cfRule>
  </conditionalFormatting>
  <conditionalFormatting sqref="R9 R11">
    <cfRule type="cellIs" dxfId="724" priority="124" operator="equal">
      <formula>0</formula>
    </cfRule>
  </conditionalFormatting>
  <conditionalFormatting sqref="R13 R15">
    <cfRule type="cellIs" dxfId="723" priority="125" operator="equal">
      <formula>0</formula>
    </cfRule>
  </conditionalFormatting>
  <conditionalFormatting sqref="S7:U7 S9:U9 S11:U11">
    <cfRule type="cellIs" dxfId="722" priority="127" operator="equal">
      <formula>0</formula>
    </cfRule>
  </conditionalFormatting>
  <conditionalFormatting sqref="S13:U13 S15:U15">
    <cfRule type="cellIs" dxfId="721" priority="122" operator="equal">
      <formula>0</formula>
    </cfRule>
  </conditionalFormatting>
  <conditionalFormatting sqref="V6:V7">
    <cfRule type="cellIs" dxfId="720" priority="120" operator="equal">
      <formula>0</formula>
    </cfRule>
  </conditionalFormatting>
  <conditionalFormatting sqref="V9 V11">
    <cfRule type="cellIs" dxfId="719" priority="123" operator="equal">
      <formula>0</formula>
    </cfRule>
  </conditionalFormatting>
  <conditionalFormatting sqref="V13 V15">
    <cfRule type="cellIs" dxfId="718" priority="126" operator="equal">
      <formula>0</formula>
    </cfRule>
  </conditionalFormatting>
  <dataValidations count="12">
    <dataValidation type="list" allowBlank="1" showInputMessage="1" showErrorMessage="1" promptTitle="Pulldown venster" prompt="Kies uit:_x000a_A+ / A / B / C / C- / D / E of_x000a_1+ / 1 / 2 / 3 / 4 / 5 / 5-" sqref="M5:M40" xr:uid="{AD7BE706-3160-4DE1-A34D-6EFBF6EE9064}">
      <formula1>"--,A+,A,B,C,C-,D,E,1+,1,2,3,4,5,5-,"</formula1>
    </dataValidation>
    <dataValidation allowBlank="1" showInputMessage="1" showErrorMessage="1" promptTitle="Nieuwe regel:" prompt="druk op Alt-Enter" sqref="P15 P28 P17 P26 P37 P39" xr:uid="{00000000-0002-0000-2400-000001000000}"/>
    <dataValidation allowBlank="1" showInputMessage="1" showErrorMessage="1" promptTitle="Pulldown menu" prompt="groeps  HP: -_x000a_indiv.    HP:#_x000a_hele groep: $" sqref="C18 C40" xr:uid="{00000000-0002-0000-2400-000002000000}"/>
    <dataValidation allowBlank="1" showInputMessage="1" showErrorMessage="1" promptTitle="Pulldown venster" prompt="groeps  HP: -_x000a_indiv.    HP:#_x000a_hele groep: $" sqref="C29:C39 C7:C17" xr:uid="{00000000-0002-0000-2400-000003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400-000004000000}">
      <formula1>2</formula1>
    </dataValidation>
    <dataValidation type="list" allowBlank="1" showInputMessage="1" showErrorMessage="1" sqref="B29:B40 B7:B18" xr:uid="{00000000-0002-0000-2400-000005000000}">
      <formula1>"3,4,5,6,7,8,"</formula1>
    </dataValidation>
    <dataValidation type="list" allowBlank="1" showInputMessage="1" showErrorMessage="1" sqref="C42 G42" xr:uid="{00000000-0002-0000-2400-000006000000}">
      <formula1>"maandag,"</formula1>
    </dataValidation>
    <dataValidation type="list" allowBlank="1" showInputMessage="1" showErrorMessage="1" sqref="C43 G43" xr:uid="{00000000-0002-0000-2400-000007000000}">
      <formula1>"dinsdag,"</formula1>
    </dataValidation>
    <dataValidation type="list" allowBlank="1" showInputMessage="1" showErrorMessage="1" sqref="C44 G44" xr:uid="{00000000-0002-0000-2400-000008000000}">
      <formula1>"woensdag,"</formula1>
    </dataValidation>
    <dataValidation type="list" allowBlank="1" showInputMessage="1" showErrorMessage="1" sqref="C45 G45" xr:uid="{00000000-0002-0000-2400-000009000000}">
      <formula1>"donderdag,"</formula1>
    </dataValidation>
    <dataValidation type="list" allowBlank="1" showInputMessage="1" showErrorMessage="1" sqref="C46 G46" xr:uid="{00000000-0002-0000-2400-00000A000000}">
      <formula1>"vrijdag,"</formula1>
    </dataValidation>
    <dataValidation type="list" allowBlank="1" showInputMessage="1" showErrorMessage="1" promptTitle="EMT - Brus" prompt="kies uit:_x000a_1 = zeer goed = A+_x000a_2 = goed = A_x000a_3 = gemiddeld = C+B_x000a_4 = laag gemiddeld = D+_x000a_5 = beneden gemiddeld = D-_x000a_6 = zwak = E+ (dyslexie?)_x000a_7 = zeer zwak = E- (dyslexie?)" sqref="J5:J40" xr:uid="{00000000-0002-0000-2400-00000B000000}">
      <formula1>"1,2,3,4,5,6,7,"</formula1>
    </dataValidation>
  </dataValidations>
  <pageMargins left="0.26" right="0.14000000000000001" top="0.82" bottom="0.33" header="0.33" footer="0.21"/>
  <pageSetup paperSize="9" scale="67" orientation="portrait" r:id="rId1"/>
  <headerFooter alignWithMargins="0">
    <oddHeader>&amp;C&amp;"Arial,Vet"&amp;16&amp;A</oddHeader>
    <oddFooter>&amp;R© www.meesterharrie.nl</oddFooter>
  </headerFooter>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CCFF"/>
    <pageSetUpPr fitToPage="1"/>
  </sheetPr>
  <dimension ref="A1:X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430</v>
      </c>
      <c r="D1" s="1177"/>
      <c r="E1" s="1177"/>
      <c r="F1" s="1177"/>
      <c r="G1" s="1177"/>
      <c r="H1" s="1177"/>
      <c r="I1" s="1177"/>
      <c r="J1" s="1177"/>
      <c r="K1" s="1233" t="str">
        <f>BEGINBLAD!$I$2</f>
        <v>groep 6</v>
      </c>
      <c r="L1" s="1233"/>
      <c r="M1" s="1233"/>
      <c r="N1" s="1233"/>
      <c r="O1" s="1233"/>
      <c r="P1" s="173"/>
      <c r="X1" s="50"/>
    </row>
    <row r="2" spans="1:24" ht="24" customHeight="1" x14ac:dyDescent="0.25">
      <c r="C2" s="1178" t="str">
        <f>BEGINBLAD!$N$2</f>
        <v>aug.</v>
      </c>
      <c r="D2" s="1178"/>
      <c r="E2" s="175"/>
      <c r="F2" s="412" t="str">
        <f>BEGINBLAD!$O$2</f>
        <v>apr.</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405</v>
      </c>
      <c r="H4" s="61" t="s">
        <v>431</v>
      </c>
      <c r="I4" s="62" t="s">
        <v>407</v>
      </c>
      <c r="J4" s="170"/>
      <c r="K4" s="60" t="s">
        <v>405</v>
      </c>
      <c r="L4" s="64" t="s">
        <v>432</v>
      </c>
      <c r="M4" s="62" t="s">
        <v>407</v>
      </c>
      <c r="N4" s="170"/>
      <c r="O4" s="54"/>
    </row>
    <row r="5" spans="1:24" ht="19.5" customHeight="1" x14ac:dyDescent="0.25">
      <c r="B5" s="1164" t="s">
        <v>62</v>
      </c>
      <c r="C5" s="66" t="s">
        <v>273</v>
      </c>
      <c r="D5" s="67">
        <v>0</v>
      </c>
      <c r="E5" s="68">
        <v>1</v>
      </c>
      <c r="F5" s="120" t="str">
        <f>BEGINBLAD!C4</f>
        <v>leerling 1</v>
      </c>
      <c r="G5" s="70">
        <f>'NIVEAU WAARDE - vorig jaar'!F9</f>
        <v>4.5999999999999996</v>
      </c>
      <c r="H5" s="71">
        <f>'NIVEAU WAARDE - 1e toetsperiode'!F9</f>
        <v>4.3</v>
      </c>
      <c r="I5" s="72" t="str">
        <f>IF(H5=0,"",IF(H5&gt;4.5,"A-1+",IF(H5&gt;4.2,"A-1",IF(H5&gt;=4,"A-2",IF(H5&gt;3.4,"B-2",IF(H5&gt;=3,"B-3",IF(H5&gt;2.5,"C-3",IF(H5&gt;=2,"C-4",IF(H5&gt;1.6,"D-4",IF(H5&gt;=1,"D-5",IF(H5&gt;0.5,"E-5",IF(H5&gt;=0,"E-5-"))))))))))))</f>
        <v>A-1</v>
      </c>
      <c r="J5" s="171" t="str">
        <f>IF(H5=0,"",IF(G5-H5&gt;0.5,"!",IF(H5-G5&gt;0.5,"*",IF(H5-G5&lt;=0.5,""))))</f>
        <v/>
      </c>
      <c r="K5" s="90"/>
      <c r="L5" s="71"/>
      <c r="M5" s="72" t="str">
        <f>IF(L5=0,"",IF(L5&gt;4.5,"A-1+",IF(L5&gt;4.2,"A-1",IF(L5&gt;=4,"A-2",IF(L5&gt;3.4,"B-2",IF(L5&gt;=3,"B-3",IF(L5&gt;2.5,"C-3",IF(L5&gt;=2,"C-4",IF(L5&gt;1.6,"D-4",IF(L5&gt;=1,"D-5",IF(L5&gt;0.5,"E-5",IF(L5&gt;=0,"E-5-"))))))))))))</f>
        <v/>
      </c>
      <c r="N5" s="171" t="str">
        <f>IF(L5=0,"",IF(K5-L5&gt;0.5,"!",IF(L5-K5&gt;0.5,"*",IF(L5-K5&lt;=0.5,""))))</f>
        <v/>
      </c>
      <c r="O5" s="75"/>
    </row>
    <row r="6" spans="1:24" ht="19.5" customHeight="1" x14ac:dyDescent="0.25">
      <c r="B6" s="1164"/>
      <c r="C6" s="76" t="s">
        <v>274</v>
      </c>
      <c r="D6" s="67">
        <v>0</v>
      </c>
      <c r="E6" s="68">
        <v>2</v>
      </c>
      <c r="F6" s="69" t="str">
        <f>BEGINBLAD!C5</f>
        <v>leerling 2</v>
      </c>
      <c r="G6" s="70">
        <f>'NIVEAU WAARDE - vorig jaar'!F10</f>
        <v>5</v>
      </c>
      <c r="H6" s="71">
        <f>'NIVEAU WAARDE - 1e toetsperiode'!F10</f>
        <v>4</v>
      </c>
      <c r="I6" s="72" t="str">
        <f t="shared" ref="I6:I40" si="0">IF(H6=0,"",IF(H6&gt;4.5,"A-1+",IF(H6&gt;4.2,"A-1",IF(H6&gt;=4,"A-2",IF(H6&gt;3.4,"B-2",IF(H6&gt;=3,"B-3",IF(H6&gt;2.5,"C-3",IF(H6&gt;=2,"C-4",IF(H6&gt;1.6,"D-4",IF(H6&gt;=1,"D-5",IF(H6&gt;0.5,"E-5",IF(H6&gt;=0,"E-5-"))))))))))))</f>
        <v>A-2</v>
      </c>
      <c r="J6" s="171" t="str">
        <f t="shared" ref="J6:J40" si="1">IF(H6=0,"",IF(G6-H6&gt;0.5,"!",IF(H6-G6&gt;0.5,"*",IF(H6-G6&lt;=0.5,""))))</f>
        <v>!</v>
      </c>
      <c r="K6" s="90"/>
      <c r="L6" s="71"/>
      <c r="M6" s="72" t="str">
        <f t="shared" ref="M6:M40" si="2">IF(L6=0,"",IF(L6&gt;4.5,"A-1+",IF(L6&gt;4.2,"A-1",IF(L6&gt;=4,"A-2",IF(L6&gt;3.4,"B-2",IF(L6&gt;=3,"B-3",IF(L6&gt;2.5,"C-3",IF(L6&gt;=2,"C-4",IF(L6&gt;1.6,"D-4",IF(L6&gt;=1,"D-5",IF(L6&gt;0.5,"E-5",IF(L6&gt;=0,"E-5-"))))))))))))</f>
        <v/>
      </c>
      <c r="N6" s="171" t="str">
        <f>IF(L6=0,"",IF(K6-L6&gt;0.5,"!",IF(L6-K6&gt;0.5,"*",IF(L6-K6&lt;=0.5,""))))</f>
        <v/>
      </c>
      <c r="O6" s="75"/>
      <c r="R6" s="106"/>
      <c r="S6" s="106"/>
      <c r="T6" s="106"/>
      <c r="U6" s="106"/>
      <c r="V6" s="106"/>
    </row>
    <row r="7" spans="1:24" ht="19.5" customHeight="1" x14ac:dyDescent="0.25">
      <c r="A7" s="77"/>
      <c r="B7" s="257"/>
      <c r="C7" s="259"/>
      <c r="D7" s="67">
        <v>0</v>
      </c>
      <c r="E7" s="68">
        <v>3</v>
      </c>
      <c r="F7" s="69" t="str">
        <f>BEGINBLAD!C6</f>
        <v>leerling 3</v>
      </c>
      <c r="G7" s="70">
        <f>'NIVEAU WAARDE - vorig jaar'!F11</f>
        <v>3.2</v>
      </c>
      <c r="H7" s="71">
        <f>'NIVEAU WAARDE - 1e toetsperiode'!F11</f>
        <v>3.7</v>
      </c>
      <c r="I7" s="72" t="str">
        <f t="shared" si="0"/>
        <v>B-2</v>
      </c>
      <c r="J7" s="171" t="str">
        <f t="shared" si="1"/>
        <v/>
      </c>
      <c r="K7" s="90"/>
      <c r="L7" s="71"/>
      <c r="M7" s="72" t="str">
        <f t="shared" si="2"/>
        <v/>
      </c>
      <c r="N7" s="171" t="str">
        <f t="shared" ref="N7:N40" si="3">IF(L7=0,"",IF(K7-L7&gt;0.5,"!",IF(L7-K7&gt;0.5,"*",IF(L7-K7&lt;=0.5,""))))</f>
        <v/>
      </c>
      <c r="O7" s="75"/>
      <c r="R7" s="107"/>
      <c r="S7" s="107"/>
      <c r="T7" s="107"/>
      <c r="U7" s="107"/>
      <c r="V7" s="107"/>
    </row>
    <row r="8" spans="1:24" ht="19.5" customHeight="1" x14ac:dyDescent="0.25">
      <c r="A8" s="77"/>
      <c r="B8" s="257"/>
      <c r="C8" s="259"/>
      <c r="D8" s="80">
        <v>0</v>
      </c>
      <c r="E8" s="68">
        <v>4</v>
      </c>
      <c r="F8" s="69" t="str">
        <f>BEGINBLAD!C7</f>
        <v>leerling 4</v>
      </c>
      <c r="G8" s="70">
        <f>'NIVEAU WAARDE - vorig jaar'!F12</f>
        <v>4.4000000000000004</v>
      </c>
      <c r="H8" s="71">
        <f>'NIVEAU WAARDE - 1e toetsperiode'!F12</f>
        <v>4.3</v>
      </c>
      <c r="I8" s="72" t="str">
        <f t="shared" si="0"/>
        <v>A-1</v>
      </c>
      <c r="J8" s="171" t="str">
        <f t="shared" si="1"/>
        <v/>
      </c>
      <c r="K8" s="90"/>
      <c r="L8" s="71"/>
      <c r="M8" s="72" t="str">
        <f t="shared" si="2"/>
        <v/>
      </c>
      <c r="N8" s="171" t="str">
        <f t="shared" si="3"/>
        <v/>
      </c>
      <c r="O8" s="82"/>
      <c r="R8" s="107"/>
      <c r="S8" s="107"/>
      <c r="T8" s="107"/>
      <c r="U8" s="107"/>
      <c r="V8" s="107"/>
    </row>
    <row r="9" spans="1:24" ht="19.5" customHeight="1" x14ac:dyDescent="0.25">
      <c r="A9" s="77"/>
      <c r="B9" s="257"/>
      <c r="C9" s="259"/>
      <c r="D9" s="83">
        <v>0</v>
      </c>
      <c r="E9" s="68">
        <v>5</v>
      </c>
      <c r="F9" s="69" t="str">
        <f>BEGINBLAD!C8</f>
        <v>leerling 5</v>
      </c>
      <c r="G9" s="70">
        <f>'NIVEAU WAARDE - vorig jaar'!F13</f>
        <v>4.4000000000000004</v>
      </c>
      <c r="H9" s="71">
        <f>'NIVEAU WAARDE - 1e toetsperiode'!F13</f>
        <v>4.7</v>
      </c>
      <c r="I9" s="72" t="str">
        <f t="shared" si="0"/>
        <v>A-1+</v>
      </c>
      <c r="J9" s="171" t="str">
        <f t="shared" si="1"/>
        <v/>
      </c>
      <c r="K9" s="90"/>
      <c r="L9" s="71"/>
      <c r="M9" s="72" t="str">
        <f t="shared" si="2"/>
        <v/>
      </c>
      <c r="N9" s="171" t="str">
        <f t="shared" si="3"/>
        <v/>
      </c>
      <c r="O9" s="84"/>
      <c r="R9" s="107"/>
      <c r="S9" s="107"/>
      <c r="T9" s="107"/>
      <c r="U9" s="107"/>
      <c r="V9" s="107"/>
    </row>
    <row r="10" spans="1:24" ht="19.5" customHeight="1" x14ac:dyDescent="0.25">
      <c r="A10" s="77"/>
      <c r="B10" s="257"/>
      <c r="C10" s="259"/>
      <c r="D10" s="85">
        <v>0</v>
      </c>
      <c r="E10" s="68">
        <v>6</v>
      </c>
      <c r="F10" s="69" t="str">
        <f>BEGINBLAD!C9</f>
        <v>leerling 6</v>
      </c>
      <c r="G10" s="70">
        <f>'NIVEAU WAARDE - vorig jaar'!F14</f>
        <v>4.4000000000000004</v>
      </c>
      <c r="H10" s="71">
        <f>'NIVEAU WAARDE - 1e toetsperiode'!F14</f>
        <v>1.9</v>
      </c>
      <c r="I10" s="72" t="str">
        <f t="shared" si="0"/>
        <v>D-4</v>
      </c>
      <c r="J10" s="171" t="str">
        <f t="shared" si="1"/>
        <v>!</v>
      </c>
      <c r="K10" s="90"/>
      <c r="L10" s="71"/>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t="str">
        <f>BEGINBLAD!C10</f>
        <v>leerling 7</v>
      </c>
      <c r="G11" s="70">
        <f>'NIVEAU WAARDE - vorig jaar'!F15</f>
        <v>1.9</v>
      </c>
      <c r="H11" s="71">
        <f>'NIVEAU WAARDE - 1e toetsperiode'!F15</f>
        <v>1.1000000000000001</v>
      </c>
      <c r="I11" s="72" t="str">
        <f t="shared" si="0"/>
        <v>D-5</v>
      </c>
      <c r="J11" s="171" t="str">
        <f t="shared" si="1"/>
        <v>!</v>
      </c>
      <c r="K11" s="90"/>
      <c r="L11" s="71"/>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t="str">
        <f>BEGINBLAD!C11</f>
        <v>leerling 8</v>
      </c>
      <c r="G12" s="70">
        <f>'NIVEAU WAARDE - vorig jaar'!F16</f>
        <v>2.9</v>
      </c>
      <c r="H12" s="71">
        <f>'NIVEAU WAARDE - 1e toetsperiode'!F16</f>
        <v>3.4</v>
      </c>
      <c r="I12" s="72" t="str">
        <f t="shared" si="0"/>
        <v>B-3</v>
      </c>
      <c r="J12" s="171" t="str">
        <f t="shared" si="1"/>
        <v/>
      </c>
      <c r="K12" s="90"/>
      <c r="L12" s="71"/>
      <c r="M12" s="72" t="str">
        <f t="shared" si="2"/>
        <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vorig jaar'!F17</f>
        <v>0</v>
      </c>
      <c r="H13" s="71">
        <f>'NIVEAU WAARDE - 1e toetsperiode'!F17</f>
        <v>0</v>
      </c>
      <c r="I13" s="72" t="str">
        <f t="shared" si="0"/>
        <v/>
      </c>
      <c r="J13" s="171" t="str">
        <f t="shared" si="1"/>
        <v/>
      </c>
      <c r="K13" s="90"/>
      <c r="L13" s="71"/>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vorig jaar'!F18</f>
        <v>0</v>
      </c>
      <c r="H14" s="71">
        <f>'NIVEAU WAARDE - 1e toetsperiode'!F18</f>
        <v>0</v>
      </c>
      <c r="I14" s="72" t="str">
        <f t="shared" si="0"/>
        <v/>
      </c>
      <c r="J14" s="171" t="str">
        <f t="shared" si="1"/>
        <v/>
      </c>
      <c r="K14" s="90"/>
      <c r="L14" s="71"/>
      <c r="M14" s="72" t="str">
        <f t="shared" si="2"/>
        <v/>
      </c>
      <c r="N14" s="171" t="str">
        <f t="shared" si="3"/>
        <v/>
      </c>
      <c r="O14" s="82"/>
      <c r="P14" s="54" t="s">
        <v>415</v>
      </c>
      <c r="R14" s="108"/>
      <c r="S14" s="108"/>
      <c r="T14" s="108"/>
      <c r="U14" s="108"/>
      <c r="V14" s="108"/>
    </row>
    <row r="15" spans="1:24" ht="19.5" customHeight="1" x14ac:dyDescent="0.25">
      <c r="A15" s="77"/>
      <c r="B15" s="257"/>
      <c r="C15" s="259"/>
      <c r="D15" s="67">
        <v>0</v>
      </c>
      <c r="E15" s="68">
        <v>11</v>
      </c>
      <c r="F15" s="69">
        <f>BEGINBLAD!C14</f>
        <v>0</v>
      </c>
      <c r="G15" s="70">
        <f>'NIVEAU WAARDE - vorig jaar'!F19</f>
        <v>0</v>
      </c>
      <c r="H15" s="71">
        <f>'NIVEAU WAARDE - 1e toetsperiode'!F19</f>
        <v>0</v>
      </c>
      <c r="I15" s="72" t="str">
        <f t="shared" si="0"/>
        <v/>
      </c>
      <c r="J15" s="171" t="str">
        <f t="shared" si="1"/>
        <v/>
      </c>
      <c r="K15" s="90"/>
      <c r="L15" s="71"/>
      <c r="M15" s="72" t="str">
        <f t="shared" si="2"/>
        <v/>
      </c>
      <c r="N15" s="171" t="str">
        <f t="shared" si="3"/>
        <v/>
      </c>
      <c r="O15" s="1229" t="s">
        <v>208</v>
      </c>
      <c r="P15" s="1231">
        <f>'INTENSIEF - 1e periode'!F6</f>
        <v>0</v>
      </c>
      <c r="R15" s="108"/>
      <c r="S15" s="108"/>
      <c r="T15" s="108"/>
      <c r="U15" s="108"/>
      <c r="V15" s="108"/>
    </row>
    <row r="16" spans="1:24" ht="19.5" customHeight="1" x14ac:dyDescent="0.25">
      <c r="A16" s="77"/>
      <c r="B16" s="78"/>
      <c r="C16" s="868"/>
      <c r="D16" s="67">
        <v>0</v>
      </c>
      <c r="E16" s="68">
        <v>12</v>
      </c>
      <c r="F16" s="69">
        <f>BEGINBLAD!C15</f>
        <v>0</v>
      </c>
      <c r="G16" s="70">
        <f>'NIVEAU WAARDE - vorig jaar'!F20</f>
        <v>0</v>
      </c>
      <c r="H16" s="71">
        <f>'NIVEAU WAARDE - 1e toetsperiode'!F20</f>
        <v>0</v>
      </c>
      <c r="I16" s="72" t="str">
        <f t="shared" si="0"/>
        <v/>
      </c>
      <c r="J16" s="171" t="str">
        <f t="shared" si="1"/>
        <v/>
      </c>
      <c r="K16" s="90"/>
      <c r="L16" s="71"/>
      <c r="M16" s="72" t="str">
        <f t="shared" si="2"/>
        <v/>
      </c>
      <c r="N16" s="171" t="str">
        <f t="shared" si="3"/>
        <v/>
      </c>
      <c r="O16" s="1230"/>
      <c r="P16" s="1232"/>
      <c r="R16" s="108"/>
      <c r="S16" s="108"/>
      <c r="T16" s="108"/>
      <c r="U16" s="108"/>
      <c r="V16" s="108"/>
    </row>
    <row r="17" spans="1:24" ht="19.5" customHeight="1" x14ac:dyDescent="0.25">
      <c r="A17" s="77"/>
      <c r="B17" s="78"/>
      <c r="C17" s="868"/>
      <c r="D17" s="80">
        <v>0</v>
      </c>
      <c r="E17" s="68">
        <v>13</v>
      </c>
      <c r="F17" s="69">
        <f>BEGINBLAD!C16</f>
        <v>0</v>
      </c>
      <c r="G17" s="70">
        <f>'NIVEAU WAARDE - vorig jaar'!F21</f>
        <v>0</v>
      </c>
      <c r="H17" s="71">
        <f>'NIVEAU WAARDE - 1e toetsperiode'!F21</f>
        <v>0</v>
      </c>
      <c r="I17" s="72" t="str">
        <f t="shared" si="0"/>
        <v/>
      </c>
      <c r="J17" s="171" t="str">
        <f t="shared" si="1"/>
        <v/>
      </c>
      <c r="K17" s="90"/>
      <c r="L17" s="71"/>
      <c r="M17" s="72" t="str">
        <f t="shared" si="2"/>
        <v/>
      </c>
      <c r="N17" s="171" t="str">
        <f t="shared" si="3"/>
        <v/>
      </c>
      <c r="O17" s="1260" t="s">
        <v>210</v>
      </c>
      <c r="P17" s="1258" t="str">
        <f>'INTENSIEF - 1e periode'!F8</f>
        <v>M valt uit op begrijpend lezen en zullen we tijdens de lessen proberen meer te betrekken en actief te laten deelnemen. We vermoeden dat M aan haar 'max' zit qua woordenschat. Het werk van M wordt geminimaliseerd, als dat nodig mocht zijn. Dit blijven we doen.</v>
      </c>
    </row>
    <row r="18" spans="1:24" ht="19.5" customHeight="1" x14ac:dyDescent="0.25">
      <c r="A18" s="77"/>
      <c r="B18" s="78"/>
      <c r="C18" s="868"/>
      <c r="D18" s="85">
        <v>0</v>
      </c>
      <c r="E18" s="68">
        <v>14</v>
      </c>
      <c r="F18" s="69">
        <f>BEGINBLAD!C17</f>
        <v>0</v>
      </c>
      <c r="G18" s="70">
        <f>'NIVEAU WAARDE - vorig jaar'!F22</f>
        <v>0</v>
      </c>
      <c r="H18" s="71">
        <f>'NIVEAU WAARDE - 1e toetsperiode'!F22</f>
        <v>0</v>
      </c>
      <c r="I18" s="72" t="str">
        <f t="shared" si="0"/>
        <v/>
      </c>
      <c r="J18" s="171" t="str">
        <f t="shared" si="1"/>
        <v/>
      </c>
      <c r="K18" s="90"/>
      <c r="L18" s="71"/>
      <c r="M18" s="72" t="str">
        <f t="shared" si="2"/>
        <v/>
      </c>
      <c r="N18" s="171" t="str">
        <f t="shared" si="3"/>
        <v/>
      </c>
      <c r="O18" s="1260"/>
      <c r="P18" s="1258"/>
    </row>
    <row r="19" spans="1:24" ht="19.5" customHeight="1" x14ac:dyDescent="0.3">
      <c r="D19" s="85">
        <v>0</v>
      </c>
      <c r="E19" s="68">
        <v>15</v>
      </c>
      <c r="F19" s="69">
        <f>BEGINBLAD!C18</f>
        <v>0</v>
      </c>
      <c r="G19" s="70">
        <f>'NIVEAU WAARDE - vorig jaar'!F23</f>
        <v>0</v>
      </c>
      <c r="H19" s="71">
        <f>'NIVEAU WAARDE - 1e toetsperiode'!F23</f>
        <v>0</v>
      </c>
      <c r="I19" s="72" t="str">
        <f t="shared" si="0"/>
        <v/>
      </c>
      <c r="J19" s="171" t="str">
        <f t="shared" si="1"/>
        <v/>
      </c>
      <c r="K19" s="87"/>
      <c r="L19" s="71"/>
      <c r="M19" s="72" t="str">
        <f t="shared" si="2"/>
        <v/>
      </c>
      <c r="N19" s="171" t="str">
        <f t="shared" si="3"/>
        <v/>
      </c>
      <c r="O19" s="1260"/>
      <c r="P19" s="1258"/>
      <c r="U19" s="88"/>
      <c r="V19" s="88"/>
      <c r="W19" s="88"/>
      <c r="X19" s="88"/>
    </row>
    <row r="20" spans="1:24" ht="19.5" customHeight="1" x14ac:dyDescent="0.25">
      <c r="D20" s="85">
        <v>0</v>
      </c>
      <c r="E20" s="68">
        <v>16</v>
      </c>
      <c r="F20" s="69">
        <f>BEGINBLAD!C19</f>
        <v>0</v>
      </c>
      <c r="G20" s="70">
        <f>'NIVEAU WAARDE - vorig jaar'!F24</f>
        <v>0</v>
      </c>
      <c r="H20" s="71">
        <f>'NIVEAU WAARDE - 1e toetsperiode'!F24</f>
        <v>0</v>
      </c>
      <c r="I20" s="72" t="str">
        <f t="shared" si="0"/>
        <v/>
      </c>
      <c r="J20" s="171" t="str">
        <f t="shared" si="1"/>
        <v/>
      </c>
      <c r="K20" s="87"/>
      <c r="L20" s="71"/>
      <c r="M20" s="72" t="str">
        <f t="shared" si="2"/>
        <v/>
      </c>
      <c r="N20" s="171" t="str">
        <f t="shared" si="3"/>
        <v/>
      </c>
      <c r="O20" s="1260"/>
      <c r="P20" s="1258"/>
    </row>
    <row r="21" spans="1:24" ht="19.5" customHeight="1" x14ac:dyDescent="0.25">
      <c r="D21" s="85">
        <v>0</v>
      </c>
      <c r="E21" s="68">
        <v>17</v>
      </c>
      <c r="F21" s="69">
        <f>BEGINBLAD!C20</f>
        <v>0</v>
      </c>
      <c r="G21" s="70">
        <f>'NIVEAU WAARDE - vorig jaar'!F25</f>
        <v>0</v>
      </c>
      <c r="H21" s="71">
        <f>'NIVEAU WAARDE - 1e toetsperiode'!F25</f>
        <v>0</v>
      </c>
      <c r="I21" s="72" t="str">
        <f t="shared" si="0"/>
        <v/>
      </c>
      <c r="J21" s="171" t="str">
        <f t="shared" si="1"/>
        <v/>
      </c>
      <c r="K21" s="87"/>
      <c r="L21" s="71"/>
      <c r="M21" s="72" t="str">
        <f t="shared" si="2"/>
        <v/>
      </c>
      <c r="N21" s="171" t="str">
        <f t="shared" si="3"/>
        <v/>
      </c>
      <c r="O21" s="1260"/>
      <c r="P21" s="1258"/>
    </row>
    <row r="22" spans="1:24" ht="19.5" customHeight="1" x14ac:dyDescent="0.25">
      <c r="D22" s="85">
        <v>0</v>
      </c>
      <c r="E22" s="68">
        <v>18</v>
      </c>
      <c r="F22" s="69">
        <f>BEGINBLAD!C21</f>
        <v>0</v>
      </c>
      <c r="G22" s="70">
        <f>'NIVEAU WAARDE - vorig jaar'!F26</f>
        <v>0</v>
      </c>
      <c r="H22" s="71">
        <f>'NIVEAU WAARDE - 1e toetsperiode'!F26</f>
        <v>0</v>
      </c>
      <c r="I22" s="72" t="str">
        <f t="shared" si="0"/>
        <v/>
      </c>
      <c r="J22" s="171" t="str">
        <f t="shared" si="1"/>
        <v/>
      </c>
      <c r="K22" s="87"/>
      <c r="L22" s="71"/>
      <c r="M22" s="72" t="str">
        <f t="shared" si="2"/>
        <v/>
      </c>
      <c r="N22" s="171" t="str">
        <f t="shared" si="3"/>
        <v/>
      </c>
      <c r="O22" s="1260"/>
      <c r="P22" s="1258"/>
    </row>
    <row r="23" spans="1:24" ht="19.5" customHeight="1" x14ac:dyDescent="0.25">
      <c r="B23" s="53"/>
      <c r="C23" s="53"/>
      <c r="D23" s="85">
        <v>0</v>
      </c>
      <c r="E23" s="68">
        <v>19</v>
      </c>
      <c r="F23" s="69">
        <f>BEGINBLAD!C22</f>
        <v>0</v>
      </c>
      <c r="G23" s="70">
        <f>'NIVEAU WAARDE - vorig jaar'!F27</f>
        <v>0</v>
      </c>
      <c r="H23" s="71">
        <f>'NIVEAU WAARDE - 1e toetsperiode'!F27</f>
        <v>0</v>
      </c>
      <c r="I23" s="72" t="str">
        <f t="shared" si="0"/>
        <v/>
      </c>
      <c r="J23" s="171" t="str">
        <f t="shared" si="1"/>
        <v/>
      </c>
      <c r="K23" s="87"/>
      <c r="L23" s="71"/>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vorig jaar'!F28</f>
        <v>0</v>
      </c>
      <c r="H24" s="71">
        <f>'NIVEAU WAARDE - 1e toetsperiode'!F28</f>
        <v>0</v>
      </c>
      <c r="I24" s="72" t="str">
        <f t="shared" si="0"/>
        <v/>
      </c>
      <c r="J24" s="171" t="str">
        <f t="shared" si="1"/>
        <v/>
      </c>
      <c r="K24" s="90"/>
      <c r="L24" s="71"/>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vorig jaar'!F29</f>
        <v>0</v>
      </c>
      <c r="H25" s="71">
        <f>'NIVEAU WAARDE - 1e toetsperiode'!F29</f>
        <v>0</v>
      </c>
      <c r="I25" s="72" t="str">
        <f t="shared" si="0"/>
        <v/>
      </c>
      <c r="J25" s="171" t="str">
        <f t="shared" si="1"/>
        <v/>
      </c>
      <c r="K25" s="90"/>
      <c r="L25" s="71"/>
      <c r="M25" s="72" t="str">
        <f t="shared" si="2"/>
        <v/>
      </c>
      <c r="N25" s="171" t="str">
        <f t="shared" si="3"/>
        <v/>
      </c>
      <c r="O25" s="82"/>
      <c r="P25" s="54" t="s">
        <v>416</v>
      </c>
    </row>
    <row r="26" spans="1:24" ht="19.5" customHeight="1" x14ac:dyDescent="0.25">
      <c r="D26" s="85">
        <v>0</v>
      </c>
      <c r="E26" s="68">
        <v>22</v>
      </c>
      <c r="F26" s="69">
        <f>BEGINBLAD!C25</f>
        <v>0</v>
      </c>
      <c r="G26" s="70">
        <f>'NIVEAU WAARDE - vorig jaar'!F30</f>
        <v>0</v>
      </c>
      <c r="H26" s="71">
        <f>'NIVEAU WAARDE - 1e toetsperiode'!F30</f>
        <v>0</v>
      </c>
      <c r="I26" s="72" t="str">
        <f t="shared" si="0"/>
        <v/>
      </c>
      <c r="J26" s="171" t="str">
        <f t="shared" si="1"/>
        <v/>
      </c>
      <c r="K26" s="90"/>
      <c r="L26" s="71"/>
      <c r="M26" s="72" t="str">
        <f t="shared" si="2"/>
        <v/>
      </c>
      <c r="N26" s="171" t="str">
        <f t="shared" si="3"/>
        <v/>
      </c>
      <c r="O26" s="1229" t="s">
        <v>208</v>
      </c>
      <c r="P26" s="1231" t="str">
        <f>'BASISAANPAK - 1e periode'!F6</f>
        <v>Niveau van begrijpend lezen: middenmoot meer A-B scores (laatstse Boom-toets: Groep 6 : 2xA, Groep 7: 1x A, Groep 8: 1x A)
motivatie bevorderen door korte en aansprekende teksten</v>
      </c>
    </row>
    <row r="27" spans="1:24" s="92" customFormat="1" ht="19.5" customHeight="1" x14ac:dyDescent="0.55000000000000004">
      <c r="A27" s="51"/>
      <c r="B27" s="1164" t="s">
        <v>62</v>
      </c>
      <c r="C27" s="66" t="s">
        <v>275</v>
      </c>
      <c r="D27" s="80">
        <v>0</v>
      </c>
      <c r="E27" s="68">
        <v>23</v>
      </c>
      <c r="F27" s="69">
        <f>BEGINBLAD!C26</f>
        <v>0</v>
      </c>
      <c r="G27" s="70">
        <f>'NIVEAU WAARDE - vorig jaar'!F31</f>
        <v>0</v>
      </c>
      <c r="H27" s="71">
        <f>'NIVEAU WAARDE - 1e toetsperiode'!F31</f>
        <v>0</v>
      </c>
      <c r="I27" s="72" t="str">
        <f t="shared" si="0"/>
        <v/>
      </c>
      <c r="J27" s="171" t="str">
        <f t="shared" si="1"/>
        <v/>
      </c>
      <c r="K27" s="90"/>
      <c r="L27" s="71"/>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vorig jaar'!F32</f>
        <v>0</v>
      </c>
      <c r="H28" s="71">
        <f>'NIVEAU WAARDE - 1e toetsperiode'!F32</f>
        <v>0</v>
      </c>
      <c r="I28" s="72" t="str">
        <f t="shared" si="0"/>
        <v/>
      </c>
      <c r="J28" s="171" t="str">
        <f t="shared" si="1"/>
        <v/>
      </c>
      <c r="K28" s="90"/>
      <c r="L28" s="71"/>
      <c r="M28" s="72" t="str">
        <f t="shared" si="2"/>
        <v/>
      </c>
      <c r="N28" s="171" t="str">
        <f t="shared" si="3"/>
        <v/>
      </c>
      <c r="O28" s="1230" t="s">
        <v>210</v>
      </c>
      <c r="P28" s="1232" t="str">
        <f>'BASISAANPAK - 1e periode'!F8</f>
        <v>groep 6/7/8: Kidsweek twee keer in de week, dinsdag en vrijdag       
We doen deze lessen digitaal. In de weken dat we de kidsweek  niet kunnen gebruiken, maken we lessen van  Junior Einstein op de computer. Ook zetten we Leeskrakers 1 en 2 in.</v>
      </c>
      <c r="Q28" s="56"/>
      <c r="R28" s="93"/>
      <c r="S28" s="54"/>
      <c r="T28" s="54"/>
      <c r="U28" s="54"/>
      <c r="V28" s="54"/>
      <c r="W28" s="54"/>
    </row>
    <row r="29" spans="1:24" ht="19.5" customHeight="1" x14ac:dyDescent="0.25">
      <c r="A29" s="77"/>
      <c r="B29" s="257"/>
      <c r="C29" s="259"/>
      <c r="D29" s="67">
        <v>0</v>
      </c>
      <c r="E29" s="68">
        <v>25</v>
      </c>
      <c r="F29" s="69">
        <f>BEGINBLAD!C28</f>
        <v>0</v>
      </c>
      <c r="G29" s="70">
        <f>'NIVEAU WAARDE - vorig jaar'!F33</f>
        <v>0</v>
      </c>
      <c r="H29" s="71">
        <f>'NIVEAU WAARDE - 1e toetsperiode'!F33</f>
        <v>0</v>
      </c>
      <c r="I29" s="72" t="str">
        <f t="shared" si="0"/>
        <v/>
      </c>
      <c r="J29" s="171" t="str">
        <f t="shared" si="1"/>
        <v/>
      </c>
      <c r="K29" s="90"/>
      <c r="L29" s="71"/>
      <c r="M29" s="72" t="str">
        <f t="shared" si="2"/>
        <v/>
      </c>
      <c r="N29" s="171" t="str">
        <f t="shared" si="3"/>
        <v/>
      </c>
      <c r="O29" s="1230"/>
      <c r="P29" s="1232"/>
    </row>
    <row r="30" spans="1:24" ht="19.5" customHeight="1" x14ac:dyDescent="0.25">
      <c r="A30" s="77"/>
      <c r="B30" s="257"/>
      <c r="C30" s="259"/>
      <c r="D30" s="67">
        <v>0</v>
      </c>
      <c r="E30" s="68">
        <v>26</v>
      </c>
      <c r="F30" s="69">
        <f>BEGINBLAD!C29</f>
        <v>0</v>
      </c>
      <c r="G30" s="70">
        <f>'NIVEAU WAARDE - vorig jaar'!F34</f>
        <v>0</v>
      </c>
      <c r="H30" s="71">
        <f>'NIVEAU WAARDE - 1e toetsperiode'!F34</f>
        <v>0</v>
      </c>
      <c r="I30" s="72" t="str">
        <f t="shared" si="0"/>
        <v/>
      </c>
      <c r="J30" s="171" t="str">
        <f t="shared" si="1"/>
        <v/>
      </c>
      <c r="K30" s="90"/>
      <c r="L30" s="71"/>
      <c r="M30" s="72" t="str">
        <f t="shared" si="2"/>
        <v/>
      </c>
      <c r="N30" s="171" t="str">
        <f t="shared" si="3"/>
        <v/>
      </c>
      <c r="O30" s="1230"/>
      <c r="P30" s="1232"/>
    </row>
    <row r="31" spans="1:24" ht="19.5" customHeight="1" x14ac:dyDescent="0.25">
      <c r="A31" s="77"/>
      <c r="B31" s="257"/>
      <c r="C31" s="259"/>
      <c r="D31" s="67">
        <v>0</v>
      </c>
      <c r="E31" s="68">
        <v>27</v>
      </c>
      <c r="F31" s="69">
        <f>BEGINBLAD!C30</f>
        <v>0</v>
      </c>
      <c r="G31" s="70">
        <f>'NIVEAU WAARDE - vorig jaar'!F35</f>
        <v>0</v>
      </c>
      <c r="H31" s="71">
        <f>'NIVEAU WAARDE - 1e toetsperiode'!F35</f>
        <v>0</v>
      </c>
      <c r="I31" s="72" t="str">
        <f t="shared" si="0"/>
        <v/>
      </c>
      <c r="J31" s="171" t="str">
        <f t="shared" si="1"/>
        <v/>
      </c>
      <c r="K31" s="90"/>
      <c r="L31" s="71"/>
      <c r="M31" s="72" t="str">
        <f t="shared" si="2"/>
        <v/>
      </c>
      <c r="N31" s="171" t="str">
        <f t="shared" si="3"/>
        <v/>
      </c>
      <c r="O31" s="1230"/>
      <c r="P31" s="1232"/>
    </row>
    <row r="32" spans="1:24" ht="19.5" customHeight="1" x14ac:dyDescent="0.25">
      <c r="A32" s="77"/>
      <c r="B32" s="257"/>
      <c r="C32" s="259"/>
      <c r="D32" s="67">
        <v>0</v>
      </c>
      <c r="E32" s="68">
        <v>28</v>
      </c>
      <c r="F32" s="69">
        <f>BEGINBLAD!C31</f>
        <v>0</v>
      </c>
      <c r="G32" s="70">
        <f>'NIVEAU WAARDE - vorig jaar'!F36</f>
        <v>0</v>
      </c>
      <c r="H32" s="71">
        <f>'NIVEAU WAARDE - 1e toetsperiode'!F36</f>
        <v>0</v>
      </c>
      <c r="I32" s="72" t="str">
        <f t="shared" si="0"/>
        <v/>
      </c>
      <c r="J32" s="171" t="str">
        <f t="shared" si="1"/>
        <v/>
      </c>
      <c r="K32" s="90"/>
      <c r="L32" s="71"/>
      <c r="M32" s="72" t="str">
        <f t="shared" si="2"/>
        <v/>
      </c>
      <c r="N32" s="171" t="str">
        <f t="shared" si="3"/>
        <v/>
      </c>
      <c r="O32" s="1230"/>
      <c r="P32" s="1232"/>
    </row>
    <row r="33" spans="1:23" ht="19.5" customHeight="1" x14ac:dyDescent="0.25">
      <c r="A33" s="77"/>
      <c r="B33" s="257"/>
      <c r="C33" s="259"/>
      <c r="D33" s="67">
        <v>0</v>
      </c>
      <c r="E33" s="68">
        <v>29</v>
      </c>
      <c r="F33" s="69">
        <f>BEGINBLAD!C32</f>
        <v>0</v>
      </c>
      <c r="G33" s="70">
        <f>'NIVEAU WAARDE - vorig jaar'!F37</f>
        <v>0</v>
      </c>
      <c r="H33" s="71">
        <f>'NIVEAU WAARDE - 1e toetsperiode'!F37</f>
        <v>0</v>
      </c>
      <c r="I33" s="72" t="str">
        <f t="shared" si="0"/>
        <v/>
      </c>
      <c r="J33" s="171" t="str">
        <f t="shared" si="1"/>
        <v/>
      </c>
      <c r="K33" s="90"/>
      <c r="L33" s="71"/>
      <c r="M33" s="72" t="str">
        <f t="shared" si="2"/>
        <v/>
      </c>
      <c r="N33" s="171" t="str">
        <f t="shared" si="3"/>
        <v/>
      </c>
      <c r="O33" s="1230"/>
      <c r="P33" s="1232"/>
    </row>
    <row r="34" spans="1:23" ht="19.5" customHeight="1" x14ac:dyDescent="0.25">
      <c r="A34" s="77"/>
      <c r="B34" s="257"/>
      <c r="C34" s="259"/>
      <c r="D34" s="67">
        <v>0</v>
      </c>
      <c r="E34" s="68">
        <v>30</v>
      </c>
      <c r="F34" s="69">
        <f>BEGINBLAD!C33</f>
        <v>0</v>
      </c>
      <c r="G34" s="70">
        <f>'NIVEAU WAARDE - vorig jaar'!F38</f>
        <v>0</v>
      </c>
      <c r="H34" s="71">
        <f>'NIVEAU WAARDE - 1e toetsperiode'!F38</f>
        <v>0</v>
      </c>
      <c r="I34" s="72" t="str">
        <f t="shared" si="0"/>
        <v/>
      </c>
      <c r="J34" s="171" t="str">
        <f t="shared" si="1"/>
        <v/>
      </c>
      <c r="K34" s="90"/>
      <c r="L34" s="71"/>
      <c r="M34" s="72" t="str">
        <f t="shared" si="2"/>
        <v/>
      </c>
      <c r="N34" s="171" t="str">
        <f t="shared" si="3"/>
        <v/>
      </c>
      <c r="O34" s="1230"/>
      <c r="P34" s="1232"/>
    </row>
    <row r="35" spans="1:23" ht="19.5" customHeight="1" thickBot="1" x14ac:dyDescent="0.3">
      <c r="A35" s="77"/>
      <c r="B35" s="257"/>
      <c r="C35" s="259"/>
      <c r="D35" s="67">
        <v>0</v>
      </c>
      <c r="E35" s="68">
        <v>31</v>
      </c>
      <c r="F35" s="69">
        <f>BEGINBLAD!C34</f>
        <v>0</v>
      </c>
      <c r="G35" s="70">
        <f>'NIVEAU WAARDE - vorig jaar'!F39</f>
        <v>0</v>
      </c>
      <c r="H35" s="71">
        <f>'NIVEAU WAARDE - 1e toetsperiode'!F39</f>
        <v>0</v>
      </c>
      <c r="I35" s="72" t="str">
        <f t="shared" si="0"/>
        <v/>
      </c>
      <c r="J35" s="171" t="str">
        <f t="shared" si="1"/>
        <v/>
      </c>
      <c r="K35" s="90"/>
      <c r="L35" s="71"/>
      <c r="M35" s="72" t="str">
        <f t="shared" si="2"/>
        <v/>
      </c>
      <c r="N35" s="171" t="str">
        <f t="shared" si="3"/>
        <v/>
      </c>
      <c r="O35" s="1257"/>
      <c r="P35" s="1262"/>
    </row>
    <row r="36" spans="1:23" ht="19.5" customHeight="1" thickBot="1" x14ac:dyDescent="0.3">
      <c r="A36" s="77"/>
      <c r="B36" s="257"/>
      <c r="C36" s="259"/>
      <c r="D36" s="67">
        <v>0</v>
      </c>
      <c r="E36" s="68">
        <v>32</v>
      </c>
      <c r="F36" s="69">
        <f>BEGINBLAD!C35</f>
        <v>0</v>
      </c>
      <c r="G36" s="70">
        <f>'NIVEAU WAARDE - vorig jaar'!F40</f>
        <v>0</v>
      </c>
      <c r="H36" s="71">
        <f>'NIVEAU WAARDE - 1e toetsperiode'!F40</f>
        <v>0</v>
      </c>
      <c r="I36" s="72" t="str">
        <f t="shared" si="0"/>
        <v/>
      </c>
      <c r="J36" s="171" t="str">
        <f t="shared" si="1"/>
        <v/>
      </c>
      <c r="K36" s="90"/>
      <c r="L36" s="71"/>
      <c r="M36" s="72" t="str">
        <f t="shared" si="2"/>
        <v/>
      </c>
      <c r="N36" s="171" t="str">
        <f t="shared" si="3"/>
        <v/>
      </c>
      <c r="O36" s="82"/>
      <c r="P36" s="54" t="s">
        <v>417</v>
      </c>
    </row>
    <row r="37" spans="1:23" ht="19.5" customHeight="1" x14ac:dyDescent="0.25">
      <c r="A37" s="77"/>
      <c r="B37" s="257"/>
      <c r="C37" s="259"/>
      <c r="D37" s="67">
        <v>0</v>
      </c>
      <c r="E37" s="68">
        <v>33</v>
      </c>
      <c r="F37" s="69">
        <f>BEGINBLAD!C36</f>
        <v>0</v>
      </c>
      <c r="G37" s="70">
        <f>'NIVEAU WAARDE - vorig jaar'!F41</f>
        <v>0</v>
      </c>
      <c r="H37" s="71">
        <f>'NIVEAU WAARDE - 1e toetsperiode'!F41</f>
        <v>0</v>
      </c>
      <c r="I37" s="72" t="str">
        <f t="shared" si="0"/>
        <v/>
      </c>
      <c r="J37" s="171" t="str">
        <f t="shared" si="1"/>
        <v/>
      </c>
      <c r="K37" s="90"/>
      <c r="L37" s="71"/>
      <c r="M37" s="72" t="str">
        <f t="shared" si="2"/>
        <v/>
      </c>
      <c r="N37" s="171" t="str">
        <f t="shared" si="3"/>
        <v/>
      </c>
      <c r="O37" s="1229" t="s">
        <v>208</v>
      </c>
      <c r="P37" s="1231" t="str">
        <f>'VERRIJKT - 1e periode'!F6</f>
        <v xml:space="preserve"> - gemotiveerd blijven
 - eigen initiatief ontwikkelen = zelf verantwoordelijk zijn
 - leren plannen</v>
      </c>
    </row>
    <row r="38" spans="1:23" ht="19.5" customHeight="1" x14ac:dyDescent="0.25">
      <c r="A38" s="77"/>
      <c r="B38" s="78"/>
      <c r="C38" s="868"/>
      <c r="D38" s="67">
        <v>0</v>
      </c>
      <c r="E38" s="68">
        <v>34</v>
      </c>
      <c r="F38" s="69">
        <f>BEGINBLAD!C37</f>
        <v>0</v>
      </c>
      <c r="G38" s="70">
        <f>'NIVEAU WAARDE - vorig jaar'!F42</f>
        <v>0</v>
      </c>
      <c r="H38" s="71">
        <f>'NIVEAU WAARDE - 1e toetsperiode'!F42</f>
        <v>0</v>
      </c>
      <c r="I38" s="72" t="str">
        <f t="shared" si="0"/>
        <v/>
      </c>
      <c r="J38" s="171" t="str">
        <f t="shared" si="1"/>
        <v/>
      </c>
      <c r="K38" s="90"/>
      <c r="L38" s="71"/>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vorig jaar'!F43</f>
        <v>0</v>
      </c>
      <c r="H39" s="71">
        <f>'NIVEAU WAARDE - 1e toetsperiode'!F43</f>
        <v>0</v>
      </c>
      <c r="I39" s="72" t="str">
        <f t="shared" si="0"/>
        <v/>
      </c>
      <c r="J39" s="171" t="str">
        <f t="shared" si="1"/>
        <v/>
      </c>
      <c r="K39" s="90"/>
      <c r="L39" s="71"/>
      <c r="M39" s="72" t="str">
        <f t="shared" si="2"/>
        <v/>
      </c>
      <c r="N39" s="171" t="str">
        <f t="shared" si="3"/>
        <v/>
      </c>
      <c r="O39" s="1230" t="s">
        <v>210</v>
      </c>
      <c r="P39" s="1255" t="str">
        <f>'VERRIJKT - 1e periode'!F8</f>
        <v>Alle kinderen van groep 6/7/8 helpen op maandag en woensdag met groep 3  en 5 met lezen. Dinsdag, donderdag en vrijdag lezen ze voor zichzelf.</v>
      </c>
    </row>
    <row r="40" spans="1:23" ht="19.5" customHeight="1" thickBot="1" x14ac:dyDescent="0.3">
      <c r="A40" s="77"/>
      <c r="B40" s="78"/>
      <c r="C40" s="868"/>
      <c r="D40" s="67">
        <v>0</v>
      </c>
      <c r="E40" s="94">
        <v>36</v>
      </c>
      <c r="F40" s="95">
        <f>BEGINBLAD!C39</f>
        <v>0</v>
      </c>
      <c r="G40" s="96">
        <f>'NIVEAU WAARDE - vorig jaar'!F44</f>
        <v>0</v>
      </c>
      <c r="H40" s="97">
        <f>'NIVEAU WAARDE - 1e toetsperiode'!F44</f>
        <v>0</v>
      </c>
      <c r="I40" s="98" t="str">
        <f t="shared" si="0"/>
        <v/>
      </c>
      <c r="J40" s="171" t="str">
        <f t="shared" si="1"/>
        <v/>
      </c>
      <c r="K40" s="177"/>
      <c r="L40" s="97"/>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86"/>
      <c r="G42" s="1267" t="s">
        <v>279</v>
      </c>
      <c r="H42" s="1268"/>
      <c r="I42" s="1287"/>
      <c r="J42" s="1288"/>
      <c r="K42" s="1288"/>
      <c r="L42" s="1288"/>
      <c r="M42" s="1289"/>
      <c r="O42" s="1230"/>
      <c r="P42" s="1255"/>
      <c r="R42" s="101"/>
      <c r="S42" s="101"/>
      <c r="T42" s="101"/>
      <c r="U42" s="101"/>
      <c r="V42" s="101"/>
      <c r="W42" s="101"/>
    </row>
    <row r="43" spans="1:23" ht="19.5" customHeight="1" x14ac:dyDescent="0.25">
      <c r="B43" s="78"/>
      <c r="C43" s="122" t="s">
        <v>280</v>
      </c>
      <c r="D43" s="1290"/>
      <c r="E43" s="1247"/>
      <c r="F43" s="1285"/>
      <c r="G43" s="1249" t="s">
        <v>280</v>
      </c>
      <c r="H43" s="1250"/>
      <c r="I43" s="1278"/>
      <c r="J43" s="1279"/>
      <c r="K43" s="1279"/>
      <c r="L43" s="1279"/>
      <c r="M43" s="1280"/>
      <c r="O43" s="1230"/>
      <c r="P43" s="1255"/>
      <c r="R43" s="101"/>
      <c r="S43" s="101"/>
      <c r="T43" s="101"/>
      <c r="U43" s="101"/>
      <c r="V43" s="101"/>
      <c r="W43" s="101"/>
    </row>
    <row r="44" spans="1:23" ht="19.5" customHeight="1" x14ac:dyDescent="0.25">
      <c r="B44" s="78"/>
      <c r="C44" s="122" t="s">
        <v>281</v>
      </c>
      <c r="D44" s="1290"/>
      <c r="E44" s="1247"/>
      <c r="F44" s="1285"/>
      <c r="G44" s="1249" t="s">
        <v>281</v>
      </c>
      <c r="H44" s="1250"/>
      <c r="I44" s="1278"/>
      <c r="J44" s="1279"/>
      <c r="K44" s="1279"/>
      <c r="L44" s="1279"/>
      <c r="M44" s="1280"/>
      <c r="O44" s="1230"/>
      <c r="P44" s="1255"/>
      <c r="R44" s="101"/>
      <c r="S44" s="101"/>
      <c r="T44" s="101"/>
      <c r="U44" s="101"/>
      <c r="V44" s="101"/>
      <c r="W44" s="101"/>
    </row>
    <row r="45" spans="1:23" ht="19.5" customHeight="1" x14ac:dyDescent="0.25">
      <c r="B45" s="78"/>
      <c r="C45" s="122" t="s">
        <v>282</v>
      </c>
      <c r="D45" s="1246"/>
      <c r="E45" s="1247"/>
      <c r="F45" s="1285"/>
      <c r="G45" s="1249" t="s">
        <v>282</v>
      </c>
      <c r="H45" s="1250"/>
      <c r="I45" s="1278"/>
      <c r="J45" s="1279"/>
      <c r="K45" s="1279"/>
      <c r="L45" s="1279"/>
      <c r="M45" s="1280"/>
      <c r="O45" s="1230"/>
      <c r="P45" s="1255"/>
      <c r="R45" s="101"/>
      <c r="S45" s="101"/>
      <c r="T45" s="101"/>
      <c r="U45" s="101"/>
      <c r="V45" s="101"/>
      <c r="W45" s="101"/>
    </row>
    <row r="46" spans="1:23" ht="19.5" customHeight="1" thickBot="1" x14ac:dyDescent="0.3">
      <c r="B46" s="78"/>
      <c r="C46" s="123" t="s">
        <v>283</v>
      </c>
      <c r="D46" s="1237"/>
      <c r="E46" s="1238"/>
      <c r="F46" s="1281"/>
      <c r="G46" s="1240" t="s">
        <v>283</v>
      </c>
      <c r="H46" s="1241"/>
      <c r="I46" s="1282"/>
      <c r="J46" s="1283"/>
      <c r="K46" s="1283"/>
      <c r="L46" s="1283"/>
      <c r="M46" s="1284"/>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f>H48/$D$49</f>
        <v>0.125</v>
      </c>
      <c r="H48" s="85">
        <f>COUNTIF($I$5:$I$40,"A-1+")</f>
        <v>1</v>
      </c>
      <c r="I48" s="85"/>
      <c r="J48" s="141" t="s">
        <v>419</v>
      </c>
      <c r="K48" s="141"/>
      <c r="L48" s="141"/>
      <c r="M48" s="161">
        <f>G48+G49+G50+G51+G52</f>
        <v>0.75</v>
      </c>
      <c r="N48" s="161">
        <v>1</v>
      </c>
      <c r="O48" s="149"/>
      <c r="P48" s="102"/>
    </row>
    <row r="49" spans="2:16" x14ac:dyDescent="0.25">
      <c r="B49" s="116"/>
      <c r="C49" s="104"/>
      <c r="D49" s="148">
        <f>COUNTIF(H5:H40,"&gt;0")</f>
        <v>8</v>
      </c>
      <c r="E49" s="142"/>
      <c r="F49" s="143" t="s">
        <v>420</v>
      </c>
      <c r="G49" s="150">
        <f>H49/$D$49</f>
        <v>0.25</v>
      </c>
      <c r="H49" s="85">
        <f>COUNTIF($I$5:$I$40,"A-1")</f>
        <v>2</v>
      </c>
      <c r="I49" s="85"/>
      <c r="J49" s="141"/>
      <c r="K49" s="141"/>
      <c r="L49" s="141"/>
      <c r="M49" s="161"/>
      <c r="N49" s="161">
        <v>0.7</v>
      </c>
      <c r="O49" s="162"/>
      <c r="P49" s="111"/>
    </row>
    <row r="50" spans="2:16" x14ac:dyDescent="0.25">
      <c r="B50" s="116"/>
      <c r="C50" s="104"/>
      <c r="D50" s="144"/>
      <c r="E50" s="142"/>
      <c r="F50" s="145" t="s">
        <v>421</v>
      </c>
      <c r="G50" s="150">
        <f>(H50+I50)/$D$49</f>
        <v>0.25</v>
      </c>
      <c r="H50" s="85">
        <f>COUNTIF($I$5:$I$40,"A-2")</f>
        <v>1</v>
      </c>
      <c r="I50" s="85">
        <f>COUNTIF($I$5:$I$40,"B-2")</f>
        <v>1</v>
      </c>
      <c r="J50" s="141"/>
      <c r="K50" s="141"/>
      <c r="L50" s="141"/>
      <c r="M50" s="161"/>
      <c r="N50" s="161">
        <v>0.6</v>
      </c>
      <c r="O50" s="162"/>
      <c r="P50" s="111"/>
    </row>
    <row r="51" spans="2:16" x14ac:dyDescent="0.25">
      <c r="B51" s="116"/>
      <c r="C51" s="104"/>
      <c r="D51" s="144"/>
      <c r="E51" s="142"/>
      <c r="F51" s="143" t="s">
        <v>422</v>
      </c>
      <c r="G51" s="150">
        <f>H51/$D$49</f>
        <v>0.125</v>
      </c>
      <c r="H51" s="85">
        <f>COUNTIF($I$5:$I$40,"B-3")</f>
        <v>1</v>
      </c>
      <c r="I51" s="85"/>
      <c r="J51" s="141"/>
      <c r="K51" s="141"/>
      <c r="L51" s="141"/>
      <c r="M51" s="161"/>
      <c r="N51" s="161">
        <f>$M$48</f>
        <v>0.75</v>
      </c>
      <c r="O51" s="162"/>
      <c r="P51" s="111"/>
    </row>
    <row r="52" spans="2:16" x14ac:dyDescent="0.25">
      <c r="B52" s="116"/>
      <c r="C52" s="104"/>
      <c r="D52" s="144"/>
      <c r="E52" s="142"/>
      <c r="F52" s="143" t="s">
        <v>423</v>
      </c>
      <c r="G52" s="150">
        <f>H52/$D$49</f>
        <v>0</v>
      </c>
      <c r="H52" s="85">
        <f>COUNTIF($I$5:$I$40,"c-3")</f>
        <v>0</v>
      </c>
      <c r="I52" s="85"/>
      <c r="J52" s="141" t="s">
        <v>352</v>
      </c>
      <c r="K52" s="141"/>
      <c r="L52" s="141"/>
      <c r="M52" s="161">
        <f>G53+G54+G55+G57</f>
        <v>0.25</v>
      </c>
      <c r="N52" s="163"/>
      <c r="O52" s="162"/>
      <c r="P52" s="111"/>
    </row>
    <row r="53" spans="2:16" x14ac:dyDescent="0.25">
      <c r="B53" s="116"/>
      <c r="C53" s="104"/>
      <c r="D53" s="144"/>
      <c r="E53" s="142"/>
      <c r="F53" s="145" t="s">
        <v>424</v>
      </c>
      <c r="G53" s="150">
        <f>H53/$D$49</f>
        <v>0</v>
      </c>
      <c r="H53" s="85">
        <f>COUNTIF($I$5:$I$40,"c-4")</f>
        <v>0</v>
      </c>
      <c r="I53" s="83"/>
      <c r="J53" s="141"/>
      <c r="K53" s="141"/>
      <c r="L53" s="141"/>
      <c r="M53" s="161"/>
      <c r="N53" s="163"/>
      <c r="O53" s="162"/>
      <c r="P53" s="111"/>
    </row>
    <row r="54" spans="2:16" x14ac:dyDescent="0.25">
      <c r="B54" s="116"/>
      <c r="C54" s="104"/>
      <c r="D54" s="144"/>
      <c r="E54" s="142"/>
      <c r="F54" s="142" t="s">
        <v>425</v>
      </c>
      <c r="G54" s="150">
        <f>H54/$D$49</f>
        <v>0.125</v>
      </c>
      <c r="H54" s="85">
        <f>COUNTIF($I$5:$I$40,"d-4")</f>
        <v>1</v>
      </c>
      <c r="I54" s="83"/>
      <c r="J54" s="141"/>
      <c r="K54" s="141"/>
      <c r="L54" s="141"/>
      <c r="M54" s="161"/>
      <c r="N54" s="163"/>
      <c r="O54" s="162"/>
      <c r="P54" s="111"/>
    </row>
    <row r="55" spans="2:16" x14ac:dyDescent="0.25">
      <c r="B55" s="116"/>
      <c r="C55" s="104"/>
      <c r="D55" s="144"/>
      <c r="E55" s="142"/>
      <c r="F55" s="143" t="s">
        <v>426</v>
      </c>
      <c r="G55" s="150">
        <f>(H55+I55)/$D$49</f>
        <v>0.125</v>
      </c>
      <c r="H55" s="85">
        <f>COUNTIF($I$5:$I$40,"d-5")</f>
        <v>1</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f>M48+M52</f>
        <v>1</v>
      </c>
      <c r="N56" s="1245"/>
      <c r="O56" s="162"/>
      <c r="P56" s="111"/>
    </row>
    <row r="57" spans="2:16" x14ac:dyDescent="0.25">
      <c r="B57" s="116"/>
      <c r="C57" s="104"/>
      <c r="D57" s="144"/>
      <c r="E57" s="142"/>
      <c r="F57" s="146" t="s">
        <v>427</v>
      </c>
      <c r="G57" s="150">
        <f>H57/$D$49</f>
        <v>0</v>
      </c>
      <c r="H57" s="85">
        <f>COUNTIF($I$5:$I$40,"e-5-")</f>
        <v>0</v>
      </c>
      <c r="I57" s="85"/>
      <c r="J57" s="141"/>
      <c r="K57" s="141"/>
      <c r="L57" s="141"/>
      <c r="M57" s="161"/>
      <c r="N57" s="1245"/>
      <c r="O57" s="162"/>
      <c r="P57" s="111"/>
    </row>
    <row r="58" spans="2:16" x14ac:dyDescent="0.25">
      <c r="B58" s="116"/>
      <c r="C58" s="104"/>
      <c r="D58" s="144"/>
      <c r="E58" s="142"/>
      <c r="F58" s="143" t="s">
        <v>69</v>
      </c>
      <c r="G58" s="147">
        <f>SUM(G48:G57)</f>
        <v>1</v>
      </c>
      <c r="H58" s="131">
        <f>SUM(H48:H57)</f>
        <v>7</v>
      </c>
      <c r="I58" s="131">
        <f>SUM(I48:I57)</f>
        <v>1</v>
      </c>
      <c r="J58" s="83"/>
      <c r="K58" s="83"/>
      <c r="L58" s="149"/>
      <c r="M58" s="149"/>
      <c r="N58" s="149"/>
      <c r="O58" s="149"/>
      <c r="P58" s="102"/>
    </row>
    <row r="59" spans="2:16" x14ac:dyDescent="0.25">
      <c r="B59" s="116"/>
      <c r="C59" s="104"/>
      <c r="D59" s="144"/>
      <c r="E59" s="142"/>
      <c r="F59" s="131"/>
      <c r="G59" s="131"/>
      <c r="H59" s="83">
        <f>SUM(H58+I58)</f>
        <v>8</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717" priority="21" stopIfTrue="1">
      <formula>B7=7</formula>
    </cfRule>
    <cfRule type="cellIs" dxfId="716" priority="19" operator="equal">
      <formula>""</formula>
    </cfRule>
    <cfRule type="expression" dxfId="715" priority="20" stopIfTrue="1">
      <formula>B7=8</formula>
    </cfRule>
    <cfRule type="expression" dxfId="714" priority="22" stopIfTrue="1">
      <formula>B7=6</formula>
    </cfRule>
    <cfRule type="expression" dxfId="713" priority="23" stopIfTrue="1">
      <formula>B7=3</formula>
    </cfRule>
    <cfRule type="expression" dxfId="712" priority="24" stopIfTrue="1">
      <formula>B7=4</formula>
    </cfRule>
    <cfRule type="expression" dxfId="711" priority="25" stopIfTrue="1">
      <formula>B7=5</formula>
    </cfRule>
  </conditionalFormatting>
  <conditionalFormatting sqref="C29:C40">
    <cfRule type="cellIs" dxfId="710" priority="33" operator="equal">
      <formula>""</formula>
    </cfRule>
    <cfRule type="expression" dxfId="709" priority="34" stopIfTrue="1">
      <formula>B29=8</formula>
    </cfRule>
    <cfRule type="expression" dxfId="708" priority="35" stopIfTrue="1">
      <formula>B29=7</formula>
    </cfRule>
    <cfRule type="expression" dxfId="707" priority="36" stopIfTrue="1">
      <formula>B29=6</formula>
    </cfRule>
    <cfRule type="expression" dxfId="706" priority="37" stopIfTrue="1">
      <formula>B29=3</formula>
    </cfRule>
    <cfRule type="expression" dxfId="705" priority="38" stopIfTrue="1">
      <formula>B29=4</formula>
    </cfRule>
    <cfRule type="expression" dxfId="704" priority="39" stopIfTrue="1">
      <formula>B29=5</formula>
    </cfRule>
  </conditionalFormatting>
  <conditionalFormatting sqref="C42:C46">
    <cfRule type="cellIs" dxfId="703" priority="110" operator="notEqual">
      <formula>""</formula>
    </cfRule>
  </conditionalFormatting>
  <conditionalFormatting sqref="E5:E40">
    <cfRule type="expression" dxfId="702" priority="149">
      <formula>$D5=7</formula>
    </cfRule>
    <cfRule type="expression" dxfId="701" priority="148">
      <formula>$D5=8</formula>
    </cfRule>
    <cfRule type="expression" dxfId="700" priority="147">
      <formula>$D5=5</formula>
    </cfRule>
    <cfRule type="expression" dxfId="699" priority="146">
      <formula>$D5=4</formula>
    </cfRule>
    <cfRule type="expression" dxfId="698" priority="145">
      <formula>$D5=3</formula>
    </cfRule>
    <cfRule type="expression" dxfId="697" priority="150">
      <formula>$D5=6</formula>
    </cfRule>
  </conditionalFormatting>
  <conditionalFormatting sqref="F5:F40">
    <cfRule type="expression" dxfId="696" priority="154">
      <formula>$H5=0</formula>
    </cfRule>
    <cfRule type="expression" dxfId="695" priority="153">
      <formula>$H5&gt;=#REF!</formula>
    </cfRule>
    <cfRule type="expression" dxfId="694" priority="152">
      <formula>$H5&lt;#REF!</formula>
    </cfRule>
    <cfRule type="expression" dxfId="693" priority="151">
      <formula>$H5=0</formula>
    </cfRule>
  </conditionalFormatting>
  <conditionalFormatting sqref="G42:G46">
    <cfRule type="cellIs" dxfId="692" priority="131" operator="notEqual">
      <formula>""</formula>
    </cfRule>
  </conditionalFormatting>
  <conditionalFormatting sqref="H5:H40">
    <cfRule type="cellIs" dxfId="691" priority="159" stopIfTrue="1" operator="between">
      <formula>3</formula>
      <formula>3.9</formula>
    </cfRule>
    <cfRule type="cellIs" dxfId="690" priority="158" stopIfTrue="1" operator="between">
      <formula>0.1</formula>
      <formula>1.5</formula>
    </cfRule>
    <cfRule type="cellIs" dxfId="689" priority="160" stopIfTrue="1" operator="between">
      <formula>4</formula>
      <formula>5</formula>
    </cfRule>
    <cfRule type="cellIs" dxfId="688" priority="18" operator="between">
      <formula>1.6</formula>
      <formula>2.5</formula>
    </cfRule>
  </conditionalFormatting>
  <conditionalFormatting sqref="I5:I40">
    <cfRule type="cellIs" dxfId="687" priority="17" operator="between">
      <formula>"C-4"</formula>
      <formula>"D-4"</formula>
    </cfRule>
    <cfRule type="cellIs" dxfId="686" priority="120" stopIfTrue="1" operator="between">
      <formula>"D-5"</formula>
      <formula>"E-5"</formula>
    </cfRule>
    <cfRule type="cellIs" dxfId="685" priority="118" operator="equal">
      <formula>"E-5-"</formula>
    </cfRule>
    <cfRule type="cellIs" dxfId="684" priority="119" operator="equal">
      <formula>"A-1+"</formula>
    </cfRule>
    <cfRule type="cellIs" dxfId="683" priority="121" stopIfTrue="1" operator="between">
      <formula>"B-2"</formula>
      <formula>"B-3"</formula>
    </cfRule>
    <cfRule type="cellIs" dxfId="682" priority="122" stopIfTrue="1" operator="between">
      <formula>"A-1"</formula>
      <formula>"A-2"</formula>
    </cfRule>
  </conditionalFormatting>
  <conditionalFormatting sqref="J5:J40">
    <cfRule type="cellIs" dxfId="681" priority="62" operator="equal">
      <formula>"!"</formula>
    </cfRule>
    <cfRule type="cellIs" dxfId="680" priority="61" operator="equal">
      <formula>"*"</formula>
    </cfRule>
  </conditionalFormatting>
  <conditionalFormatting sqref="K5:K8">
    <cfRule type="cellIs" dxfId="679" priority="75" operator="greaterThanOrEqual">
      <formula>""</formula>
    </cfRule>
  </conditionalFormatting>
  <conditionalFormatting sqref="K19:K23">
    <cfRule type="cellIs" dxfId="678" priority="82" stopIfTrue="1" operator="between">
      <formula>0.1</formula>
      <formula>1.9</formula>
    </cfRule>
    <cfRule type="cellIs" dxfId="677" priority="83" stopIfTrue="1" operator="between">
      <formula>3</formula>
      <formula>3.9</formula>
    </cfRule>
    <cfRule type="cellIs" dxfId="676" priority="84" stopIfTrue="1" operator="between">
      <formula>4</formula>
      <formula>5</formula>
    </cfRule>
  </conditionalFormatting>
  <conditionalFormatting sqref="K19:K40">
    <cfRule type="cellIs" dxfId="675" priority="81" operator="equal">
      <formula>""</formula>
    </cfRule>
  </conditionalFormatting>
  <conditionalFormatting sqref="L5:L40">
    <cfRule type="cellIs" dxfId="674" priority="10" stopIfTrue="1" operator="between">
      <formula>4</formula>
      <formula>5</formula>
    </cfRule>
    <cfRule type="cellIs" dxfId="673" priority="9" stopIfTrue="1" operator="between">
      <formula>3</formula>
      <formula>3.9</formula>
    </cfRule>
    <cfRule type="cellIs" dxfId="672" priority="8" stopIfTrue="1" operator="between">
      <formula>0.1</formula>
      <formula>1.5</formula>
    </cfRule>
    <cfRule type="cellIs" dxfId="671" priority="7" operator="between">
      <formula>1.6</formula>
      <formula>2.5</formula>
    </cfRule>
  </conditionalFormatting>
  <conditionalFormatting sqref="M5:M40">
    <cfRule type="cellIs" dxfId="670" priority="1" operator="between">
      <formula>"C-4"</formula>
      <formula>"D-4"</formula>
    </cfRule>
    <cfRule type="cellIs" dxfId="669" priority="6" stopIfTrue="1" operator="between">
      <formula>"A-1"</formula>
      <formula>"A-2"</formula>
    </cfRule>
    <cfRule type="cellIs" dxfId="668" priority="5" stopIfTrue="1" operator="between">
      <formula>"B-2"</formula>
      <formula>"B-3"</formula>
    </cfRule>
    <cfRule type="cellIs" dxfId="667" priority="4" stopIfTrue="1" operator="between">
      <formula>"D-5"</formula>
      <formula>"E-5"</formula>
    </cfRule>
    <cfRule type="cellIs" dxfId="666" priority="3" operator="equal">
      <formula>"A-1+"</formula>
    </cfRule>
    <cfRule type="cellIs" dxfId="665" priority="2" operator="equal">
      <formula>"E-5-"</formula>
    </cfRule>
  </conditionalFormatting>
  <conditionalFormatting sqref="N5:N40">
    <cfRule type="cellIs" dxfId="664" priority="60" operator="equal">
      <formula>"!"</formula>
    </cfRule>
    <cfRule type="cellIs" dxfId="663" priority="59" operator="equal">
      <formula>"*"</formula>
    </cfRule>
  </conditionalFormatting>
  <conditionalFormatting sqref="R6:R7">
    <cfRule type="cellIs" dxfId="662" priority="124" operator="equal">
      <formula>0</formula>
    </cfRule>
  </conditionalFormatting>
  <conditionalFormatting sqref="R9 R11">
    <cfRule type="cellIs" dxfId="661" priority="127" operator="equal">
      <formula>0</formula>
    </cfRule>
  </conditionalFormatting>
  <conditionalFormatting sqref="R13 R15">
    <cfRule type="cellIs" dxfId="660" priority="128" operator="equal">
      <formula>0</formula>
    </cfRule>
  </conditionalFormatting>
  <conditionalFormatting sqref="S7:U7 S9:U9 S11:U11">
    <cfRule type="cellIs" dxfId="659" priority="130" operator="equal">
      <formula>0</formula>
    </cfRule>
  </conditionalFormatting>
  <conditionalFormatting sqref="S13:U13 S15:U15">
    <cfRule type="cellIs" dxfId="658" priority="125" operator="equal">
      <formula>0</formula>
    </cfRule>
  </conditionalFormatting>
  <conditionalFormatting sqref="V6:V7">
    <cfRule type="cellIs" dxfId="657" priority="123" operator="equal">
      <formula>0</formula>
    </cfRule>
  </conditionalFormatting>
  <conditionalFormatting sqref="V9 V11">
    <cfRule type="cellIs" dxfId="656" priority="126" operator="equal">
      <formula>0</formula>
    </cfRule>
  </conditionalFormatting>
  <conditionalFormatting sqref="V13 V15">
    <cfRule type="cellIs" dxfId="655" priority="129" operator="equal">
      <formula>0</formula>
    </cfRule>
  </conditionalFormatting>
  <dataValidations count="10">
    <dataValidation allowBlank="1" showInputMessage="1" showErrorMessage="1" promptTitle="Nieuwe regel:" prompt="druk op Alt-Enter" sqref="P15 P28 P17 P26 P37 P39" xr:uid="{00000000-0002-0000-2500-000000000000}"/>
    <dataValidation allowBlank="1" showInputMessage="1" showErrorMessage="1" promptTitle="Pulldown menu" prompt="groeps  HP: -_x000a_indiv.    HP:#_x000a_hele groep: $" sqref="C18 C40" xr:uid="{00000000-0002-0000-2500-000001000000}"/>
    <dataValidation allowBlank="1" showInputMessage="1" showErrorMessage="1" promptTitle="Pulldown venster" prompt="groeps  HP: -_x000a_indiv.    HP:#_x000a_hele groep: $" sqref="C29:C39 C7:C17" xr:uid="{00000000-0002-0000-25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500-000003000000}">
      <formula1>2</formula1>
    </dataValidation>
    <dataValidation type="list" allowBlank="1" showInputMessage="1" showErrorMessage="1" sqref="B29:B40 B7:B18" xr:uid="{00000000-0002-0000-2500-000004000000}">
      <formula1>"3,4,5,6,7,8,"</formula1>
    </dataValidation>
    <dataValidation type="list" allowBlank="1" showInputMessage="1" showErrorMessage="1" sqref="C42 G42" xr:uid="{00000000-0002-0000-2500-000005000000}">
      <formula1>"maandag,"</formula1>
    </dataValidation>
    <dataValidation type="list" allowBlank="1" showInputMessage="1" showErrorMessage="1" sqref="C43 G43" xr:uid="{00000000-0002-0000-2500-000006000000}">
      <formula1>"dinsdag,"</formula1>
    </dataValidation>
    <dataValidation type="list" allowBlank="1" showInputMessage="1" showErrorMessage="1" sqref="C44 G44" xr:uid="{00000000-0002-0000-2500-000007000000}">
      <formula1>"woensdag,"</formula1>
    </dataValidation>
    <dataValidation type="list" allowBlank="1" showInputMessage="1" showErrorMessage="1" sqref="C45 G45" xr:uid="{00000000-0002-0000-2500-000008000000}">
      <formula1>"donderdag,"</formula1>
    </dataValidation>
    <dataValidation type="list" allowBlank="1" showInputMessage="1" showErrorMessage="1" sqref="C46 G46" xr:uid="{00000000-0002-0000-2500-000009000000}">
      <formula1>"vrijdag,"</formula1>
    </dataValidation>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CCCCFF"/>
    <pageSetUpPr fitToPage="1"/>
  </sheetPr>
  <dimension ref="A1:X85"/>
  <sheetViews>
    <sheetView showGridLines="0" showRowColHeaders="0" zoomScale="75" zoomScaleNormal="75" workbookViewId="0">
      <selection activeCell="I5" sqref="I5:I40"/>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433</v>
      </c>
      <c r="D1" s="1177"/>
      <c r="E1" s="1177"/>
      <c r="F1" s="1177"/>
      <c r="G1" s="1177"/>
      <c r="H1" s="1177"/>
      <c r="I1" s="1177"/>
      <c r="J1" s="1177"/>
      <c r="K1" s="1233" t="str">
        <f>BEGINBLAD!$I$2</f>
        <v>groep 6</v>
      </c>
      <c r="L1" s="1233"/>
      <c r="M1" s="1233"/>
      <c r="N1" s="1233"/>
      <c r="O1" s="1233"/>
      <c r="P1" s="49"/>
      <c r="X1" s="50"/>
    </row>
    <row r="2" spans="1:24" ht="24" customHeight="1" x14ac:dyDescent="0.25">
      <c r="C2" s="1178" t="str">
        <f>BEGINBLAD!$S$2</f>
        <v>mei.</v>
      </c>
      <c r="D2" s="1178"/>
      <c r="E2" s="175"/>
      <c r="F2" s="412" t="str">
        <f>BEGINBLAD!$T$2</f>
        <v>sep.</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429</v>
      </c>
      <c r="H4" s="61" t="s">
        <v>431</v>
      </c>
      <c r="I4" s="62" t="s">
        <v>407</v>
      </c>
      <c r="J4" s="170"/>
      <c r="K4" s="60" t="s">
        <v>429</v>
      </c>
      <c r="L4" s="64" t="s">
        <v>432</v>
      </c>
      <c r="M4" s="62" t="s">
        <v>407</v>
      </c>
      <c r="N4" s="170"/>
      <c r="O4" s="54"/>
    </row>
    <row r="5" spans="1:24" ht="19.5" customHeight="1" x14ac:dyDescent="0.25">
      <c r="B5" s="1164" t="s">
        <v>62</v>
      </c>
      <c r="C5" s="66" t="s">
        <v>273</v>
      </c>
      <c r="D5" s="67">
        <v>0</v>
      </c>
      <c r="E5" s="68">
        <v>1</v>
      </c>
      <c r="F5" s="120" t="str">
        <f>BEGINBLAD!C4</f>
        <v>leerling 1</v>
      </c>
      <c r="G5" s="70">
        <f>'NIVEAU WAARDE - 1e toetsperiode'!F9</f>
        <v>4.3</v>
      </c>
      <c r="H5" s="71">
        <f>'NIVEAU WAARDE - 2e toetsperiode'!F9</f>
        <v>0</v>
      </c>
      <c r="I5" s="72" t="str">
        <f>IF(H5=0,"",IF(H5&gt;4.5,"A-1+",IF(H5&gt;4.2,"A-1",IF(H5&gt;=4,"A-2",IF(H5&gt;3.4,"B-2",IF(H5&gt;=3,"B-3",IF(H5&gt;2.5,"C-3",IF(H5&gt;=2,"C-4",IF(H5&gt;1.6,"D-4",IF(H5&gt;=1,"D-5",IF(H5&gt;0.5,"E-5",IF(H5&gt;=0,"E-5-"))))))))))))</f>
        <v/>
      </c>
      <c r="J5" s="171" t="str">
        <f>IF(H5=0,"",IF(G5-H5&gt;0.5,"!",IF(H5-G5&gt;0.5,"*",IF(H5-G5&lt;=0.5,""))))</f>
        <v/>
      </c>
      <c r="K5" s="90"/>
      <c r="L5" s="71"/>
      <c r="M5" s="72" t="str">
        <f>IF(L5=0,"",IF(L5&gt;4.5,"A-1+",IF(L5&gt;4.2,"A-1",IF(L5&gt;=4,"A-2",IF(L5&gt;3.4,"B-2",IF(L5&gt;=3,"B-3",IF(L5&gt;2.5,"C-3",IF(L5&gt;=2,"C-4",IF(L5&gt;1.6,"D-4",IF(L5&gt;=1,"D-5",IF(L5&gt;0.5,"E-5",IF(L5&gt;=0,"E-5-"))))))))))))</f>
        <v/>
      </c>
      <c r="N5" s="171" t="str">
        <f>IF(L5=0,"",IF(K5-L5&gt;0.5,"!",IF(L5-K5&gt;0.5,"*",IF(L5-K5&lt;=0.5,""))))</f>
        <v/>
      </c>
      <c r="O5" s="75"/>
    </row>
    <row r="6" spans="1:24" ht="19.5" customHeight="1" x14ac:dyDescent="0.25">
      <c r="B6" s="1164"/>
      <c r="C6" s="76" t="s">
        <v>274</v>
      </c>
      <c r="D6" s="67">
        <v>0</v>
      </c>
      <c r="E6" s="68">
        <v>2</v>
      </c>
      <c r="F6" s="69" t="str">
        <f>BEGINBLAD!C5</f>
        <v>leerling 2</v>
      </c>
      <c r="G6" s="70">
        <f>'NIVEAU WAARDE - 1e toetsperiode'!F10</f>
        <v>4</v>
      </c>
      <c r="H6" s="71">
        <f>'NIVEAU WAARDE - 2e toetsperiode'!F10</f>
        <v>0</v>
      </c>
      <c r="I6" s="72" t="str">
        <f t="shared" ref="I6:I39" si="0">IF(H6=0,"",IF(H6&gt;4.5,"A-1+",IF(H6&gt;4.2,"A-1",IF(H6&gt;=4,"A-2",IF(H6&gt;3.4,"B-2",IF(H6&gt;=3,"B-3",IF(H6&gt;2.5,"C-3",IF(H6&gt;=2,"C-4",IF(H6&gt;1.6,"D-4",IF(H6&gt;=1,"D-5",IF(H6&gt;0.5,"E-5",IF(H6&gt;=0,"E-5-"))))))))))))</f>
        <v/>
      </c>
      <c r="J6" s="171" t="str">
        <f t="shared" ref="J6:J40" si="1">IF(H6=0,"",IF(G6-H6&gt;0.5,"!",IF(H6-G6&gt;0.5,"*",IF(H6-G6&lt;=0.5,""))))</f>
        <v/>
      </c>
      <c r="K6" s="90"/>
      <c r="L6" s="71"/>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t="str">
        <f>BEGINBLAD!C6</f>
        <v>leerling 3</v>
      </c>
      <c r="G7" s="70">
        <f>'NIVEAU WAARDE - 1e toetsperiode'!F11</f>
        <v>3.7</v>
      </c>
      <c r="H7" s="71">
        <f>'NIVEAU WAARDE - 2e toetsperiode'!F11</f>
        <v>0</v>
      </c>
      <c r="I7" s="72" t="str">
        <f t="shared" si="0"/>
        <v/>
      </c>
      <c r="J7" s="171" t="str">
        <f t="shared" si="1"/>
        <v/>
      </c>
      <c r="K7" s="90"/>
      <c r="L7" s="71"/>
      <c r="M7" s="72" t="str">
        <f t="shared" si="2"/>
        <v/>
      </c>
      <c r="N7" s="171" t="str">
        <f t="shared" si="3"/>
        <v/>
      </c>
      <c r="O7" s="75"/>
      <c r="R7" s="107"/>
      <c r="S7" s="107"/>
      <c r="T7" s="107"/>
      <c r="U7" s="107"/>
      <c r="V7" s="107"/>
    </row>
    <row r="8" spans="1:24" ht="19.5" customHeight="1" x14ac:dyDescent="0.25">
      <c r="A8" s="77"/>
      <c r="B8" s="257"/>
      <c r="C8" s="259"/>
      <c r="D8" s="80">
        <v>0</v>
      </c>
      <c r="E8" s="68">
        <v>4</v>
      </c>
      <c r="F8" s="69" t="str">
        <f>BEGINBLAD!C7</f>
        <v>leerling 4</v>
      </c>
      <c r="G8" s="70">
        <f>'NIVEAU WAARDE - 1e toetsperiode'!F12</f>
        <v>4.3</v>
      </c>
      <c r="H8" s="71">
        <f>'NIVEAU WAARDE - 2e toetsperiode'!F12</f>
        <v>0</v>
      </c>
      <c r="I8" s="72" t="str">
        <f t="shared" si="0"/>
        <v/>
      </c>
      <c r="J8" s="171" t="str">
        <f t="shared" si="1"/>
        <v/>
      </c>
      <c r="K8" s="90"/>
      <c r="L8" s="71"/>
      <c r="M8" s="72" t="str">
        <f t="shared" si="2"/>
        <v/>
      </c>
      <c r="N8" s="171" t="str">
        <f t="shared" si="3"/>
        <v/>
      </c>
      <c r="O8" s="82"/>
      <c r="R8" s="107"/>
      <c r="S8" s="107"/>
      <c r="T8" s="107"/>
      <c r="U8" s="107"/>
      <c r="V8" s="107"/>
    </row>
    <row r="9" spans="1:24" ht="19.5" customHeight="1" x14ac:dyDescent="0.25">
      <c r="A9" s="77"/>
      <c r="B9" s="257"/>
      <c r="C9" s="259"/>
      <c r="D9" s="83">
        <v>0</v>
      </c>
      <c r="E9" s="68">
        <v>5</v>
      </c>
      <c r="F9" s="69" t="str">
        <f>BEGINBLAD!C8</f>
        <v>leerling 5</v>
      </c>
      <c r="G9" s="70">
        <f>'NIVEAU WAARDE - 1e toetsperiode'!F13</f>
        <v>4.7</v>
      </c>
      <c r="H9" s="71">
        <f>'NIVEAU WAARDE - 2e toetsperiode'!F13</f>
        <v>0</v>
      </c>
      <c r="I9" s="72" t="str">
        <f t="shared" si="0"/>
        <v/>
      </c>
      <c r="J9" s="171" t="str">
        <f t="shared" si="1"/>
        <v/>
      </c>
      <c r="K9" s="90"/>
      <c r="L9" s="71"/>
      <c r="M9" s="72" t="str">
        <f t="shared" si="2"/>
        <v/>
      </c>
      <c r="N9" s="171" t="str">
        <f t="shared" si="3"/>
        <v/>
      </c>
      <c r="O9" s="84"/>
      <c r="R9" s="107"/>
      <c r="S9" s="107"/>
      <c r="T9" s="107"/>
      <c r="U9" s="107"/>
      <c r="V9" s="107"/>
    </row>
    <row r="10" spans="1:24" ht="19.5" customHeight="1" x14ac:dyDescent="0.25">
      <c r="A10" s="77"/>
      <c r="B10" s="257"/>
      <c r="C10" s="259"/>
      <c r="D10" s="85">
        <v>0</v>
      </c>
      <c r="E10" s="68">
        <v>6</v>
      </c>
      <c r="F10" s="69" t="str">
        <f>BEGINBLAD!C9</f>
        <v>leerling 6</v>
      </c>
      <c r="G10" s="70">
        <f>'NIVEAU WAARDE - 1e toetsperiode'!F14</f>
        <v>1.9</v>
      </c>
      <c r="H10" s="71">
        <f>'NIVEAU WAARDE - 2e toetsperiode'!F14</f>
        <v>0</v>
      </c>
      <c r="I10" s="72" t="str">
        <f t="shared" si="0"/>
        <v/>
      </c>
      <c r="J10" s="171" t="str">
        <f t="shared" si="1"/>
        <v/>
      </c>
      <c r="K10" s="90"/>
      <c r="L10" s="71"/>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t="str">
        <f>BEGINBLAD!C10</f>
        <v>leerling 7</v>
      </c>
      <c r="G11" s="70">
        <f>'NIVEAU WAARDE - 1e toetsperiode'!F15</f>
        <v>1.1000000000000001</v>
      </c>
      <c r="H11" s="71">
        <f>'NIVEAU WAARDE - 2e toetsperiode'!F15</f>
        <v>0</v>
      </c>
      <c r="I11" s="72" t="str">
        <f t="shared" si="0"/>
        <v/>
      </c>
      <c r="J11" s="171" t="str">
        <f t="shared" si="1"/>
        <v/>
      </c>
      <c r="K11" s="90"/>
      <c r="L11" s="71"/>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t="str">
        <f>BEGINBLAD!C11</f>
        <v>leerling 8</v>
      </c>
      <c r="G12" s="70">
        <f>'NIVEAU WAARDE - 1e toetsperiode'!F16</f>
        <v>3.4</v>
      </c>
      <c r="H12" s="71">
        <f>'NIVEAU WAARDE - 2e toetsperiode'!F16</f>
        <v>0</v>
      </c>
      <c r="I12" s="72" t="str">
        <f t="shared" si="0"/>
        <v/>
      </c>
      <c r="J12" s="171" t="str">
        <f t="shared" si="1"/>
        <v/>
      </c>
      <c r="K12" s="90"/>
      <c r="L12" s="71"/>
      <c r="M12" s="72" t="str">
        <f t="shared" si="2"/>
        <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- 1e toetsperiode'!F17</f>
        <v>0</v>
      </c>
      <c r="H13" s="71">
        <f>'NIVEAU WAARDE - 2e toetsperiode'!F17</f>
        <v>0</v>
      </c>
      <c r="I13" s="72" t="str">
        <f t="shared" si="0"/>
        <v/>
      </c>
      <c r="J13" s="171" t="str">
        <f t="shared" si="1"/>
        <v/>
      </c>
      <c r="K13" s="90"/>
      <c r="L13" s="71"/>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- 1e toetsperiode'!F18</f>
        <v>0</v>
      </c>
      <c r="H14" s="71">
        <f>'NIVEAU WAARDE - 2e toetsperiode'!F18</f>
        <v>0</v>
      </c>
      <c r="I14" s="72" t="str">
        <f t="shared" si="0"/>
        <v/>
      </c>
      <c r="J14" s="171" t="str">
        <f t="shared" si="1"/>
        <v/>
      </c>
      <c r="K14" s="90"/>
      <c r="L14" s="71"/>
      <c r="M14" s="72" t="str">
        <f t="shared" si="2"/>
        <v/>
      </c>
      <c r="N14" s="171" t="str">
        <f t="shared" si="3"/>
        <v/>
      </c>
      <c r="O14" s="82"/>
      <c r="P14" s="54" t="s">
        <v>415</v>
      </c>
      <c r="R14" s="108"/>
      <c r="S14" s="108"/>
      <c r="T14" s="108"/>
      <c r="U14" s="108"/>
      <c r="V14" s="108"/>
    </row>
    <row r="15" spans="1:24" ht="19.5" customHeight="1" x14ac:dyDescent="0.25">
      <c r="A15" s="77"/>
      <c r="B15" s="257"/>
      <c r="C15" s="259"/>
      <c r="D15" s="67">
        <v>0</v>
      </c>
      <c r="E15" s="68">
        <v>11</v>
      </c>
      <c r="F15" s="69">
        <f>BEGINBLAD!C14</f>
        <v>0</v>
      </c>
      <c r="G15" s="70">
        <f>'NIVEAU WAARDE - 1e toetsperiode'!F19</f>
        <v>0</v>
      </c>
      <c r="H15" s="71">
        <f>'NIVEAU WAARDE - 2e toetsperiode'!F19</f>
        <v>0</v>
      </c>
      <c r="I15" s="72" t="str">
        <f t="shared" si="0"/>
        <v/>
      </c>
      <c r="J15" s="171" t="str">
        <f t="shared" si="1"/>
        <v/>
      </c>
      <c r="K15" s="90"/>
      <c r="L15" s="71"/>
      <c r="M15" s="72" t="str">
        <f t="shared" si="2"/>
        <v/>
      </c>
      <c r="N15" s="171" t="str">
        <f t="shared" si="3"/>
        <v/>
      </c>
      <c r="O15" s="1229" t="s">
        <v>208</v>
      </c>
      <c r="P15" s="1231">
        <f>'INTENSIEF - 2e periode'!$F$6</f>
        <v>0</v>
      </c>
      <c r="R15" s="108"/>
      <c r="S15" s="108"/>
      <c r="T15" s="108"/>
      <c r="U15" s="108"/>
      <c r="V15" s="108"/>
    </row>
    <row r="16" spans="1:24" ht="19.5" customHeight="1" x14ac:dyDescent="0.25">
      <c r="A16" s="77"/>
      <c r="B16" s="257"/>
      <c r="C16" s="259"/>
      <c r="D16" s="67">
        <v>0</v>
      </c>
      <c r="E16" s="68">
        <v>12</v>
      </c>
      <c r="F16" s="69">
        <f>BEGINBLAD!C15</f>
        <v>0</v>
      </c>
      <c r="G16" s="70">
        <f>'NIVEAU WAARDE - 1e toetsperiode'!F20</f>
        <v>0</v>
      </c>
      <c r="H16" s="71">
        <f>'NIVEAU WAARDE - 2e toetsperiode'!F20</f>
        <v>0</v>
      </c>
      <c r="I16" s="72" t="str">
        <f t="shared" si="0"/>
        <v/>
      </c>
      <c r="J16" s="171" t="str">
        <f t="shared" si="1"/>
        <v/>
      </c>
      <c r="K16" s="90"/>
      <c r="L16" s="71"/>
      <c r="M16" s="72" t="str">
        <f t="shared" si="2"/>
        <v/>
      </c>
      <c r="N16" s="171" t="str">
        <f t="shared" si="3"/>
        <v/>
      </c>
      <c r="O16" s="1230"/>
      <c r="P16" s="1232"/>
      <c r="R16" s="108"/>
      <c r="S16" s="108"/>
      <c r="T16" s="108"/>
      <c r="U16" s="108"/>
      <c r="V16" s="108"/>
    </row>
    <row r="17" spans="1:24" ht="19.5" customHeight="1" x14ac:dyDescent="0.25">
      <c r="A17" s="77"/>
      <c r="B17" s="78"/>
      <c r="C17" s="868"/>
      <c r="D17" s="80">
        <v>0</v>
      </c>
      <c r="E17" s="68">
        <v>13</v>
      </c>
      <c r="F17" s="69">
        <f>BEGINBLAD!C16</f>
        <v>0</v>
      </c>
      <c r="G17" s="70">
        <f>'NIVEAU WAARDE - 1e toetsperiode'!F21</f>
        <v>0</v>
      </c>
      <c r="H17" s="71">
        <f>'NIVEAU WAARDE - 2e toetsperiode'!F21</f>
        <v>0</v>
      </c>
      <c r="I17" s="72" t="str">
        <f t="shared" si="0"/>
        <v/>
      </c>
      <c r="J17" s="171" t="str">
        <f t="shared" si="1"/>
        <v/>
      </c>
      <c r="K17" s="90"/>
      <c r="L17" s="71"/>
      <c r="M17" s="72" t="str">
        <f t="shared" si="2"/>
        <v/>
      </c>
      <c r="N17" s="171" t="str">
        <f t="shared" si="3"/>
        <v/>
      </c>
      <c r="O17" s="1260" t="s">
        <v>210</v>
      </c>
      <c r="P17" s="1258">
        <f>'INTENSIEF - 2e periode'!F8</f>
        <v>0</v>
      </c>
    </row>
    <row r="18" spans="1:24" ht="19.5" customHeight="1" x14ac:dyDescent="0.25">
      <c r="A18" s="77"/>
      <c r="B18" s="78"/>
      <c r="C18" s="868"/>
      <c r="D18" s="85">
        <v>0</v>
      </c>
      <c r="E18" s="68">
        <v>14</v>
      </c>
      <c r="F18" s="69">
        <f>BEGINBLAD!C17</f>
        <v>0</v>
      </c>
      <c r="G18" s="70">
        <f>'NIVEAU WAARDE - 1e toetsperiode'!F22</f>
        <v>0</v>
      </c>
      <c r="H18" s="71">
        <f>'NIVEAU WAARDE - 2e toetsperiode'!F22</f>
        <v>0</v>
      </c>
      <c r="I18" s="72" t="str">
        <f t="shared" si="0"/>
        <v/>
      </c>
      <c r="J18" s="171" t="str">
        <f t="shared" si="1"/>
        <v/>
      </c>
      <c r="K18" s="90"/>
      <c r="L18" s="71"/>
      <c r="M18" s="72" t="str">
        <f t="shared" si="2"/>
        <v/>
      </c>
      <c r="N18" s="171" t="str">
        <f t="shared" si="3"/>
        <v/>
      </c>
      <c r="O18" s="1260"/>
      <c r="P18" s="1258"/>
    </row>
    <row r="19" spans="1:24" ht="19.5" customHeight="1" x14ac:dyDescent="0.3">
      <c r="D19" s="85">
        <v>0</v>
      </c>
      <c r="E19" s="68">
        <v>15</v>
      </c>
      <c r="F19" s="69">
        <f>BEGINBLAD!C18</f>
        <v>0</v>
      </c>
      <c r="G19" s="70">
        <f>'NIVEAU WAARDE - 1e toetsperiode'!F23</f>
        <v>0</v>
      </c>
      <c r="H19" s="71">
        <f>'NIVEAU WAARDE - 2e toetsperiode'!F23</f>
        <v>0</v>
      </c>
      <c r="I19" s="72" t="str">
        <f t="shared" si="0"/>
        <v/>
      </c>
      <c r="J19" s="171" t="str">
        <f t="shared" si="1"/>
        <v/>
      </c>
      <c r="K19" s="87"/>
      <c r="L19" s="71"/>
      <c r="M19" s="72" t="str">
        <f t="shared" si="2"/>
        <v/>
      </c>
      <c r="N19" s="171" t="str">
        <f t="shared" si="3"/>
        <v/>
      </c>
      <c r="O19" s="1260"/>
      <c r="P19" s="1258"/>
      <c r="U19" s="88"/>
      <c r="V19" s="88"/>
      <c r="W19" s="88"/>
      <c r="X19" s="88"/>
    </row>
    <row r="20" spans="1:24" ht="19.5" customHeight="1" x14ac:dyDescent="0.25">
      <c r="D20" s="85">
        <v>0</v>
      </c>
      <c r="E20" s="68">
        <v>16</v>
      </c>
      <c r="F20" s="69">
        <f>BEGINBLAD!C19</f>
        <v>0</v>
      </c>
      <c r="G20" s="70">
        <f>'NIVEAU WAARDE - 1e toetsperiode'!F24</f>
        <v>0</v>
      </c>
      <c r="H20" s="71">
        <f>'NIVEAU WAARDE - 2e toetsperiode'!F24</f>
        <v>0</v>
      </c>
      <c r="I20" s="72" t="str">
        <f t="shared" si="0"/>
        <v/>
      </c>
      <c r="J20" s="171" t="str">
        <f t="shared" si="1"/>
        <v/>
      </c>
      <c r="K20" s="87"/>
      <c r="L20" s="71"/>
      <c r="M20" s="72" t="str">
        <f t="shared" si="2"/>
        <v/>
      </c>
      <c r="N20" s="171" t="str">
        <f t="shared" si="3"/>
        <v/>
      </c>
      <c r="O20" s="1260"/>
      <c r="P20" s="1258"/>
    </row>
    <row r="21" spans="1:24" ht="19.5" customHeight="1" x14ac:dyDescent="0.25">
      <c r="D21" s="85">
        <v>0</v>
      </c>
      <c r="E21" s="68">
        <v>17</v>
      </c>
      <c r="F21" s="69">
        <f>BEGINBLAD!C20</f>
        <v>0</v>
      </c>
      <c r="G21" s="70">
        <f>'NIVEAU WAARDE - 1e toetsperiode'!F25</f>
        <v>0</v>
      </c>
      <c r="H21" s="71">
        <f>'NIVEAU WAARDE - 2e toetsperiode'!F25</f>
        <v>0</v>
      </c>
      <c r="I21" s="72" t="str">
        <f t="shared" si="0"/>
        <v/>
      </c>
      <c r="J21" s="171" t="str">
        <f t="shared" si="1"/>
        <v/>
      </c>
      <c r="K21" s="87"/>
      <c r="L21" s="71"/>
      <c r="M21" s="72" t="str">
        <f t="shared" si="2"/>
        <v/>
      </c>
      <c r="N21" s="171" t="str">
        <f t="shared" si="3"/>
        <v/>
      </c>
      <c r="O21" s="1260"/>
      <c r="P21" s="1258"/>
    </row>
    <row r="22" spans="1:24" ht="19.5" customHeight="1" x14ac:dyDescent="0.25">
      <c r="D22" s="85">
        <v>0</v>
      </c>
      <c r="E22" s="68">
        <v>18</v>
      </c>
      <c r="F22" s="69">
        <f>BEGINBLAD!C21</f>
        <v>0</v>
      </c>
      <c r="G22" s="70">
        <f>'NIVEAU WAARDE - 1e toetsperiode'!F26</f>
        <v>0</v>
      </c>
      <c r="H22" s="71">
        <f>'NIVEAU WAARDE - 2e toetsperiode'!F26</f>
        <v>0</v>
      </c>
      <c r="I22" s="72" t="str">
        <f t="shared" si="0"/>
        <v/>
      </c>
      <c r="J22" s="171" t="str">
        <f t="shared" si="1"/>
        <v/>
      </c>
      <c r="K22" s="87"/>
      <c r="L22" s="71"/>
      <c r="M22" s="72" t="str">
        <f t="shared" si="2"/>
        <v/>
      </c>
      <c r="N22" s="171" t="str">
        <f t="shared" si="3"/>
        <v/>
      </c>
      <c r="O22" s="1260"/>
      <c r="P22" s="1258"/>
    </row>
    <row r="23" spans="1:24" ht="19.5" customHeight="1" x14ac:dyDescent="0.25">
      <c r="B23" s="53"/>
      <c r="C23" s="53"/>
      <c r="D23" s="85">
        <v>0</v>
      </c>
      <c r="E23" s="68">
        <v>19</v>
      </c>
      <c r="F23" s="69">
        <f>BEGINBLAD!C22</f>
        <v>0</v>
      </c>
      <c r="G23" s="70">
        <f>'NIVEAU WAARDE - 1e toetsperiode'!F27</f>
        <v>0</v>
      </c>
      <c r="H23" s="71">
        <f>'NIVEAU WAARDE - 2e toetsperiode'!F27</f>
        <v>0</v>
      </c>
      <c r="I23" s="72" t="str">
        <f t="shared" si="0"/>
        <v/>
      </c>
      <c r="J23" s="171" t="str">
        <f t="shared" si="1"/>
        <v/>
      </c>
      <c r="K23" s="87"/>
      <c r="L23" s="71"/>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- 1e toetsperiode'!F28</f>
        <v>0</v>
      </c>
      <c r="H24" s="71">
        <f>'NIVEAU WAARDE - 2e toetsperiode'!F28</f>
        <v>0</v>
      </c>
      <c r="I24" s="72" t="str">
        <f t="shared" si="0"/>
        <v/>
      </c>
      <c r="J24" s="171" t="str">
        <f t="shared" si="1"/>
        <v/>
      </c>
      <c r="K24" s="90"/>
      <c r="L24" s="71"/>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- 1e toetsperiode'!F29</f>
        <v>0</v>
      </c>
      <c r="H25" s="71">
        <f>'NIVEAU WAARDE - 2e toetsperiode'!F29</f>
        <v>0</v>
      </c>
      <c r="I25" s="72" t="str">
        <f t="shared" si="0"/>
        <v/>
      </c>
      <c r="J25" s="171" t="str">
        <f t="shared" si="1"/>
        <v/>
      </c>
      <c r="K25" s="90"/>
      <c r="L25" s="71"/>
      <c r="M25" s="72" t="str">
        <f t="shared" si="2"/>
        <v/>
      </c>
      <c r="N25" s="171" t="str">
        <f t="shared" si="3"/>
        <v/>
      </c>
      <c r="O25" s="82"/>
      <c r="P25" s="54" t="s">
        <v>416</v>
      </c>
    </row>
    <row r="26" spans="1:24" ht="19.5" customHeight="1" x14ac:dyDescent="0.25">
      <c r="D26" s="85">
        <v>0</v>
      </c>
      <c r="E26" s="68">
        <v>22</v>
      </c>
      <c r="F26" s="69">
        <f>BEGINBLAD!C25</f>
        <v>0</v>
      </c>
      <c r="G26" s="70">
        <f>'NIVEAU WAARDE - 1e toetsperiode'!F30</f>
        <v>0</v>
      </c>
      <c r="H26" s="71">
        <f>'NIVEAU WAARDE - 2e toetsperiode'!F30</f>
        <v>0</v>
      </c>
      <c r="I26" s="72" t="str">
        <f t="shared" si="0"/>
        <v/>
      </c>
      <c r="J26" s="171" t="str">
        <f t="shared" si="1"/>
        <v/>
      </c>
      <c r="K26" s="90"/>
      <c r="L26" s="71"/>
      <c r="M26" s="72" t="str">
        <f t="shared" si="2"/>
        <v/>
      </c>
      <c r="N26" s="171" t="str">
        <f t="shared" si="3"/>
        <v/>
      </c>
      <c r="O26" s="1229" t="s">
        <v>208</v>
      </c>
      <c r="P26" s="1231">
        <f>'BASISAANPAK - 2e periode'!F6</f>
        <v>0</v>
      </c>
    </row>
    <row r="27" spans="1:24" s="92" customFormat="1" ht="19.5" customHeight="1" x14ac:dyDescent="0.55000000000000004">
      <c r="A27" s="51"/>
      <c r="B27" s="1164" t="s">
        <v>62</v>
      </c>
      <c r="C27" s="66" t="s">
        <v>275</v>
      </c>
      <c r="D27" s="80">
        <v>0</v>
      </c>
      <c r="E27" s="68">
        <v>23</v>
      </c>
      <c r="F27" s="69">
        <f>BEGINBLAD!C26</f>
        <v>0</v>
      </c>
      <c r="G27" s="70">
        <f>'NIVEAU WAARDE - 1e toetsperiode'!F31</f>
        <v>0</v>
      </c>
      <c r="H27" s="71">
        <f>'NIVEAU WAARDE - 2e toetsperiode'!F31</f>
        <v>0</v>
      </c>
      <c r="I27" s="72" t="str">
        <f t="shared" si="0"/>
        <v/>
      </c>
      <c r="J27" s="171" t="str">
        <f t="shared" si="1"/>
        <v/>
      </c>
      <c r="K27" s="90"/>
      <c r="L27" s="71"/>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- 1e toetsperiode'!F32</f>
        <v>0</v>
      </c>
      <c r="H28" s="71">
        <f>'NIVEAU WAARDE - 2e toetsperiode'!F32</f>
        <v>0</v>
      </c>
      <c r="I28" s="72" t="str">
        <f t="shared" si="0"/>
        <v/>
      </c>
      <c r="J28" s="171" t="str">
        <f t="shared" si="1"/>
        <v/>
      </c>
      <c r="K28" s="90"/>
      <c r="L28" s="71"/>
      <c r="M28" s="72" t="str">
        <f t="shared" si="2"/>
        <v/>
      </c>
      <c r="N28" s="171" t="str">
        <f t="shared" si="3"/>
        <v/>
      </c>
      <c r="O28" s="1230" t="s">
        <v>210</v>
      </c>
      <c r="P28" s="1232">
        <f>'BASISAANPAK - 2e periode'!F8</f>
        <v>0</v>
      </c>
      <c r="Q28" s="56"/>
      <c r="R28" s="93"/>
      <c r="S28" s="54"/>
      <c r="T28" s="54"/>
      <c r="U28" s="54"/>
      <c r="V28" s="54"/>
      <c r="W28" s="54"/>
    </row>
    <row r="29" spans="1:24" ht="19.5" customHeight="1" x14ac:dyDescent="0.25">
      <c r="A29" s="77"/>
      <c r="B29" s="78"/>
      <c r="C29" s="868"/>
      <c r="D29" s="67">
        <v>0</v>
      </c>
      <c r="E29" s="68">
        <v>25</v>
      </c>
      <c r="F29" s="69">
        <f>BEGINBLAD!C28</f>
        <v>0</v>
      </c>
      <c r="G29" s="70">
        <f>'NIVEAU WAARDE - 1e toetsperiode'!F33</f>
        <v>0</v>
      </c>
      <c r="H29" s="71">
        <f>'NIVEAU WAARDE - 2e toetsperiode'!F33</f>
        <v>0</v>
      </c>
      <c r="I29" s="72" t="str">
        <f t="shared" si="0"/>
        <v/>
      </c>
      <c r="J29" s="171" t="str">
        <f t="shared" si="1"/>
        <v/>
      </c>
      <c r="K29" s="90"/>
      <c r="L29" s="71"/>
      <c r="M29" s="72" t="str">
        <f t="shared" si="2"/>
        <v/>
      </c>
      <c r="N29" s="171" t="str">
        <f t="shared" si="3"/>
        <v/>
      </c>
      <c r="O29" s="1230"/>
      <c r="P29" s="1232"/>
    </row>
    <row r="30" spans="1:24" ht="19.5" customHeight="1" x14ac:dyDescent="0.25">
      <c r="A30" s="77"/>
      <c r="B30" s="78"/>
      <c r="C30" s="868"/>
      <c r="D30" s="67">
        <v>0</v>
      </c>
      <c r="E30" s="68">
        <v>26</v>
      </c>
      <c r="F30" s="69">
        <f>BEGINBLAD!C29</f>
        <v>0</v>
      </c>
      <c r="G30" s="70">
        <f>'NIVEAU WAARDE - 1e toetsperiode'!F34</f>
        <v>0</v>
      </c>
      <c r="H30" s="71">
        <f>'NIVEAU WAARDE - 2e toetsperiode'!F34</f>
        <v>0</v>
      </c>
      <c r="I30" s="72" t="str">
        <f t="shared" si="0"/>
        <v/>
      </c>
      <c r="J30" s="171" t="str">
        <f t="shared" si="1"/>
        <v/>
      </c>
      <c r="K30" s="90"/>
      <c r="L30" s="71"/>
      <c r="M30" s="72" t="str">
        <f t="shared" si="2"/>
        <v/>
      </c>
      <c r="N30" s="171" t="str">
        <f t="shared" si="3"/>
        <v/>
      </c>
      <c r="O30" s="1230"/>
      <c r="P30" s="1232"/>
    </row>
    <row r="31" spans="1:24" ht="19.5" customHeight="1" x14ac:dyDescent="0.25">
      <c r="A31" s="77"/>
      <c r="B31" s="78"/>
      <c r="C31" s="868"/>
      <c r="D31" s="67">
        <v>0</v>
      </c>
      <c r="E31" s="68">
        <v>27</v>
      </c>
      <c r="F31" s="69">
        <f>BEGINBLAD!C30</f>
        <v>0</v>
      </c>
      <c r="G31" s="70">
        <f>'NIVEAU WAARDE - 1e toetsperiode'!F35</f>
        <v>0</v>
      </c>
      <c r="H31" s="71">
        <f>'NIVEAU WAARDE - 2e toetsperiode'!F35</f>
        <v>0</v>
      </c>
      <c r="I31" s="72" t="str">
        <f t="shared" si="0"/>
        <v/>
      </c>
      <c r="J31" s="171" t="str">
        <f t="shared" si="1"/>
        <v/>
      </c>
      <c r="K31" s="90"/>
      <c r="L31" s="71"/>
      <c r="M31" s="72" t="str">
        <f t="shared" si="2"/>
        <v/>
      </c>
      <c r="N31" s="171" t="str">
        <f t="shared" si="3"/>
        <v/>
      </c>
      <c r="O31" s="1230"/>
      <c r="P31" s="1232"/>
    </row>
    <row r="32" spans="1:24" ht="19.5" customHeight="1" x14ac:dyDescent="0.25">
      <c r="A32" s="77"/>
      <c r="B32" s="78"/>
      <c r="C32" s="868"/>
      <c r="D32" s="67">
        <v>0</v>
      </c>
      <c r="E32" s="68">
        <v>28</v>
      </c>
      <c r="F32" s="69">
        <f>BEGINBLAD!C31</f>
        <v>0</v>
      </c>
      <c r="G32" s="70">
        <f>'NIVEAU WAARDE - 1e toetsperiode'!F36</f>
        <v>0</v>
      </c>
      <c r="H32" s="71">
        <f>'NIVEAU WAARDE - 2e toetsperiode'!F36</f>
        <v>0</v>
      </c>
      <c r="I32" s="72" t="str">
        <f t="shared" si="0"/>
        <v/>
      </c>
      <c r="J32" s="171" t="str">
        <f t="shared" si="1"/>
        <v/>
      </c>
      <c r="K32" s="90"/>
      <c r="L32" s="71"/>
      <c r="M32" s="72" t="str">
        <f t="shared" si="2"/>
        <v/>
      </c>
      <c r="N32" s="171" t="str">
        <f t="shared" si="3"/>
        <v/>
      </c>
      <c r="O32" s="1230"/>
      <c r="P32" s="1232"/>
    </row>
    <row r="33" spans="1:23" ht="19.5" customHeight="1" x14ac:dyDescent="0.25">
      <c r="A33" s="77"/>
      <c r="B33" s="78"/>
      <c r="C33" s="868"/>
      <c r="D33" s="67">
        <v>0</v>
      </c>
      <c r="E33" s="68">
        <v>29</v>
      </c>
      <c r="F33" s="69">
        <f>BEGINBLAD!C32</f>
        <v>0</v>
      </c>
      <c r="G33" s="70">
        <f>'NIVEAU WAARDE - 1e toetsperiode'!F37</f>
        <v>0</v>
      </c>
      <c r="H33" s="71">
        <f>'NIVEAU WAARDE - 2e toetsperiode'!F37</f>
        <v>0</v>
      </c>
      <c r="I33" s="72" t="str">
        <f t="shared" si="0"/>
        <v/>
      </c>
      <c r="J33" s="171" t="str">
        <f t="shared" si="1"/>
        <v/>
      </c>
      <c r="K33" s="90"/>
      <c r="L33" s="71"/>
      <c r="M33" s="72" t="str">
        <f t="shared" si="2"/>
        <v/>
      </c>
      <c r="N33" s="171" t="str">
        <f t="shared" si="3"/>
        <v/>
      </c>
      <c r="O33" s="1230"/>
      <c r="P33" s="1232"/>
    </row>
    <row r="34" spans="1:23" ht="19.5" customHeight="1" x14ac:dyDescent="0.25">
      <c r="A34" s="77"/>
      <c r="B34" s="78"/>
      <c r="C34" s="868"/>
      <c r="D34" s="67">
        <v>0</v>
      </c>
      <c r="E34" s="68">
        <v>30</v>
      </c>
      <c r="F34" s="69">
        <f>BEGINBLAD!C33</f>
        <v>0</v>
      </c>
      <c r="G34" s="70">
        <f>'NIVEAU WAARDE - 1e toetsperiode'!F38</f>
        <v>0</v>
      </c>
      <c r="H34" s="71">
        <f>'NIVEAU WAARDE - 2e toetsperiode'!F38</f>
        <v>0</v>
      </c>
      <c r="I34" s="72" t="str">
        <f t="shared" si="0"/>
        <v/>
      </c>
      <c r="J34" s="171" t="str">
        <f t="shared" si="1"/>
        <v/>
      </c>
      <c r="K34" s="90"/>
      <c r="L34" s="71"/>
      <c r="M34" s="72" t="str">
        <f t="shared" si="2"/>
        <v/>
      </c>
      <c r="N34" s="171" t="str">
        <f t="shared" si="3"/>
        <v/>
      </c>
      <c r="O34" s="1230"/>
      <c r="P34" s="1232"/>
    </row>
    <row r="35" spans="1:23" ht="19.5" customHeight="1" thickBot="1" x14ac:dyDescent="0.3">
      <c r="A35" s="77"/>
      <c r="B35" s="78"/>
      <c r="C35" s="868"/>
      <c r="D35" s="67">
        <v>0</v>
      </c>
      <c r="E35" s="68">
        <v>31</v>
      </c>
      <c r="F35" s="69">
        <f>BEGINBLAD!C34</f>
        <v>0</v>
      </c>
      <c r="G35" s="70">
        <f>'NIVEAU WAARDE - 1e toetsperiode'!F39</f>
        <v>0</v>
      </c>
      <c r="H35" s="71">
        <f>'NIVEAU WAARDE - 2e toetsperiode'!F39</f>
        <v>0</v>
      </c>
      <c r="I35" s="72" t="str">
        <f t="shared" si="0"/>
        <v/>
      </c>
      <c r="J35" s="171" t="str">
        <f t="shared" si="1"/>
        <v/>
      </c>
      <c r="K35" s="90"/>
      <c r="L35" s="71"/>
      <c r="M35" s="72" t="str">
        <f t="shared" si="2"/>
        <v/>
      </c>
      <c r="N35" s="171" t="str">
        <f t="shared" si="3"/>
        <v/>
      </c>
      <c r="O35" s="1257"/>
      <c r="P35" s="1262"/>
    </row>
    <row r="36" spans="1:23" ht="19.5" customHeight="1" thickBot="1" x14ac:dyDescent="0.3">
      <c r="A36" s="77"/>
      <c r="B36" s="78"/>
      <c r="C36" s="868"/>
      <c r="D36" s="67">
        <v>0</v>
      </c>
      <c r="E36" s="68">
        <v>32</v>
      </c>
      <c r="F36" s="69">
        <f>BEGINBLAD!C35</f>
        <v>0</v>
      </c>
      <c r="G36" s="70">
        <f>'NIVEAU WAARDE - 1e toetsperiode'!F40</f>
        <v>0</v>
      </c>
      <c r="H36" s="71">
        <f>'NIVEAU WAARDE - 2e toetsperiode'!F40</f>
        <v>0</v>
      </c>
      <c r="I36" s="72" t="str">
        <f t="shared" si="0"/>
        <v/>
      </c>
      <c r="J36" s="171" t="str">
        <f t="shared" si="1"/>
        <v/>
      </c>
      <c r="K36" s="90"/>
      <c r="L36" s="71"/>
      <c r="M36" s="72" t="str">
        <f t="shared" si="2"/>
        <v/>
      </c>
      <c r="N36" s="171" t="str">
        <f t="shared" si="3"/>
        <v/>
      </c>
      <c r="O36" s="82"/>
      <c r="P36" s="54" t="s">
        <v>417</v>
      </c>
    </row>
    <row r="37" spans="1:23" ht="19.5" customHeight="1" x14ac:dyDescent="0.25">
      <c r="A37" s="77"/>
      <c r="B37" s="78"/>
      <c r="C37" s="868"/>
      <c r="D37" s="67">
        <v>0</v>
      </c>
      <c r="E37" s="68">
        <v>33</v>
      </c>
      <c r="F37" s="69">
        <f>BEGINBLAD!C36</f>
        <v>0</v>
      </c>
      <c r="G37" s="70">
        <f>'NIVEAU WAARDE - 1e toetsperiode'!F41</f>
        <v>0</v>
      </c>
      <c r="H37" s="71">
        <f>'NIVEAU WAARDE - 2e toetsperiode'!F41</f>
        <v>0</v>
      </c>
      <c r="I37" s="72" t="str">
        <f t="shared" si="0"/>
        <v/>
      </c>
      <c r="J37" s="171" t="str">
        <f t="shared" si="1"/>
        <v/>
      </c>
      <c r="K37" s="90"/>
      <c r="L37" s="71"/>
      <c r="M37" s="72" t="str">
        <f t="shared" si="2"/>
        <v/>
      </c>
      <c r="N37" s="171" t="str">
        <f t="shared" si="3"/>
        <v/>
      </c>
      <c r="O37" s="1229" t="s">
        <v>208</v>
      </c>
      <c r="P37" s="1231">
        <f>'VERRIJKT - 2e periode'!F6</f>
        <v>0</v>
      </c>
    </row>
    <row r="38" spans="1:23" ht="19.5" customHeight="1" x14ac:dyDescent="0.25">
      <c r="A38" s="77"/>
      <c r="B38" s="78"/>
      <c r="C38" s="868"/>
      <c r="D38" s="67">
        <v>0</v>
      </c>
      <c r="E38" s="68">
        <v>34</v>
      </c>
      <c r="F38" s="69">
        <f>BEGINBLAD!C37</f>
        <v>0</v>
      </c>
      <c r="G38" s="70">
        <f>'NIVEAU WAARDE - 1e toetsperiode'!F42</f>
        <v>0</v>
      </c>
      <c r="H38" s="71">
        <f>'NIVEAU WAARDE - 2e toetsperiode'!F42</f>
        <v>0</v>
      </c>
      <c r="I38" s="72" t="str">
        <f t="shared" si="0"/>
        <v/>
      </c>
      <c r="J38" s="171" t="str">
        <f t="shared" si="1"/>
        <v/>
      </c>
      <c r="K38" s="90"/>
      <c r="L38" s="71"/>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- 1e toetsperiode'!F43</f>
        <v>0</v>
      </c>
      <c r="H39" s="71">
        <f>'NIVEAU WAARDE - 2e toetsperiode'!F43</f>
        <v>0</v>
      </c>
      <c r="I39" s="72" t="str">
        <f t="shared" si="0"/>
        <v/>
      </c>
      <c r="J39" s="171" t="str">
        <f t="shared" si="1"/>
        <v/>
      </c>
      <c r="K39" s="90"/>
      <c r="L39" s="71"/>
      <c r="M39" s="72" t="str">
        <f t="shared" si="2"/>
        <v/>
      </c>
      <c r="N39" s="171" t="str">
        <f t="shared" si="3"/>
        <v/>
      </c>
      <c r="O39" s="1230" t="s">
        <v>210</v>
      </c>
      <c r="P39" s="1255">
        <f>'VERRIJKT - 2e periode'!F8</f>
        <v>0</v>
      </c>
    </row>
    <row r="40" spans="1:23" ht="19.5" customHeight="1" thickBot="1" x14ac:dyDescent="0.3">
      <c r="A40" s="77"/>
      <c r="B40" s="78"/>
      <c r="C40" s="868"/>
      <c r="D40" s="67">
        <v>0</v>
      </c>
      <c r="E40" s="94">
        <v>36</v>
      </c>
      <c r="F40" s="95">
        <f>BEGINBLAD!C39</f>
        <v>0</v>
      </c>
      <c r="G40" s="96">
        <f>'NIVEAU WAARDE - 1e toetsperiode'!F44</f>
        <v>0</v>
      </c>
      <c r="H40" s="97">
        <f>'NIVEAU WAARDE - 2e toetsperiode'!F44</f>
        <v>0</v>
      </c>
      <c r="I40" s="98" t="str">
        <f t="shared" ref="I40" si="4">IF(H40=0,"",IF(H40&gt;4.5,"A-1+",IF(H40&gt;4.2,"A-1",IF(H40&gt;=4,"A-2",IF(H40&gt;3.4,"B-2",IF(H40&gt;=3,"B-3",IF(H40&gt;2.5,"C-3",IF(H40&gt;=2,"C-4",IF(H40&gt;1.6,"D-4",IF(H40&gt;=1,"D-5",IF(H40&gt;0.5,"E-5",IF(H40&gt;=0,"E-5-"))))))))))))</f>
        <v/>
      </c>
      <c r="J40" s="171" t="str">
        <f t="shared" si="1"/>
        <v/>
      </c>
      <c r="K40" s="177"/>
      <c r="L40" s="97"/>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86"/>
      <c r="G42" s="1267" t="s">
        <v>279</v>
      </c>
      <c r="H42" s="1268"/>
      <c r="I42" s="1287"/>
      <c r="J42" s="1288"/>
      <c r="K42" s="1288"/>
      <c r="L42" s="1288"/>
      <c r="M42" s="1289"/>
      <c r="O42" s="1230"/>
      <c r="P42" s="1255"/>
      <c r="R42" s="101"/>
      <c r="S42" s="101"/>
      <c r="T42" s="101"/>
      <c r="U42" s="101"/>
      <c r="V42" s="101"/>
      <c r="W42" s="101"/>
    </row>
    <row r="43" spans="1:23" ht="19.5" customHeight="1" x14ac:dyDescent="0.25">
      <c r="B43" s="78"/>
      <c r="C43" s="122" t="s">
        <v>280</v>
      </c>
      <c r="D43" s="1290"/>
      <c r="E43" s="1247"/>
      <c r="F43" s="1285"/>
      <c r="G43" s="1249" t="s">
        <v>280</v>
      </c>
      <c r="H43" s="1250"/>
      <c r="I43" s="1278"/>
      <c r="J43" s="1279"/>
      <c r="K43" s="1279"/>
      <c r="L43" s="1279"/>
      <c r="M43" s="1280"/>
      <c r="O43" s="1230"/>
      <c r="P43" s="1255"/>
      <c r="R43" s="101"/>
      <c r="S43" s="101"/>
      <c r="T43" s="101"/>
      <c r="U43" s="101"/>
      <c r="V43" s="101"/>
      <c r="W43" s="101"/>
    </row>
    <row r="44" spans="1:23" ht="19.5" customHeight="1" x14ac:dyDescent="0.25">
      <c r="B44" s="78"/>
      <c r="C44" s="122" t="s">
        <v>281</v>
      </c>
      <c r="D44" s="1290"/>
      <c r="E44" s="1247"/>
      <c r="F44" s="1285"/>
      <c r="G44" s="1249" t="s">
        <v>281</v>
      </c>
      <c r="H44" s="1250"/>
      <c r="I44" s="1278"/>
      <c r="J44" s="1279"/>
      <c r="K44" s="1279"/>
      <c r="L44" s="1279"/>
      <c r="M44" s="1280"/>
      <c r="O44" s="1230"/>
      <c r="P44" s="1255"/>
      <c r="R44" s="101"/>
      <c r="S44" s="101"/>
      <c r="T44" s="101"/>
      <c r="U44" s="101"/>
      <c r="V44" s="101"/>
      <c r="W44" s="101"/>
    </row>
    <row r="45" spans="1:23" ht="19.5" customHeight="1" x14ac:dyDescent="0.25">
      <c r="B45" s="78"/>
      <c r="C45" s="122" t="s">
        <v>282</v>
      </c>
      <c r="D45" s="1246"/>
      <c r="E45" s="1247"/>
      <c r="F45" s="1285"/>
      <c r="G45" s="1249" t="s">
        <v>282</v>
      </c>
      <c r="H45" s="1250"/>
      <c r="I45" s="1278"/>
      <c r="J45" s="1279"/>
      <c r="K45" s="1279"/>
      <c r="L45" s="1279"/>
      <c r="M45" s="1280"/>
      <c r="O45" s="1230"/>
      <c r="P45" s="1255"/>
      <c r="R45" s="101"/>
      <c r="S45" s="101"/>
      <c r="T45" s="101"/>
      <c r="U45" s="101"/>
      <c r="V45" s="101"/>
      <c r="W45" s="101"/>
    </row>
    <row r="46" spans="1:23" ht="19.5" customHeight="1" thickBot="1" x14ac:dyDescent="0.3">
      <c r="B46" s="78"/>
      <c r="C46" s="123" t="s">
        <v>283</v>
      </c>
      <c r="D46" s="1237"/>
      <c r="E46" s="1238"/>
      <c r="F46" s="1281"/>
      <c r="G46" s="1240" t="s">
        <v>283</v>
      </c>
      <c r="H46" s="1241"/>
      <c r="I46" s="1282"/>
      <c r="J46" s="1283"/>
      <c r="K46" s="1283"/>
      <c r="L46" s="1283"/>
      <c r="M46" s="1284"/>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t="e">
        <f>H48/$D$49</f>
        <v>#DIV/0!</v>
      </c>
      <c r="H48" s="85">
        <f>COUNTIF($I$5:$I$40,"A-1+")</f>
        <v>0</v>
      </c>
      <c r="I48" s="85"/>
      <c r="J48" s="141" t="s">
        <v>419</v>
      </c>
      <c r="K48" s="141"/>
      <c r="L48" s="141"/>
      <c r="M48" s="161" t="e">
        <f>G48+G49+G50+G51+G52</f>
        <v>#DIV/0!</v>
      </c>
      <c r="N48" s="161">
        <v>1</v>
      </c>
      <c r="O48" s="149"/>
      <c r="P48" s="102"/>
    </row>
    <row r="49" spans="2:16" x14ac:dyDescent="0.25">
      <c r="B49" s="116"/>
      <c r="C49" s="104"/>
      <c r="D49" s="148">
        <f>COUNTIF(H5:H40,"&gt;0")</f>
        <v>0</v>
      </c>
      <c r="E49" s="142"/>
      <c r="F49" s="143" t="s">
        <v>420</v>
      </c>
      <c r="G49" s="150" t="e">
        <f>H49/$D$49</f>
        <v>#DIV/0!</v>
      </c>
      <c r="H49" s="85">
        <f>COUNTIF($I$5:$I$40,"A-1")</f>
        <v>0</v>
      </c>
      <c r="I49" s="85"/>
      <c r="J49" s="141"/>
      <c r="K49" s="141"/>
      <c r="L49" s="141"/>
      <c r="M49" s="161"/>
      <c r="N49" s="161">
        <v>0.7</v>
      </c>
      <c r="O49" s="162"/>
      <c r="P49" s="111"/>
    </row>
    <row r="50" spans="2:16" x14ac:dyDescent="0.25">
      <c r="B50" s="116"/>
      <c r="C50" s="104"/>
      <c r="D50" s="144"/>
      <c r="E50" s="142"/>
      <c r="F50" s="145" t="s">
        <v>421</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422</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423</v>
      </c>
      <c r="G52" s="150" t="e">
        <f>H52/$D$49</f>
        <v>#DIV/0!</v>
      </c>
      <c r="H52" s="85">
        <f>COUNTIF($I$5:$I$40,"c-3")</f>
        <v>0</v>
      </c>
      <c r="I52" s="85"/>
      <c r="J52" s="141" t="s">
        <v>352</v>
      </c>
      <c r="K52" s="141"/>
      <c r="L52" s="141"/>
      <c r="M52" s="161" t="e">
        <f>G53+G54+G55+G57</f>
        <v>#DIV/0!</v>
      </c>
      <c r="N52" s="163"/>
      <c r="O52" s="162"/>
      <c r="P52" s="111"/>
    </row>
    <row r="53" spans="2:16" x14ac:dyDescent="0.25">
      <c r="B53" s="116"/>
      <c r="C53" s="104"/>
      <c r="D53" s="144"/>
      <c r="E53" s="142"/>
      <c r="F53" s="145" t="s">
        <v>424</v>
      </c>
      <c r="G53" s="150" t="e">
        <f>H53/$D$49</f>
        <v>#DIV/0!</v>
      </c>
      <c r="H53" s="85">
        <f>COUNTIF($I$5:$I$40,"c-4")</f>
        <v>0</v>
      </c>
      <c r="I53" s="83"/>
      <c r="J53" s="141"/>
      <c r="K53" s="141"/>
      <c r="L53" s="141"/>
      <c r="M53" s="161"/>
      <c r="N53" s="163"/>
      <c r="O53" s="162"/>
      <c r="P53" s="111"/>
    </row>
    <row r="54" spans="2:16" x14ac:dyDescent="0.25">
      <c r="B54" s="116"/>
      <c r="C54" s="104"/>
      <c r="D54" s="144"/>
      <c r="E54" s="142"/>
      <c r="F54" s="142" t="s">
        <v>425</v>
      </c>
      <c r="G54" s="150" t="e">
        <f>H54/$D$49</f>
        <v>#DIV/0!</v>
      </c>
      <c r="H54" s="85">
        <f>COUNTIF($I$5:$I$40,"d-4")</f>
        <v>0</v>
      </c>
      <c r="I54" s="83"/>
      <c r="J54" s="141"/>
      <c r="K54" s="141"/>
      <c r="L54" s="141"/>
      <c r="M54" s="161"/>
      <c r="N54" s="163"/>
      <c r="O54" s="162"/>
      <c r="P54" s="111"/>
    </row>
    <row r="55" spans="2:16" x14ac:dyDescent="0.25">
      <c r="B55" s="116"/>
      <c r="C55" s="104"/>
      <c r="D55" s="144"/>
      <c r="E55" s="142"/>
      <c r="F55" s="143" t="s">
        <v>426</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t="e">
        <f>M48+M52</f>
        <v>#DIV/0!</v>
      </c>
      <c r="N56" s="1245"/>
      <c r="O56" s="162"/>
      <c r="P56" s="111"/>
    </row>
    <row r="57" spans="2:16" x14ac:dyDescent="0.25">
      <c r="B57" s="116"/>
      <c r="C57" s="104"/>
      <c r="D57" s="144"/>
      <c r="E57" s="142"/>
      <c r="F57" s="146" t="s">
        <v>427</v>
      </c>
      <c r="G57" s="150" t="e">
        <f>H57/$D$49</f>
        <v>#DIV/0!</v>
      </c>
      <c r="H57" s="85">
        <f>COUNTIF($I$5:$I$40,"e-5-")</f>
        <v>0</v>
      </c>
      <c r="I57" s="85"/>
      <c r="J57" s="141"/>
      <c r="K57" s="141"/>
      <c r="L57" s="141"/>
      <c r="M57" s="161"/>
      <c r="N57" s="1245"/>
      <c r="O57" s="162"/>
      <c r="P57" s="111"/>
    </row>
    <row r="58" spans="2:16" x14ac:dyDescent="0.25">
      <c r="B58" s="116"/>
      <c r="C58" s="104"/>
      <c r="D58" s="144"/>
      <c r="E58" s="142"/>
      <c r="F58" s="143" t="s">
        <v>69</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expression" dxfId="654" priority="22" stopIfTrue="1">
      <formula>B7=3</formula>
    </cfRule>
    <cfRule type="expression" dxfId="653" priority="23" stopIfTrue="1">
      <formula>B7=4</formula>
    </cfRule>
    <cfRule type="expression" dxfId="652" priority="24" stopIfTrue="1">
      <formula>B7=5</formula>
    </cfRule>
    <cfRule type="cellIs" dxfId="651" priority="18" operator="equal">
      <formula>""</formula>
    </cfRule>
    <cfRule type="expression" dxfId="650" priority="19" stopIfTrue="1">
      <formula>B7=8</formula>
    </cfRule>
    <cfRule type="expression" dxfId="649" priority="20" stopIfTrue="1">
      <formula>B7=7</formula>
    </cfRule>
    <cfRule type="expression" dxfId="648" priority="21" stopIfTrue="1">
      <formula>B7=6</formula>
    </cfRule>
  </conditionalFormatting>
  <conditionalFormatting sqref="C29:C40">
    <cfRule type="expression" dxfId="647" priority="85" stopIfTrue="1">
      <formula>B29=7</formula>
    </cfRule>
    <cfRule type="expression" dxfId="646" priority="84" stopIfTrue="1">
      <formula>B29=8</formula>
    </cfRule>
    <cfRule type="cellIs" dxfId="645" priority="83" operator="equal">
      <formula>""</formula>
    </cfRule>
    <cfRule type="expression" dxfId="644" priority="89" stopIfTrue="1">
      <formula>B29=5</formula>
    </cfRule>
    <cfRule type="expression" dxfId="643" priority="88" stopIfTrue="1">
      <formula>B29=4</formula>
    </cfRule>
    <cfRule type="expression" dxfId="642" priority="87" stopIfTrue="1">
      <formula>B29=3</formula>
    </cfRule>
    <cfRule type="expression" dxfId="641" priority="86" stopIfTrue="1">
      <formula>B29=6</formula>
    </cfRule>
  </conditionalFormatting>
  <conditionalFormatting sqref="C42:C46">
    <cfRule type="cellIs" dxfId="640" priority="61" operator="notEqual">
      <formula>""</formula>
    </cfRule>
  </conditionalFormatting>
  <conditionalFormatting sqref="E5:E40">
    <cfRule type="expression" dxfId="639" priority="99">
      <formula>$D5=6</formula>
    </cfRule>
    <cfRule type="expression" dxfId="638" priority="97">
      <formula>$D5=8</formula>
    </cfRule>
    <cfRule type="expression" dxfId="637" priority="98">
      <formula>$D5=7</formula>
    </cfRule>
    <cfRule type="expression" dxfId="636" priority="96">
      <formula>$D5=5</formula>
    </cfRule>
    <cfRule type="expression" dxfId="635" priority="95">
      <formula>$D5=4</formula>
    </cfRule>
    <cfRule type="expression" dxfId="634" priority="94">
      <formula>$D5=3</formula>
    </cfRule>
  </conditionalFormatting>
  <conditionalFormatting sqref="F5:F40">
    <cfRule type="expression" dxfId="633" priority="102">
      <formula>$H5&gt;=#REF!</formula>
    </cfRule>
    <cfRule type="expression" dxfId="632" priority="103">
      <formula>$H5=0</formula>
    </cfRule>
    <cfRule type="expression" dxfId="631" priority="101">
      <formula>$H5&lt;#REF!</formula>
    </cfRule>
    <cfRule type="expression" dxfId="630" priority="100">
      <formula>$H5=0</formula>
    </cfRule>
  </conditionalFormatting>
  <conditionalFormatting sqref="G42:G46">
    <cfRule type="cellIs" dxfId="629" priority="82" operator="notEqual">
      <formula>""</formula>
    </cfRule>
  </conditionalFormatting>
  <conditionalFormatting sqref="H5:H40">
    <cfRule type="cellIs" dxfId="628" priority="17" operator="between">
      <formula>1.6</formula>
      <formula>2.5</formula>
    </cfRule>
    <cfRule type="cellIs" dxfId="627" priority="107" stopIfTrue="1" operator="between">
      <formula>0.1</formula>
      <formula>1.5</formula>
    </cfRule>
    <cfRule type="cellIs" dxfId="626" priority="108" stopIfTrue="1" operator="between">
      <formula>3</formula>
      <formula>3.9</formula>
    </cfRule>
    <cfRule type="cellIs" dxfId="625" priority="109" stopIfTrue="1" operator="between">
      <formula>4</formula>
      <formula>5</formula>
    </cfRule>
  </conditionalFormatting>
  <conditionalFormatting sqref="I5:I39">
    <cfRule type="cellIs" dxfId="624" priority="16" stopIfTrue="1" operator="between">
      <formula>"A-1"</formula>
      <formula>"A-2"</formula>
    </cfRule>
    <cfRule type="cellIs" dxfId="623" priority="15" stopIfTrue="1" operator="between">
      <formula>"B-2"</formula>
      <formula>"B-3"</formula>
    </cfRule>
    <cfRule type="cellIs" dxfId="622" priority="14" stopIfTrue="1" operator="between">
      <formula>"D-5"</formula>
      <formula>"E-5"</formula>
    </cfRule>
    <cfRule type="cellIs" dxfId="621" priority="11" operator="between">
      <formula>"C-4"</formula>
      <formula>"D-4"</formula>
    </cfRule>
  </conditionalFormatting>
  <conditionalFormatting sqref="I5:I40">
    <cfRule type="cellIs" dxfId="620" priority="13" operator="equal">
      <formula>"A-1+"</formula>
    </cfRule>
    <cfRule type="cellIs" dxfId="619" priority="12" operator="equal">
      <formula>"E-5-"</formula>
    </cfRule>
  </conditionalFormatting>
  <conditionalFormatting sqref="I40">
    <cfRule type="cellIs" dxfId="618" priority="73" stopIfTrue="1" operator="between">
      <formula>"A-1"</formula>
      <formula>"A-2"</formula>
    </cfRule>
    <cfRule type="cellIs" dxfId="617" priority="71" stopIfTrue="1" operator="between">
      <formula>"D-3"</formula>
      <formula>"E-5"</formula>
    </cfRule>
    <cfRule type="cellIs" dxfId="616" priority="72" stopIfTrue="1" operator="between">
      <formula>"B-2"</formula>
      <formula>"B-3"</formula>
    </cfRule>
  </conditionalFormatting>
  <conditionalFormatting sqref="J5:J40">
    <cfRule type="cellIs" dxfId="615" priority="33" operator="equal">
      <formula>"!"</formula>
    </cfRule>
    <cfRule type="cellIs" dxfId="614" priority="32" operator="equal">
      <formula>"*"</formula>
    </cfRule>
  </conditionalFormatting>
  <conditionalFormatting sqref="K5:K8">
    <cfRule type="cellIs" dxfId="613" priority="37" operator="greaterThanOrEqual">
      <formula>""</formula>
    </cfRule>
  </conditionalFormatting>
  <conditionalFormatting sqref="K19:K23">
    <cfRule type="cellIs" dxfId="612" priority="42" stopIfTrue="1" operator="between">
      <formula>4</formula>
      <formula>5</formula>
    </cfRule>
    <cfRule type="cellIs" dxfId="611" priority="41" stopIfTrue="1" operator="between">
      <formula>3</formula>
      <formula>3.9</formula>
    </cfRule>
    <cfRule type="cellIs" dxfId="610" priority="40" stopIfTrue="1" operator="between">
      <formula>0.1</formula>
      <formula>1.9</formula>
    </cfRule>
  </conditionalFormatting>
  <conditionalFormatting sqref="K19:K40">
    <cfRule type="cellIs" dxfId="609" priority="39" operator="equal">
      <formula>""</formula>
    </cfRule>
  </conditionalFormatting>
  <conditionalFormatting sqref="L5:L40">
    <cfRule type="cellIs" dxfId="608" priority="7" operator="between">
      <formula>1.6</formula>
      <formula>2.5</formula>
    </cfRule>
    <cfRule type="cellIs" dxfId="607" priority="8" stopIfTrue="1" operator="between">
      <formula>0.1</formula>
      <formula>1.5</formula>
    </cfRule>
    <cfRule type="cellIs" dxfId="606" priority="10" stopIfTrue="1" operator="between">
      <formula>4</formula>
      <formula>5</formula>
    </cfRule>
    <cfRule type="cellIs" dxfId="605" priority="9" stopIfTrue="1" operator="between">
      <formula>3</formula>
      <formula>3.9</formula>
    </cfRule>
  </conditionalFormatting>
  <conditionalFormatting sqref="M5:M40">
    <cfRule type="cellIs" dxfId="604" priority="1" operator="between">
      <formula>"C-4"</formula>
      <formula>"D-4"</formula>
    </cfRule>
    <cfRule type="cellIs" dxfId="603" priority="6" stopIfTrue="1" operator="between">
      <formula>"A-1"</formula>
      <formula>"A-2"</formula>
    </cfRule>
    <cfRule type="cellIs" dxfId="602" priority="5" stopIfTrue="1" operator="between">
      <formula>"B-2"</formula>
      <formula>"B-3"</formula>
    </cfRule>
    <cfRule type="cellIs" dxfId="601" priority="4" stopIfTrue="1" operator="between">
      <formula>"D-5"</formula>
      <formula>"E-5"</formula>
    </cfRule>
    <cfRule type="cellIs" dxfId="600" priority="3" operator="equal">
      <formula>"A-1+"</formula>
    </cfRule>
    <cfRule type="cellIs" dxfId="599" priority="2" operator="equal">
      <formula>"E-5-"</formula>
    </cfRule>
  </conditionalFormatting>
  <conditionalFormatting sqref="N5:N40">
    <cfRule type="cellIs" dxfId="598" priority="31" operator="equal">
      <formula>"!"</formula>
    </cfRule>
    <cfRule type="cellIs" dxfId="597" priority="30" operator="equal">
      <formula>"*"</formula>
    </cfRule>
  </conditionalFormatting>
  <conditionalFormatting sqref="R6:R7">
    <cfRule type="cellIs" dxfId="596" priority="75" operator="equal">
      <formula>0</formula>
    </cfRule>
  </conditionalFormatting>
  <conditionalFormatting sqref="R9 R11">
    <cfRule type="cellIs" dxfId="595" priority="78" operator="equal">
      <formula>0</formula>
    </cfRule>
  </conditionalFormatting>
  <conditionalFormatting sqref="R13 R15">
    <cfRule type="cellIs" dxfId="594" priority="79" operator="equal">
      <formula>0</formula>
    </cfRule>
  </conditionalFormatting>
  <conditionalFormatting sqref="S7:U7 S9:U9 S11:U11">
    <cfRule type="cellIs" dxfId="593" priority="81" operator="equal">
      <formula>0</formula>
    </cfRule>
  </conditionalFormatting>
  <conditionalFormatting sqref="S13:U13 S15:U15">
    <cfRule type="cellIs" dxfId="592" priority="76" operator="equal">
      <formula>0</formula>
    </cfRule>
  </conditionalFormatting>
  <conditionalFormatting sqref="V6:V7">
    <cfRule type="cellIs" dxfId="591" priority="74" operator="equal">
      <formula>0</formula>
    </cfRule>
  </conditionalFormatting>
  <conditionalFormatting sqref="V9 V11">
    <cfRule type="cellIs" dxfId="590" priority="77" operator="equal">
      <formula>0</formula>
    </cfRule>
  </conditionalFormatting>
  <conditionalFormatting sqref="V13 V15">
    <cfRule type="cellIs" dxfId="589" priority="80" operator="equal">
      <formula>0</formula>
    </cfRule>
  </conditionalFormatting>
  <dataValidations count="10">
    <dataValidation type="list" allowBlank="1" showInputMessage="1" showErrorMessage="1" sqref="C46 G46" xr:uid="{00000000-0002-0000-2600-000000000000}">
      <formula1>"vrijdag,"</formula1>
    </dataValidation>
    <dataValidation type="list" allowBlank="1" showInputMessage="1" showErrorMessage="1" sqref="C45 G45" xr:uid="{00000000-0002-0000-2600-000001000000}">
      <formula1>"donderdag,"</formula1>
    </dataValidation>
    <dataValidation type="list" allowBlank="1" showInputMessage="1" showErrorMessage="1" sqref="C44 G44" xr:uid="{00000000-0002-0000-2600-000002000000}">
      <formula1>"woensdag,"</formula1>
    </dataValidation>
    <dataValidation type="list" allowBlank="1" showInputMessage="1" showErrorMessage="1" sqref="C43 G43" xr:uid="{00000000-0002-0000-2600-000003000000}">
      <formula1>"dinsdag,"</formula1>
    </dataValidation>
    <dataValidation type="list" allowBlank="1" showInputMessage="1" showErrorMessage="1" sqref="C42 G42" xr:uid="{00000000-0002-0000-2600-000004000000}">
      <formula1>"maandag,"</formula1>
    </dataValidation>
    <dataValidation type="list" allowBlank="1" showInputMessage="1" showErrorMessage="1" sqref="B7:B18 B29:B40" xr:uid="{00000000-0002-0000-26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600-000006000000}">
      <formula1>2</formula1>
    </dataValidation>
    <dataValidation allowBlank="1" showInputMessage="1" showErrorMessage="1" promptTitle="Pulldown venster" prompt="groeps  HP: -_x000a_indiv.    HP:#_x000a_hele groep: $" sqref="C7:C17 C29:C39" xr:uid="{00000000-0002-0000-2600-000007000000}"/>
    <dataValidation allowBlank="1" showInputMessage="1" showErrorMessage="1" promptTitle="Pulldown menu" prompt="groeps  HP: -_x000a_indiv.    HP:#_x000a_hele groep: $" sqref="C18 C40" xr:uid="{00000000-0002-0000-2600-000008000000}"/>
    <dataValidation allowBlank="1" showInputMessage="1" showErrorMessage="1" promptTitle="Nieuwe regel:" prompt="druk op Alt-Enter" sqref="P15 P28 P17 P26 P37 P39" xr:uid="{00000000-0002-0000-26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pageSetUpPr fitToPage="1"/>
  </sheetPr>
  <dimension ref="A1:X85"/>
  <sheetViews>
    <sheetView showGridLines="0" showRowColHeaders="0" topLeftCell="A4" zoomScale="75" zoomScaleNormal="75" workbookViewId="0">
      <selection activeCell="L21" sqref="L21"/>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434</v>
      </c>
      <c r="D1" s="1177"/>
      <c r="E1" s="1177"/>
      <c r="F1" s="1177"/>
      <c r="G1" s="1177"/>
      <c r="H1" s="1177"/>
      <c r="I1" s="1177"/>
      <c r="J1" s="1177"/>
      <c r="K1" s="1233" t="str">
        <f>BEGINBLAD!$I$2</f>
        <v>groep 6</v>
      </c>
      <c r="L1" s="1233"/>
      <c r="M1" s="1233"/>
      <c r="N1" s="1233"/>
      <c r="O1" s="1233"/>
      <c r="P1" s="173"/>
      <c r="X1" s="50"/>
    </row>
    <row r="2" spans="1:24" ht="24" customHeight="1" x14ac:dyDescent="0.25">
      <c r="C2" s="1178" t="str">
        <f>BEGINBLAD!$N$2</f>
        <v>aug.</v>
      </c>
      <c r="D2" s="1178"/>
      <c r="E2" s="175"/>
      <c r="F2" s="412" t="str">
        <f>BEGINBLAD!$O$2</f>
        <v>apr.</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405</v>
      </c>
      <c r="H4" s="61" t="s">
        <v>435</v>
      </c>
      <c r="I4" s="62" t="s">
        <v>407</v>
      </c>
      <c r="J4" s="170"/>
      <c r="K4" s="60" t="s">
        <v>405</v>
      </c>
      <c r="L4" s="64" t="s">
        <v>436</v>
      </c>
      <c r="M4" s="62" t="s">
        <v>407</v>
      </c>
      <c r="N4" s="170"/>
      <c r="O4" s="54"/>
    </row>
    <row r="5" spans="1:24" ht="19.5" customHeight="1" x14ac:dyDescent="0.25">
      <c r="B5" s="1164" t="s">
        <v>62</v>
      </c>
      <c r="C5" s="66" t="s">
        <v>273</v>
      </c>
      <c r="D5" s="67">
        <v>0</v>
      </c>
      <c r="E5" s="68">
        <v>1</v>
      </c>
      <c r="F5" s="120" t="str">
        <f>BEGINBLAD!C4</f>
        <v>leerling 1</v>
      </c>
      <c r="G5" s="70">
        <f>'NIVEAU WAARDE - vorig jaar'!E9</f>
        <v>4.5999999999999996</v>
      </c>
      <c r="H5" s="71">
        <f>'NIVEAU WAARDE - 1e toetsperiode'!E9</f>
        <v>3.9</v>
      </c>
      <c r="I5" s="72" t="str">
        <f>IF(H5=0,"",IF(H5&gt;4.5,"A-1+",IF(H5&gt;4.2,"A-1",IF(H5&gt;=4,"A-2",IF(H5&gt;3.4,"B-2",IF(H5&gt;=3,"B-3",IF(H5&gt;2.5,"C-3",IF(H5&gt;=2,"C-4",IF(H5&gt;1.6,"D-4",IF(H5&gt;=1,"D-5",IF(H5&gt;0.5,"E-5",IF(H5&gt;=0,"E-5-"))))))))))))</f>
        <v>B-2</v>
      </c>
      <c r="J5" s="171" t="str">
        <f>IF(H5=0,"",IF(G5-H5&gt;0.5,"!",IF(H5-G5&gt;0.5,"*",IF(H5-G5&lt;=0.5,""))))</f>
        <v>!</v>
      </c>
      <c r="K5" s="342"/>
      <c r="L5" s="73">
        <v>3.9</v>
      </c>
      <c r="M5" s="72" t="str">
        <f>IF(L5=0,"",IF(L5&gt;4.5,"A-1+",IF(L5&gt;4.2,"A-1",IF(L5&gt;=4,"A-2",IF(L5&gt;3.4,"B-2",IF(L5&gt;=3,"B-3",IF(L5&gt;2.5,"C-3",IF(L5&gt;=2,"C-4",IF(L5&gt;1.6,"D-4",IF(L5&gt;=1,"D-5",IF(L5&gt;0.5,"E-5",IF(L5&gt;=0,"E-5-"))))))))))))</f>
        <v>B-2</v>
      </c>
      <c r="N5" s="171" t="str">
        <f>IF(L5=0,"",IF(K5-L5&gt;0.5,"!",IF(L5-K5&gt;0.5,"*",IF(L5-K5&lt;=0.5,""))))</f>
        <v>*</v>
      </c>
      <c r="O5" s="75"/>
    </row>
    <row r="6" spans="1:24" ht="19.5" customHeight="1" x14ac:dyDescent="0.25">
      <c r="B6" s="1164"/>
      <c r="C6" s="76" t="s">
        <v>274</v>
      </c>
      <c r="D6" s="67">
        <v>0</v>
      </c>
      <c r="E6" s="68">
        <v>2</v>
      </c>
      <c r="F6" s="69" t="str">
        <f>BEGINBLAD!C5</f>
        <v>leerling 2</v>
      </c>
      <c r="G6" s="70">
        <f>'NIVEAU WAARDE - vorig jaar'!E10</f>
        <v>4.8</v>
      </c>
      <c r="H6" s="71">
        <f>'NIVEAU WAARDE - 1e toetsperiode'!E10</f>
        <v>4.5999999999999996</v>
      </c>
      <c r="I6" s="72" t="str">
        <f t="shared" ref="I6:I40" si="0">IF(H6=0,"",IF(H6&gt;4.5,"A-1+",IF(H6&gt;4.2,"A-1",IF(H6&gt;=4,"A-2",IF(H6&gt;3.4,"B-2",IF(H6&gt;=3,"B-3",IF(H6&gt;2.5,"C-3",IF(H6&gt;=2,"C-4",IF(H6&gt;1.6,"D-4",IF(H6&gt;=1,"D-5",IF(H6&gt;0.5,"E-5",IF(H6&gt;=0,"E-5-"))))))))))))</f>
        <v>A-1+</v>
      </c>
      <c r="J6" s="171" t="str">
        <f t="shared" ref="J6:J40" si="1">IF(H6=0,"",IF(G6-H6&gt;0.5,"!",IF(H6-G6&gt;0.5,"*",IF(H6-G6&lt;=0.5,""))))</f>
        <v/>
      </c>
      <c r="K6" s="342"/>
      <c r="L6" s="73">
        <v>4.2</v>
      </c>
      <c r="M6" s="72" t="str">
        <f t="shared" ref="M6:M40" si="2">IF(L6=0,"",IF(L6&gt;4.5,"A-1+",IF(L6&gt;4.2,"A-1",IF(L6&gt;=4,"A-2",IF(L6&gt;3.4,"B-2",IF(L6&gt;=3,"B-3",IF(L6&gt;2.5,"C-3",IF(L6&gt;=2,"C-4",IF(L6&gt;1.6,"D-4",IF(L6&gt;=1,"D-5",IF(L6&gt;0.5,"E-5",IF(L6&gt;=0,"E-5-"))))))))))))</f>
        <v>A-2</v>
      </c>
      <c r="N6" s="171" t="str">
        <f>IF(L6=0,"",IF(K6-L6&gt;0.5,"!",IF(L6-K6&gt;0.5,"*",IF(L6-K6&lt;=0.5,""))))</f>
        <v>*</v>
      </c>
      <c r="O6" s="75"/>
      <c r="R6" s="106"/>
      <c r="S6" s="106"/>
      <c r="T6" s="106"/>
      <c r="U6" s="106"/>
      <c r="V6" s="106"/>
    </row>
    <row r="7" spans="1:24" ht="19.5" customHeight="1" x14ac:dyDescent="0.25">
      <c r="A7" s="77"/>
      <c r="B7" s="257"/>
      <c r="C7" s="259"/>
      <c r="D7" s="67">
        <v>0</v>
      </c>
      <c r="E7" s="68">
        <v>3</v>
      </c>
      <c r="F7" s="69" t="str">
        <f>BEGINBLAD!C6</f>
        <v>leerling 3</v>
      </c>
      <c r="G7" s="70">
        <f>'NIVEAU WAARDE - vorig jaar'!E11</f>
        <v>4.4000000000000004</v>
      </c>
      <c r="H7" s="71">
        <f>'NIVEAU WAARDE - 1e toetsperiode'!E11</f>
        <v>4.5999999999999996</v>
      </c>
      <c r="I7" s="72" t="str">
        <f t="shared" si="0"/>
        <v>A-1+</v>
      </c>
      <c r="J7" s="171" t="str">
        <f t="shared" si="1"/>
        <v/>
      </c>
      <c r="K7" s="342"/>
      <c r="L7" s="73">
        <v>3.2</v>
      </c>
      <c r="M7" s="72" t="str">
        <f t="shared" si="2"/>
        <v>B-3</v>
      </c>
      <c r="N7" s="171" t="str">
        <f t="shared" ref="N7:N40" si="3">IF(L7=0,"",IF(K7-L7&gt;0.5,"!",IF(L7-K7&gt;0.5,"*",IF(L7-K7&lt;=0.5,""))))</f>
        <v>*</v>
      </c>
      <c r="O7" s="75"/>
      <c r="R7" s="107"/>
      <c r="S7" s="107"/>
      <c r="T7" s="107"/>
      <c r="U7" s="107"/>
      <c r="V7" s="107"/>
    </row>
    <row r="8" spans="1:24" ht="19.5" customHeight="1" x14ac:dyDescent="0.25">
      <c r="A8" s="77"/>
      <c r="B8" s="257"/>
      <c r="C8" s="259"/>
      <c r="D8" s="80">
        <v>0</v>
      </c>
      <c r="E8" s="68">
        <v>4</v>
      </c>
      <c r="F8" s="69" t="str">
        <f>BEGINBLAD!C7</f>
        <v>leerling 4</v>
      </c>
      <c r="G8" s="70">
        <f>'NIVEAU WAARDE - vorig jaar'!E12</f>
        <v>4.8</v>
      </c>
      <c r="H8" s="71">
        <f>'NIVEAU WAARDE - 1e toetsperiode'!E12</f>
        <v>3.6</v>
      </c>
      <c r="I8" s="72" t="str">
        <f t="shared" si="0"/>
        <v>B-2</v>
      </c>
      <c r="J8" s="171" t="str">
        <f t="shared" si="1"/>
        <v>!</v>
      </c>
      <c r="K8" s="342"/>
      <c r="L8" s="73">
        <v>3.9</v>
      </c>
      <c r="M8" s="72" t="str">
        <f t="shared" si="2"/>
        <v>B-2</v>
      </c>
      <c r="N8" s="171" t="str">
        <f t="shared" si="3"/>
        <v>*</v>
      </c>
      <c r="O8" s="82"/>
      <c r="R8" s="107"/>
      <c r="S8" s="107"/>
      <c r="T8" s="107"/>
      <c r="U8" s="107"/>
      <c r="V8" s="107"/>
    </row>
    <row r="9" spans="1:24" ht="19.5" customHeight="1" x14ac:dyDescent="0.25">
      <c r="A9" s="77"/>
      <c r="B9" s="257"/>
      <c r="C9" s="259"/>
      <c r="D9" s="83">
        <v>0</v>
      </c>
      <c r="E9" s="68">
        <v>5</v>
      </c>
      <c r="F9" s="69" t="str">
        <f>BEGINBLAD!C8</f>
        <v>leerling 5</v>
      </c>
      <c r="G9" s="70">
        <f>'NIVEAU WAARDE - vorig jaar'!E13</f>
        <v>3.6</v>
      </c>
      <c r="H9" s="71">
        <f>'NIVEAU WAARDE - 1e toetsperiode'!E13</f>
        <v>3.9</v>
      </c>
      <c r="I9" s="72" t="str">
        <f t="shared" si="0"/>
        <v>B-2</v>
      </c>
      <c r="J9" s="171" t="str">
        <f t="shared" si="1"/>
        <v/>
      </c>
      <c r="K9" s="342"/>
      <c r="L9" s="73">
        <v>2.5</v>
      </c>
      <c r="M9" s="72" t="str">
        <f t="shared" si="2"/>
        <v>C-4</v>
      </c>
      <c r="N9" s="171" t="str">
        <f t="shared" si="3"/>
        <v>*</v>
      </c>
      <c r="O9" s="84"/>
      <c r="R9" s="107"/>
      <c r="S9" s="107"/>
      <c r="T9" s="107"/>
      <c r="U9" s="107"/>
      <c r="V9" s="107"/>
    </row>
    <row r="10" spans="1:24" ht="19.5" customHeight="1" x14ac:dyDescent="0.25">
      <c r="A10" s="77"/>
      <c r="B10" s="257"/>
      <c r="C10" s="259"/>
      <c r="D10" s="85">
        <v>0</v>
      </c>
      <c r="E10" s="68">
        <v>6</v>
      </c>
      <c r="F10" s="69" t="str">
        <f>BEGINBLAD!C9</f>
        <v>leerling 6</v>
      </c>
      <c r="G10" s="70">
        <f>'NIVEAU WAARDE - vorig jaar'!E14</f>
        <v>3.1</v>
      </c>
      <c r="H10" s="71">
        <f>'NIVEAU WAARDE - 1e toetsperiode'!E14</f>
        <v>3.9</v>
      </c>
      <c r="I10" s="72" t="str">
        <f t="shared" si="0"/>
        <v>B-2</v>
      </c>
      <c r="J10" s="171" t="str">
        <f t="shared" si="1"/>
        <v>*</v>
      </c>
      <c r="K10" s="342"/>
      <c r="L10" s="73">
        <v>2.2000000000000002</v>
      </c>
      <c r="M10" s="72" t="str">
        <f t="shared" si="2"/>
        <v>C-4</v>
      </c>
      <c r="N10" s="171" t="str">
        <f t="shared" si="3"/>
        <v>*</v>
      </c>
      <c r="O10" s="86"/>
      <c r="R10" s="107"/>
      <c r="S10" s="107"/>
      <c r="T10" s="107"/>
      <c r="U10" s="107"/>
      <c r="V10" s="107"/>
    </row>
    <row r="11" spans="1:24" ht="19.5" customHeight="1" x14ac:dyDescent="0.25">
      <c r="A11" s="77"/>
      <c r="B11" s="257"/>
      <c r="C11" s="259"/>
      <c r="D11" s="85">
        <v>0</v>
      </c>
      <c r="E11" s="68">
        <v>7</v>
      </c>
      <c r="F11" s="69" t="str">
        <f>BEGINBLAD!C10</f>
        <v>leerling 7</v>
      </c>
      <c r="G11" s="70">
        <f>'NIVEAU WAARDE - vorig jaar'!E15</f>
        <v>3.3</v>
      </c>
      <c r="H11" s="71">
        <f>'NIVEAU WAARDE - 1e toetsperiode'!E15</f>
        <v>3.6</v>
      </c>
      <c r="I11" s="72" t="str">
        <f t="shared" si="0"/>
        <v>B-2</v>
      </c>
      <c r="J11" s="171" t="str">
        <f t="shared" si="1"/>
        <v/>
      </c>
      <c r="K11" s="342"/>
      <c r="L11" s="73">
        <v>3.6</v>
      </c>
      <c r="M11" s="72" t="str">
        <f t="shared" si="2"/>
        <v>B-2</v>
      </c>
      <c r="N11" s="171" t="str">
        <f t="shared" si="3"/>
        <v>*</v>
      </c>
      <c r="O11" s="56"/>
      <c r="R11" s="107"/>
      <c r="S11" s="107"/>
      <c r="T11" s="107"/>
      <c r="U11" s="107"/>
      <c r="V11" s="107"/>
    </row>
    <row r="12" spans="1:24" ht="19.5" customHeight="1" x14ac:dyDescent="0.25">
      <c r="A12" s="77"/>
      <c r="B12" s="257"/>
      <c r="C12" s="259"/>
      <c r="D12" s="67">
        <v>0</v>
      </c>
      <c r="E12" s="68">
        <v>8</v>
      </c>
      <c r="F12" s="69" t="str">
        <f>BEGINBLAD!C11</f>
        <v>leerling 8</v>
      </c>
      <c r="G12" s="70">
        <f>'NIVEAU WAARDE - vorig jaar'!E16</f>
        <v>2.2000000000000002</v>
      </c>
      <c r="H12" s="71">
        <f>'NIVEAU WAARDE - 1e toetsperiode'!E16</f>
        <v>2.7</v>
      </c>
      <c r="I12" s="72" t="str">
        <f t="shared" si="0"/>
        <v>C-3</v>
      </c>
      <c r="J12" s="171" t="str">
        <f t="shared" si="1"/>
        <v/>
      </c>
      <c r="K12" s="342"/>
      <c r="L12" s="73">
        <v>2.9</v>
      </c>
      <c r="M12" s="72" t="str">
        <f t="shared" si="2"/>
        <v>C-3</v>
      </c>
      <c r="N12" s="171" t="str">
        <f t="shared" si="3"/>
        <v>*</v>
      </c>
      <c r="O12" s="54"/>
      <c r="R12" s="107"/>
      <c r="S12" s="107"/>
      <c r="T12" s="107"/>
      <c r="U12" s="107"/>
      <c r="V12" s="107"/>
    </row>
    <row r="13" spans="1:24" ht="19.5" customHeight="1" x14ac:dyDescent="0.25">
      <c r="A13" s="77"/>
      <c r="B13" s="78"/>
      <c r="C13" s="868"/>
      <c r="D13" s="67">
        <v>0</v>
      </c>
      <c r="E13" s="68">
        <v>9</v>
      </c>
      <c r="F13" s="69">
        <f>BEGINBLAD!C12</f>
        <v>0</v>
      </c>
      <c r="G13" s="70">
        <f>'NIVEAU WAARDE - vorig jaar'!E17</f>
        <v>0</v>
      </c>
      <c r="H13" s="71">
        <f>'NIVEAU WAARDE - 1e toetsperiode'!E17</f>
        <v>0</v>
      </c>
      <c r="I13" s="72" t="str">
        <f t="shared" si="0"/>
        <v/>
      </c>
      <c r="J13" s="171" t="str">
        <f t="shared" si="1"/>
        <v/>
      </c>
      <c r="K13" s="342"/>
      <c r="L13" s="73"/>
      <c r="M13" s="72" t="str">
        <f t="shared" si="2"/>
        <v/>
      </c>
      <c r="N13" s="171" t="str">
        <f t="shared" si="3"/>
        <v/>
      </c>
      <c r="O13" s="75"/>
      <c r="R13" s="108"/>
      <c r="S13" s="108"/>
      <c r="T13" s="108"/>
      <c r="U13" s="108"/>
      <c r="V13" s="108"/>
    </row>
    <row r="14" spans="1:24" ht="19.5" customHeight="1" thickBot="1" x14ac:dyDescent="0.3">
      <c r="A14" s="77"/>
      <c r="B14" s="78"/>
      <c r="C14" s="868"/>
      <c r="D14" s="67">
        <v>0</v>
      </c>
      <c r="E14" s="68">
        <v>10</v>
      </c>
      <c r="F14" s="69">
        <f>BEGINBLAD!C13</f>
        <v>0</v>
      </c>
      <c r="G14" s="70">
        <f>'NIVEAU WAARDE - vorig jaar'!E18</f>
        <v>0</v>
      </c>
      <c r="H14" s="71">
        <f>'NIVEAU WAARDE - 1e toetsperiode'!E18</f>
        <v>0</v>
      </c>
      <c r="I14" s="72" t="str">
        <f t="shared" si="0"/>
        <v/>
      </c>
      <c r="J14" s="171" t="str">
        <f t="shared" si="1"/>
        <v/>
      </c>
      <c r="K14" s="342"/>
      <c r="L14" s="73"/>
      <c r="M14" s="72" t="str">
        <f t="shared" si="2"/>
        <v/>
      </c>
      <c r="N14" s="171" t="str">
        <f t="shared" si="3"/>
        <v/>
      </c>
      <c r="O14" s="82"/>
      <c r="P14" s="54" t="s">
        <v>415</v>
      </c>
      <c r="R14" s="108"/>
      <c r="S14" s="108"/>
      <c r="T14" s="108"/>
      <c r="U14" s="108"/>
      <c r="V14" s="108"/>
    </row>
    <row r="15" spans="1:24" ht="19.5" customHeight="1" x14ac:dyDescent="0.25">
      <c r="A15" s="77"/>
      <c r="B15" s="78"/>
      <c r="C15" s="868"/>
      <c r="D15" s="67">
        <v>0</v>
      </c>
      <c r="E15" s="68">
        <v>11</v>
      </c>
      <c r="F15" s="69">
        <f>BEGINBLAD!C14</f>
        <v>0</v>
      </c>
      <c r="G15" s="70">
        <f>'NIVEAU WAARDE - vorig jaar'!E19</f>
        <v>0</v>
      </c>
      <c r="H15" s="71">
        <f>'NIVEAU WAARDE - 1e toetsperiode'!E19</f>
        <v>0</v>
      </c>
      <c r="I15" s="72" t="str">
        <f t="shared" si="0"/>
        <v/>
      </c>
      <c r="J15" s="171" t="str">
        <f t="shared" si="1"/>
        <v/>
      </c>
      <c r="K15" s="342"/>
      <c r="L15" s="73"/>
      <c r="M15" s="72" t="str">
        <f t="shared" si="2"/>
        <v/>
      </c>
      <c r="N15" s="171" t="str">
        <f t="shared" si="3"/>
        <v/>
      </c>
      <c r="O15" s="1229" t="s">
        <v>208</v>
      </c>
      <c r="P15" s="1231" t="str">
        <f>'INTENSIEF - 1e periode'!C17</f>
        <v xml:space="preserve">S+D  scoren beiden net niet voldoende op hun LVS spellen toets. Dit geldt voor de ondelen woorden en werkwoorden. </v>
      </c>
      <c r="R15" s="108"/>
      <c r="S15" s="108"/>
      <c r="T15" s="108"/>
      <c r="U15" s="108"/>
      <c r="V15" s="108"/>
    </row>
    <row r="16" spans="1:24" ht="19.5" customHeight="1" x14ac:dyDescent="0.25">
      <c r="A16" s="77"/>
      <c r="B16" s="78"/>
      <c r="C16" s="868"/>
      <c r="D16" s="67">
        <v>0</v>
      </c>
      <c r="E16" s="68">
        <v>12</v>
      </c>
      <c r="F16" s="69">
        <f>BEGINBLAD!C15</f>
        <v>0</v>
      </c>
      <c r="G16" s="70">
        <f>'NIVEAU WAARDE - vorig jaar'!E20</f>
        <v>0</v>
      </c>
      <c r="H16" s="71">
        <f>'NIVEAU WAARDE - 1e toetsperiode'!E20</f>
        <v>0</v>
      </c>
      <c r="I16" s="72" t="str">
        <f t="shared" si="0"/>
        <v/>
      </c>
      <c r="J16" s="171" t="str">
        <f t="shared" si="1"/>
        <v/>
      </c>
      <c r="K16" s="342"/>
      <c r="L16" s="73"/>
      <c r="M16" s="72" t="str">
        <f t="shared" si="2"/>
        <v/>
      </c>
      <c r="N16" s="171" t="str">
        <f t="shared" si="3"/>
        <v/>
      </c>
      <c r="O16" s="1230"/>
      <c r="P16" s="1232"/>
      <c r="R16" s="108"/>
      <c r="S16" s="108"/>
      <c r="T16" s="108"/>
      <c r="U16" s="108"/>
      <c r="V16" s="108"/>
    </row>
    <row r="17" spans="1:24" ht="19.5" customHeight="1" x14ac:dyDescent="0.25">
      <c r="A17" s="77"/>
      <c r="B17" s="78"/>
      <c r="C17" s="868"/>
      <c r="D17" s="80">
        <v>0</v>
      </c>
      <c r="E17" s="68">
        <v>13</v>
      </c>
      <c r="F17" s="69">
        <f>BEGINBLAD!C16</f>
        <v>0</v>
      </c>
      <c r="G17" s="70">
        <f>'NIVEAU WAARDE - vorig jaar'!E21</f>
        <v>0</v>
      </c>
      <c r="H17" s="71">
        <f>'NIVEAU WAARDE - 1e toetsperiode'!E21</f>
        <v>0</v>
      </c>
      <c r="I17" s="72" t="str">
        <f t="shared" si="0"/>
        <v/>
      </c>
      <c r="J17" s="171" t="str">
        <f t="shared" si="1"/>
        <v/>
      </c>
      <c r="K17" s="342"/>
      <c r="L17" s="73"/>
      <c r="M17" s="72" t="str">
        <f t="shared" si="2"/>
        <v/>
      </c>
      <c r="N17" s="171" t="str">
        <f t="shared" si="3"/>
        <v/>
      </c>
      <c r="O17" s="1260" t="s">
        <v>210</v>
      </c>
      <c r="P17" s="1258" t="str">
        <f>'INTENSIEF - 1e periode'!C19</f>
        <v xml:space="preserve">De meisjes krijgen extra beurten tijdens het  bespreken van de spellingscategorieën. Bij M willen we ook inzetten op het netter en nauwkeurig werken. </v>
      </c>
    </row>
    <row r="18" spans="1:24" ht="19.5" customHeight="1" x14ac:dyDescent="0.25">
      <c r="A18" s="77"/>
      <c r="B18" s="78"/>
      <c r="C18" s="868"/>
      <c r="D18" s="85">
        <v>0</v>
      </c>
      <c r="E18" s="68">
        <v>14</v>
      </c>
      <c r="F18" s="69">
        <f>BEGINBLAD!C17</f>
        <v>0</v>
      </c>
      <c r="G18" s="70">
        <f>'NIVEAU WAARDE - vorig jaar'!E22</f>
        <v>0</v>
      </c>
      <c r="H18" s="71">
        <f>'NIVEAU WAARDE - 1e toetsperiode'!E22</f>
        <v>0</v>
      </c>
      <c r="I18" s="72" t="str">
        <f t="shared" si="0"/>
        <v/>
      </c>
      <c r="J18" s="171" t="str">
        <f t="shared" si="1"/>
        <v/>
      </c>
      <c r="K18" s="342"/>
      <c r="L18" s="73"/>
      <c r="M18" s="72" t="str">
        <f t="shared" si="2"/>
        <v/>
      </c>
      <c r="N18" s="171" t="str">
        <f t="shared" si="3"/>
        <v/>
      </c>
      <c r="O18" s="1260"/>
      <c r="P18" s="1258"/>
    </row>
    <row r="19" spans="1:24" ht="19.5" customHeight="1" x14ac:dyDescent="0.3">
      <c r="D19" s="85">
        <v>0</v>
      </c>
      <c r="E19" s="68">
        <v>15</v>
      </c>
      <c r="F19" s="69">
        <f>BEGINBLAD!C18</f>
        <v>0</v>
      </c>
      <c r="G19" s="70">
        <f>'NIVEAU WAARDE - vorig jaar'!E23</f>
        <v>0</v>
      </c>
      <c r="H19" s="71">
        <f>'NIVEAU WAARDE - 1e toetsperiode'!E23</f>
        <v>0</v>
      </c>
      <c r="I19" s="72" t="str">
        <f t="shared" si="0"/>
        <v/>
      </c>
      <c r="J19" s="171" t="str">
        <f t="shared" si="1"/>
        <v/>
      </c>
      <c r="K19" s="342"/>
      <c r="L19" s="73"/>
      <c r="M19" s="72" t="str">
        <f t="shared" si="2"/>
        <v/>
      </c>
      <c r="N19" s="171" t="str">
        <f t="shared" si="3"/>
        <v/>
      </c>
      <c r="O19" s="1260"/>
      <c r="P19" s="1258"/>
      <c r="U19" s="88"/>
      <c r="V19" s="88"/>
      <c r="W19" s="88"/>
      <c r="X19" s="88"/>
    </row>
    <row r="20" spans="1:24" ht="19.5" customHeight="1" x14ac:dyDescent="0.25">
      <c r="D20" s="85">
        <v>0</v>
      </c>
      <c r="E20" s="68">
        <v>16</v>
      </c>
      <c r="F20" s="69">
        <f>BEGINBLAD!C19</f>
        <v>0</v>
      </c>
      <c r="G20" s="70">
        <f>'NIVEAU WAARDE - vorig jaar'!E24</f>
        <v>0</v>
      </c>
      <c r="H20" s="71">
        <f>'NIVEAU WAARDE - 1e toetsperiode'!E24</f>
        <v>0</v>
      </c>
      <c r="I20" s="72" t="str">
        <f t="shared" si="0"/>
        <v/>
      </c>
      <c r="J20" s="171" t="str">
        <f t="shared" si="1"/>
        <v/>
      </c>
      <c r="K20" s="342"/>
      <c r="L20" s="73"/>
      <c r="M20" s="72" t="str">
        <f t="shared" si="2"/>
        <v/>
      </c>
      <c r="N20" s="171" t="str">
        <f t="shared" si="3"/>
        <v/>
      </c>
      <c r="O20" s="1260"/>
      <c r="P20" s="1258"/>
    </row>
    <row r="21" spans="1:24" ht="19.5" customHeight="1" x14ac:dyDescent="0.25">
      <c r="D21" s="85">
        <v>0</v>
      </c>
      <c r="E21" s="68">
        <v>17</v>
      </c>
      <c r="F21" s="69">
        <f>BEGINBLAD!C20</f>
        <v>0</v>
      </c>
      <c r="G21" s="70">
        <f>'NIVEAU WAARDE - vorig jaar'!E25</f>
        <v>0</v>
      </c>
      <c r="H21" s="71">
        <f>'NIVEAU WAARDE - 1e toetsperiode'!E25</f>
        <v>0</v>
      </c>
      <c r="I21" s="72" t="str">
        <f t="shared" si="0"/>
        <v/>
      </c>
      <c r="J21" s="171" t="str">
        <f t="shared" si="1"/>
        <v/>
      </c>
      <c r="K21" s="342"/>
      <c r="L21" s="73"/>
      <c r="M21" s="72" t="str">
        <f t="shared" si="2"/>
        <v/>
      </c>
      <c r="N21" s="171" t="str">
        <f t="shared" si="3"/>
        <v/>
      </c>
      <c r="O21" s="1260"/>
      <c r="P21" s="1258"/>
    </row>
    <row r="22" spans="1:24" ht="19.5" customHeight="1" x14ac:dyDescent="0.25">
      <c r="D22" s="85">
        <v>0</v>
      </c>
      <c r="E22" s="68">
        <v>18</v>
      </c>
      <c r="F22" s="69">
        <f>BEGINBLAD!C21</f>
        <v>0</v>
      </c>
      <c r="G22" s="70">
        <f>'NIVEAU WAARDE - vorig jaar'!E26</f>
        <v>0</v>
      </c>
      <c r="H22" s="71">
        <f>'NIVEAU WAARDE - 1e toetsperiode'!E26</f>
        <v>0</v>
      </c>
      <c r="I22" s="72" t="str">
        <f t="shared" si="0"/>
        <v/>
      </c>
      <c r="J22" s="171" t="str">
        <f t="shared" si="1"/>
        <v/>
      </c>
      <c r="K22" s="342"/>
      <c r="L22" s="73"/>
      <c r="M22" s="72" t="str">
        <f t="shared" si="2"/>
        <v/>
      </c>
      <c r="N22" s="171" t="str">
        <f t="shared" si="3"/>
        <v/>
      </c>
      <c r="O22" s="1260"/>
      <c r="P22" s="1258"/>
    </row>
    <row r="23" spans="1:24" ht="19.5" customHeight="1" x14ac:dyDescent="0.25">
      <c r="B23" s="53"/>
      <c r="C23" s="53"/>
      <c r="D23" s="85">
        <v>0</v>
      </c>
      <c r="E23" s="68">
        <v>19</v>
      </c>
      <c r="F23" s="69">
        <f>BEGINBLAD!C22</f>
        <v>0</v>
      </c>
      <c r="G23" s="70">
        <f>'NIVEAU WAARDE - vorig jaar'!E27</f>
        <v>0</v>
      </c>
      <c r="H23" s="71">
        <f>'NIVEAU WAARDE - 1e toetsperiode'!E27</f>
        <v>0</v>
      </c>
      <c r="I23" s="72" t="str">
        <f t="shared" si="0"/>
        <v/>
      </c>
      <c r="J23" s="171" t="str">
        <f t="shared" si="1"/>
        <v/>
      </c>
      <c r="K23" s="342"/>
      <c r="L23" s="73"/>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vorig jaar'!E28</f>
        <v>0</v>
      </c>
      <c r="H24" s="71">
        <f>'NIVEAU WAARDE - 1e toetsperiode'!E28</f>
        <v>0</v>
      </c>
      <c r="I24" s="72" t="str">
        <f t="shared" si="0"/>
        <v/>
      </c>
      <c r="J24" s="171" t="str">
        <f t="shared" si="1"/>
        <v/>
      </c>
      <c r="K24" s="342"/>
      <c r="L24" s="73"/>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vorig jaar'!E29</f>
        <v>0</v>
      </c>
      <c r="H25" s="71">
        <f>'NIVEAU WAARDE - 1e toetsperiode'!E29</f>
        <v>0</v>
      </c>
      <c r="I25" s="72" t="str">
        <f t="shared" si="0"/>
        <v/>
      </c>
      <c r="J25" s="171" t="str">
        <f t="shared" si="1"/>
        <v/>
      </c>
      <c r="K25" s="342"/>
      <c r="L25" s="73"/>
      <c r="M25" s="72" t="str">
        <f t="shared" si="2"/>
        <v/>
      </c>
      <c r="N25" s="171" t="str">
        <f t="shared" si="3"/>
        <v/>
      </c>
      <c r="O25" s="82"/>
      <c r="P25" s="54" t="s">
        <v>416</v>
      </c>
    </row>
    <row r="26" spans="1:24" ht="19.5" customHeight="1" x14ac:dyDescent="0.25">
      <c r="D26" s="85">
        <v>0</v>
      </c>
      <c r="E26" s="68">
        <v>22</v>
      </c>
      <c r="F26" s="69">
        <f>BEGINBLAD!C25</f>
        <v>0</v>
      </c>
      <c r="G26" s="70">
        <f>'NIVEAU WAARDE - vorig jaar'!E30</f>
        <v>0</v>
      </c>
      <c r="H26" s="71">
        <f>'NIVEAU WAARDE - 1e toetsperiode'!E30</f>
        <v>0</v>
      </c>
      <c r="I26" s="72" t="str">
        <f t="shared" si="0"/>
        <v/>
      </c>
      <c r="J26" s="171" t="str">
        <f t="shared" si="1"/>
        <v/>
      </c>
      <c r="K26" s="342"/>
      <c r="L26" s="73"/>
      <c r="M26" s="72" t="str">
        <f t="shared" si="2"/>
        <v/>
      </c>
      <c r="N26" s="171" t="str">
        <f t="shared" si="3"/>
        <v/>
      </c>
      <c r="O26" s="1229" t="s">
        <v>208</v>
      </c>
      <c r="P26" s="1231" t="str">
        <f>'BASISAANPAK - 1e periode'!C17</f>
        <v>Niet methodetoetsen minimaal B niveau
Methodetoetsen voldoende scoren</v>
      </c>
    </row>
    <row r="27" spans="1:24" s="92" customFormat="1" ht="19.5" customHeight="1" x14ac:dyDescent="0.55000000000000004">
      <c r="A27" s="51"/>
      <c r="B27" s="1164" t="s">
        <v>62</v>
      </c>
      <c r="C27" s="66" t="s">
        <v>275</v>
      </c>
      <c r="D27" s="80">
        <v>0</v>
      </c>
      <c r="E27" s="68">
        <v>23</v>
      </c>
      <c r="F27" s="69">
        <f>BEGINBLAD!C26</f>
        <v>0</v>
      </c>
      <c r="G27" s="70">
        <f>'NIVEAU WAARDE - vorig jaar'!E31</f>
        <v>0</v>
      </c>
      <c r="H27" s="71">
        <f>'NIVEAU WAARDE - 1e toetsperiode'!E31</f>
        <v>0</v>
      </c>
      <c r="I27" s="72" t="str">
        <f t="shared" si="0"/>
        <v/>
      </c>
      <c r="J27" s="171" t="str">
        <f t="shared" si="1"/>
        <v/>
      </c>
      <c r="K27" s="342"/>
      <c r="L27" s="73"/>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vorig jaar'!E32</f>
        <v>0</v>
      </c>
      <c r="H28" s="71">
        <f>'NIVEAU WAARDE - 1e toetsperiode'!E32</f>
        <v>0</v>
      </c>
      <c r="I28" s="72" t="str">
        <f t="shared" si="0"/>
        <v/>
      </c>
      <c r="J28" s="171" t="str">
        <f t="shared" si="1"/>
        <v/>
      </c>
      <c r="K28" s="342"/>
      <c r="L28" s="73"/>
      <c r="M28" s="72" t="str">
        <f t="shared" si="2"/>
        <v/>
      </c>
      <c r="N28" s="171" t="str">
        <f t="shared" si="3"/>
        <v/>
      </c>
      <c r="O28" s="1230" t="s">
        <v>210</v>
      </c>
      <c r="P28" s="1232" t="str">
        <f>'BASISAANPAK - 1e periode'!C19</f>
        <v xml:space="preserve">Les 1 en 3 van de methode  = klein dictee (8 woorden) - de woorden worden ook besproken (ma + do) + les uit het boek / werkboek
Op  do klein dictee José Schraven - in gr. 6-7-8 hetzelfde dictee (uit de map van gr. 7-8) Daarnaast elke dag spellingoefenen.nl
Op di + vr: kopieerblad uit de methode
gr. 7+8: op do werkwoordbespreking n.a.v. dictee les 3, 5, 7 en les 11
</v>
      </c>
      <c r="Q28" s="56"/>
      <c r="R28" s="93"/>
      <c r="S28" s="54"/>
      <c r="T28" s="54"/>
      <c r="U28" s="54"/>
      <c r="V28" s="54"/>
      <c r="W28" s="54"/>
    </row>
    <row r="29" spans="1:24" ht="19.5" customHeight="1" x14ac:dyDescent="0.25">
      <c r="A29" s="77"/>
      <c r="B29" s="257"/>
      <c r="C29" s="259"/>
      <c r="D29" s="67">
        <v>0</v>
      </c>
      <c r="E29" s="68">
        <v>25</v>
      </c>
      <c r="F29" s="69">
        <f>BEGINBLAD!C28</f>
        <v>0</v>
      </c>
      <c r="G29" s="70">
        <f>'NIVEAU WAARDE - vorig jaar'!E33</f>
        <v>0</v>
      </c>
      <c r="H29" s="71">
        <f>'NIVEAU WAARDE - 1e toetsperiode'!E33</f>
        <v>0</v>
      </c>
      <c r="I29" s="72" t="str">
        <f t="shared" si="0"/>
        <v/>
      </c>
      <c r="J29" s="171" t="str">
        <f t="shared" si="1"/>
        <v/>
      </c>
      <c r="K29" s="342"/>
      <c r="L29" s="73"/>
      <c r="M29" s="72" t="str">
        <f t="shared" si="2"/>
        <v/>
      </c>
      <c r="N29" s="171" t="str">
        <f t="shared" si="3"/>
        <v/>
      </c>
      <c r="O29" s="1230"/>
      <c r="P29" s="1232"/>
    </row>
    <row r="30" spans="1:24" ht="19.5" customHeight="1" x14ac:dyDescent="0.25">
      <c r="A30" s="77"/>
      <c r="B30" s="257"/>
      <c r="C30" s="259"/>
      <c r="D30" s="67">
        <v>0</v>
      </c>
      <c r="E30" s="68">
        <v>26</v>
      </c>
      <c r="F30" s="69">
        <f>BEGINBLAD!C29</f>
        <v>0</v>
      </c>
      <c r="G30" s="70">
        <f>'NIVEAU WAARDE - vorig jaar'!E34</f>
        <v>0</v>
      </c>
      <c r="H30" s="71">
        <f>'NIVEAU WAARDE - 1e toetsperiode'!E34</f>
        <v>0</v>
      </c>
      <c r="I30" s="72" t="str">
        <f t="shared" si="0"/>
        <v/>
      </c>
      <c r="J30" s="171" t="str">
        <f t="shared" si="1"/>
        <v/>
      </c>
      <c r="K30" s="465"/>
      <c r="L30" s="73"/>
      <c r="M30" s="72" t="str">
        <f t="shared" si="2"/>
        <v/>
      </c>
      <c r="N30" s="171" t="str">
        <f t="shared" si="3"/>
        <v/>
      </c>
      <c r="O30" s="1230"/>
      <c r="P30" s="1232"/>
    </row>
    <row r="31" spans="1:24" ht="19.5" customHeight="1" x14ac:dyDescent="0.25">
      <c r="A31" s="77"/>
      <c r="B31" s="257"/>
      <c r="C31" s="259"/>
      <c r="D31" s="67">
        <v>0</v>
      </c>
      <c r="E31" s="68">
        <v>27</v>
      </c>
      <c r="F31" s="69">
        <f>BEGINBLAD!C30</f>
        <v>0</v>
      </c>
      <c r="G31" s="70">
        <f>'NIVEAU WAARDE - vorig jaar'!E35</f>
        <v>0</v>
      </c>
      <c r="H31" s="71">
        <f>'NIVEAU WAARDE - 1e toetsperiode'!E35</f>
        <v>0</v>
      </c>
      <c r="I31" s="72" t="str">
        <f t="shared" si="0"/>
        <v/>
      </c>
      <c r="J31" s="171" t="str">
        <f t="shared" si="1"/>
        <v/>
      </c>
      <c r="K31" s="465"/>
      <c r="L31" s="73"/>
      <c r="M31" s="72" t="str">
        <f t="shared" si="2"/>
        <v/>
      </c>
      <c r="N31" s="171" t="str">
        <f t="shared" si="3"/>
        <v/>
      </c>
      <c r="O31" s="1230"/>
      <c r="P31" s="1232"/>
    </row>
    <row r="32" spans="1:24" ht="19.5" customHeight="1" x14ac:dyDescent="0.25">
      <c r="A32" s="77"/>
      <c r="B32" s="257"/>
      <c r="C32" s="259"/>
      <c r="D32" s="67">
        <v>0</v>
      </c>
      <c r="E32" s="68">
        <v>28</v>
      </c>
      <c r="F32" s="69">
        <f>BEGINBLAD!C31</f>
        <v>0</v>
      </c>
      <c r="G32" s="70">
        <f>'NIVEAU WAARDE - vorig jaar'!E36</f>
        <v>0</v>
      </c>
      <c r="H32" s="71">
        <f>'NIVEAU WAARDE - 1e toetsperiode'!E36</f>
        <v>0</v>
      </c>
      <c r="I32" s="72" t="str">
        <f t="shared" si="0"/>
        <v/>
      </c>
      <c r="J32" s="171" t="str">
        <f t="shared" si="1"/>
        <v/>
      </c>
      <c r="K32" s="465"/>
      <c r="L32" s="73"/>
      <c r="M32" s="72" t="str">
        <f t="shared" si="2"/>
        <v/>
      </c>
      <c r="N32" s="171" t="str">
        <f t="shared" si="3"/>
        <v/>
      </c>
      <c r="O32" s="1230"/>
      <c r="P32" s="1232"/>
    </row>
    <row r="33" spans="1:23" ht="19.5" customHeight="1" x14ac:dyDescent="0.25">
      <c r="A33" s="77"/>
      <c r="B33" s="257"/>
      <c r="C33" s="259"/>
      <c r="D33" s="67">
        <v>0</v>
      </c>
      <c r="E33" s="68">
        <v>29</v>
      </c>
      <c r="F33" s="69">
        <f>BEGINBLAD!C32</f>
        <v>0</v>
      </c>
      <c r="G33" s="70">
        <f>'NIVEAU WAARDE - vorig jaar'!E37</f>
        <v>0</v>
      </c>
      <c r="H33" s="71">
        <f>'NIVEAU WAARDE - 1e toetsperiode'!E37</f>
        <v>0</v>
      </c>
      <c r="I33" s="72" t="str">
        <f t="shared" si="0"/>
        <v/>
      </c>
      <c r="J33" s="171" t="str">
        <f t="shared" si="1"/>
        <v/>
      </c>
      <c r="K33" s="90"/>
      <c r="L33" s="73"/>
      <c r="M33" s="72" t="str">
        <f t="shared" si="2"/>
        <v/>
      </c>
      <c r="N33" s="171" t="str">
        <f t="shared" si="3"/>
        <v/>
      </c>
      <c r="O33" s="1230"/>
      <c r="P33" s="1232"/>
    </row>
    <row r="34" spans="1:23" ht="19.5" customHeight="1" x14ac:dyDescent="0.25">
      <c r="A34" s="77"/>
      <c r="B34" s="257"/>
      <c r="C34" s="259"/>
      <c r="D34" s="67">
        <v>0</v>
      </c>
      <c r="E34" s="68">
        <v>30</v>
      </c>
      <c r="F34" s="69">
        <f>BEGINBLAD!C33</f>
        <v>0</v>
      </c>
      <c r="G34" s="70">
        <f>'NIVEAU WAARDE - vorig jaar'!E38</f>
        <v>0</v>
      </c>
      <c r="H34" s="71">
        <f>'NIVEAU WAARDE - 1e toetsperiode'!E38</f>
        <v>0</v>
      </c>
      <c r="I34" s="72" t="str">
        <f t="shared" si="0"/>
        <v/>
      </c>
      <c r="J34" s="171" t="str">
        <f t="shared" si="1"/>
        <v/>
      </c>
      <c r="K34" s="90"/>
      <c r="L34" s="73"/>
      <c r="M34" s="72" t="str">
        <f t="shared" si="2"/>
        <v/>
      </c>
      <c r="N34" s="171" t="str">
        <f t="shared" si="3"/>
        <v/>
      </c>
      <c r="O34" s="1230"/>
      <c r="P34" s="1232"/>
    </row>
    <row r="35" spans="1:23" ht="19.5" customHeight="1" thickBot="1" x14ac:dyDescent="0.3">
      <c r="A35" s="77"/>
      <c r="B35" s="78"/>
      <c r="C35" s="868"/>
      <c r="D35" s="67">
        <v>0</v>
      </c>
      <c r="E35" s="68">
        <v>31</v>
      </c>
      <c r="F35" s="69">
        <f>BEGINBLAD!C34</f>
        <v>0</v>
      </c>
      <c r="G35" s="70">
        <f>'NIVEAU WAARDE - vorig jaar'!E39</f>
        <v>0</v>
      </c>
      <c r="H35" s="71">
        <f>'NIVEAU WAARDE - 1e toetsperiode'!E39</f>
        <v>0</v>
      </c>
      <c r="I35" s="72" t="str">
        <f t="shared" si="0"/>
        <v/>
      </c>
      <c r="J35" s="171" t="str">
        <f t="shared" si="1"/>
        <v/>
      </c>
      <c r="K35" s="90"/>
      <c r="L35" s="73"/>
      <c r="M35" s="72" t="str">
        <f t="shared" si="2"/>
        <v/>
      </c>
      <c r="N35" s="171" t="str">
        <f t="shared" si="3"/>
        <v/>
      </c>
      <c r="O35" s="1257"/>
      <c r="P35" s="1262"/>
    </row>
    <row r="36" spans="1:23" ht="19.5" customHeight="1" thickBot="1" x14ac:dyDescent="0.3">
      <c r="A36" s="77"/>
      <c r="B36" s="78"/>
      <c r="C36" s="868"/>
      <c r="D36" s="67">
        <v>0</v>
      </c>
      <c r="E36" s="68">
        <v>32</v>
      </c>
      <c r="F36" s="69">
        <f>BEGINBLAD!C35</f>
        <v>0</v>
      </c>
      <c r="G36" s="70">
        <f>'NIVEAU WAARDE - vorig jaar'!E40</f>
        <v>0</v>
      </c>
      <c r="H36" s="71">
        <f>'NIVEAU WAARDE - 1e toetsperiode'!E40</f>
        <v>0</v>
      </c>
      <c r="I36" s="72" t="str">
        <f t="shared" si="0"/>
        <v/>
      </c>
      <c r="J36" s="171" t="str">
        <f t="shared" si="1"/>
        <v/>
      </c>
      <c r="K36" s="90"/>
      <c r="L36" s="73"/>
      <c r="M36" s="72" t="str">
        <f t="shared" si="2"/>
        <v/>
      </c>
      <c r="N36" s="171" t="str">
        <f t="shared" si="3"/>
        <v/>
      </c>
      <c r="O36" s="82"/>
      <c r="P36" s="54" t="s">
        <v>417</v>
      </c>
    </row>
    <row r="37" spans="1:23" ht="19.5" customHeight="1" x14ac:dyDescent="0.25">
      <c r="A37" s="77"/>
      <c r="B37" s="78"/>
      <c r="C37" s="868"/>
      <c r="D37" s="67">
        <v>0</v>
      </c>
      <c r="E37" s="68">
        <v>33</v>
      </c>
      <c r="F37" s="69">
        <f>BEGINBLAD!C36</f>
        <v>0</v>
      </c>
      <c r="G37" s="70">
        <f>'NIVEAU WAARDE - vorig jaar'!E41</f>
        <v>0</v>
      </c>
      <c r="H37" s="71">
        <f>'NIVEAU WAARDE - 1e toetsperiode'!E41</f>
        <v>0</v>
      </c>
      <c r="I37" s="72" t="str">
        <f t="shared" si="0"/>
        <v/>
      </c>
      <c r="J37" s="171" t="str">
        <f t="shared" si="1"/>
        <v/>
      </c>
      <c r="K37" s="90"/>
      <c r="L37" s="73"/>
      <c r="M37" s="72" t="str">
        <f t="shared" si="2"/>
        <v/>
      </c>
      <c r="N37" s="171" t="str">
        <f t="shared" si="3"/>
        <v/>
      </c>
      <c r="O37" s="1229" t="s">
        <v>208</v>
      </c>
      <c r="P37" s="1231">
        <f>'VERRIJKT - 1e periode'!C17</f>
        <v>0</v>
      </c>
    </row>
    <row r="38" spans="1:23" ht="19.5" customHeight="1" x14ac:dyDescent="0.25">
      <c r="A38" s="77"/>
      <c r="B38" s="78"/>
      <c r="C38" s="868"/>
      <c r="D38" s="67">
        <v>0</v>
      </c>
      <c r="E38" s="68">
        <v>34</v>
      </c>
      <c r="F38" s="69">
        <f>BEGINBLAD!C37</f>
        <v>0</v>
      </c>
      <c r="G38" s="70">
        <f>'NIVEAU WAARDE - vorig jaar'!E42</f>
        <v>0</v>
      </c>
      <c r="H38" s="71">
        <f>'NIVEAU WAARDE - 1e toetsperiode'!E42</f>
        <v>0</v>
      </c>
      <c r="I38" s="72" t="str">
        <f t="shared" si="0"/>
        <v/>
      </c>
      <c r="J38" s="171" t="str">
        <f t="shared" si="1"/>
        <v/>
      </c>
      <c r="K38" s="90"/>
      <c r="L38" s="73"/>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vorig jaar'!E43</f>
        <v>0</v>
      </c>
      <c r="H39" s="71">
        <f>'NIVEAU WAARDE - 1e toetsperiode'!E43</f>
        <v>0</v>
      </c>
      <c r="I39" s="72" t="str">
        <f t="shared" si="0"/>
        <v/>
      </c>
      <c r="J39" s="171" t="str">
        <f t="shared" si="1"/>
        <v/>
      </c>
      <c r="K39" s="90"/>
      <c r="L39" s="73"/>
      <c r="M39" s="72" t="str">
        <f t="shared" si="2"/>
        <v/>
      </c>
      <c r="N39" s="171" t="str">
        <f t="shared" si="3"/>
        <v/>
      </c>
      <c r="O39" s="1230" t="s">
        <v>210</v>
      </c>
      <c r="P39" s="1255">
        <f>'VERRIJKT - 1e periode'!C19</f>
        <v>0</v>
      </c>
    </row>
    <row r="40" spans="1:23" ht="19.5" customHeight="1" thickBot="1" x14ac:dyDescent="0.3">
      <c r="A40" s="77"/>
      <c r="B40" s="78"/>
      <c r="C40" s="868"/>
      <c r="D40" s="67">
        <v>0</v>
      </c>
      <c r="E40" s="94">
        <v>36</v>
      </c>
      <c r="F40" s="95">
        <f>BEGINBLAD!C39</f>
        <v>0</v>
      </c>
      <c r="G40" s="96">
        <f>'NIVEAU WAARDE - vorig jaar'!E44</f>
        <v>0</v>
      </c>
      <c r="H40" s="97">
        <f>'NIVEAU WAARDE - 1e toetsperiode'!E44</f>
        <v>0</v>
      </c>
      <c r="I40" s="98" t="str">
        <f t="shared" si="0"/>
        <v/>
      </c>
      <c r="J40" s="171" t="str">
        <f t="shared" si="1"/>
        <v/>
      </c>
      <c r="K40" s="177"/>
      <c r="L40" s="99"/>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86"/>
      <c r="G42" s="1267" t="s">
        <v>279</v>
      </c>
      <c r="H42" s="1268"/>
      <c r="I42" s="1287"/>
      <c r="J42" s="1288"/>
      <c r="K42" s="1288"/>
      <c r="L42" s="1288"/>
      <c r="M42" s="1289"/>
      <c r="O42" s="1230"/>
      <c r="P42" s="1255"/>
      <c r="R42" s="101"/>
      <c r="S42" s="101"/>
      <c r="T42" s="101"/>
      <c r="U42" s="101"/>
      <c r="V42" s="101"/>
      <c r="W42" s="101"/>
    </row>
    <row r="43" spans="1:23" ht="19.5" customHeight="1" x14ac:dyDescent="0.25">
      <c r="B43" s="78"/>
      <c r="C43" s="122" t="s">
        <v>280</v>
      </c>
      <c r="D43" s="1246"/>
      <c r="E43" s="1247"/>
      <c r="F43" s="1285"/>
      <c r="G43" s="1249" t="s">
        <v>280</v>
      </c>
      <c r="H43" s="1250"/>
      <c r="I43" s="1278"/>
      <c r="J43" s="1279"/>
      <c r="K43" s="1279"/>
      <c r="L43" s="1279"/>
      <c r="M43" s="1280"/>
      <c r="O43" s="1230"/>
      <c r="P43" s="1255"/>
      <c r="R43" s="101"/>
      <c r="S43" s="101"/>
      <c r="T43" s="101"/>
      <c r="U43" s="101"/>
      <c r="V43" s="101"/>
      <c r="W43" s="101"/>
    </row>
    <row r="44" spans="1:23" ht="19.5" customHeight="1" x14ac:dyDescent="0.25">
      <c r="B44" s="78"/>
      <c r="C44" s="122" t="s">
        <v>281</v>
      </c>
      <c r="D44" s="1246"/>
      <c r="E44" s="1247"/>
      <c r="F44" s="1285"/>
      <c r="G44" s="1249" t="s">
        <v>281</v>
      </c>
      <c r="H44" s="1250"/>
      <c r="I44" s="1278"/>
      <c r="J44" s="1279"/>
      <c r="K44" s="1279"/>
      <c r="L44" s="1279"/>
      <c r="M44" s="1280"/>
      <c r="O44" s="1230"/>
      <c r="P44" s="1255"/>
      <c r="R44" s="101"/>
      <c r="S44" s="101"/>
      <c r="T44" s="101"/>
      <c r="U44" s="101"/>
      <c r="V44" s="101"/>
      <c r="W44" s="101"/>
    </row>
    <row r="45" spans="1:23" ht="19.5" customHeight="1" x14ac:dyDescent="0.25">
      <c r="B45" s="78"/>
      <c r="C45" s="122" t="s">
        <v>282</v>
      </c>
      <c r="D45" s="1246"/>
      <c r="E45" s="1247"/>
      <c r="F45" s="1285"/>
      <c r="G45" s="1249" t="s">
        <v>282</v>
      </c>
      <c r="H45" s="1250"/>
      <c r="I45" s="1278"/>
      <c r="J45" s="1279"/>
      <c r="K45" s="1279"/>
      <c r="L45" s="1279"/>
      <c r="M45" s="1280"/>
      <c r="O45" s="1230"/>
      <c r="P45" s="1255"/>
      <c r="R45" s="101"/>
      <c r="S45" s="101"/>
      <c r="T45" s="101"/>
      <c r="U45" s="101"/>
      <c r="V45" s="101"/>
      <c r="W45" s="101"/>
    </row>
    <row r="46" spans="1:23" ht="19.5" customHeight="1" thickBot="1" x14ac:dyDescent="0.3">
      <c r="B46" s="78"/>
      <c r="C46" s="123" t="s">
        <v>283</v>
      </c>
      <c r="D46" s="1237"/>
      <c r="E46" s="1238"/>
      <c r="F46" s="1281"/>
      <c r="G46" s="1240" t="s">
        <v>283</v>
      </c>
      <c r="H46" s="1241"/>
      <c r="I46" s="1282"/>
      <c r="J46" s="1283"/>
      <c r="K46" s="1283"/>
      <c r="L46" s="1283"/>
      <c r="M46" s="1284"/>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f>H48/$D$49</f>
        <v>0.25</v>
      </c>
      <c r="H48" s="85">
        <f>COUNTIF($I$5:$I$40,"A-1+")</f>
        <v>2</v>
      </c>
      <c r="I48" s="85"/>
      <c r="J48" s="141" t="s">
        <v>419</v>
      </c>
      <c r="K48" s="141"/>
      <c r="L48" s="141"/>
      <c r="M48" s="161">
        <f>G48+G49+G50+G51+G52</f>
        <v>1</v>
      </c>
      <c r="N48" s="161">
        <v>1</v>
      </c>
      <c r="O48" s="149"/>
      <c r="P48" s="102"/>
    </row>
    <row r="49" spans="2:16" x14ac:dyDescent="0.25">
      <c r="B49" s="116"/>
      <c r="C49" s="104"/>
      <c r="D49" s="148">
        <f>COUNTIF(H5:H40,"&gt;0")</f>
        <v>8</v>
      </c>
      <c r="E49" s="142"/>
      <c r="F49" s="143" t="s">
        <v>420</v>
      </c>
      <c r="G49" s="150">
        <f>H49/$D$49</f>
        <v>0</v>
      </c>
      <c r="H49" s="85">
        <f>COUNTIF($I$5:$I$40,"A-1")</f>
        <v>0</v>
      </c>
      <c r="I49" s="85"/>
      <c r="J49" s="141"/>
      <c r="K49" s="141"/>
      <c r="L49" s="141"/>
      <c r="M49" s="161"/>
      <c r="N49" s="161">
        <v>0.7</v>
      </c>
      <c r="O49" s="162"/>
      <c r="P49" s="111"/>
    </row>
    <row r="50" spans="2:16" x14ac:dyDescent="0.25">
      <c r="B50" s="116"/>
      <c r="C50" s="104"/>
      <c r="D50" s="144"/>
      <c r="E50" s="142"/>
      <c r="F50" s="145" t="s">
        <v>421</v>
      </c>
      <c r="G50" s="150">
        <f>(H50+I50)/$D$49</f>
        <v>0.625</v>
      </c>
      <c r="H50" s="85">
        <f>COUNTIF($I$5:$I$40,"A-2")</f>
        <v>0</v>
      </c>
      <c r="I50" s="85">
        <f>COUNTIF($I$5:$I$40,"B-2")</f>
        <v>5</v>
      </c>
      <c r="J50" s="141"/>
      <c r="K50" s="141"/>
      <c r="L50" s="141"/>
      <c r="M50" s="161"/>
      <c r="N50" s="161">
        <v>0.6</v>
      </c>
      <c r="O50" s="162"/>
      <c r="P50" s="111"/>
    </row>
    <row r="51" spans="2:16" x14ac:dyDescent="0.25">
      <c r="B51" s="116"/>
      <c r="C51" s="104"/>
      <c r="D51" s="144"/>
      <c r="E51" s="142"/>
      <c r="F51" s="143" t="s">
        <v>422</v>
      </c>
      <c r="G51" s="150">
        <f>H51/$D$49</f>
        <v>0</v>
      </c>
      <c r="H51" s="85">
        <f>COUNTIF($I$5:$I$40,"B-3")</f>
        <v>0</v>
      </c>
      <c r="I51" s="85"/>
      <c r="J51" s="141"/>
      <c r="K51" s="141"/>
      <c r="L51" s="141"/>
      <c r="M51" s="161"/>
      <c r="N51" s="161">
        <f>$M$48</f>
        <v>1</v>
      </c>
      <c r="O51" s="162"/>
      <c r="P51" s="111"/>
    </row>
    <row r="52" spans="2:16" x14ac:dyDescent="0.25">
      <c r="B52" s="116"/>
      <c r="C52" s="104"/>
      <c r="D52" s="144"/>
      <c r="E52" s="142"/>
      <c r="F52" s="143" t="s">
        <v>423</v>
      </c>
      <c r="G52" s="150">
        <f>H52/$D$49</f>
        <v>0.125</v>
      </c>
      <c r="H52" s="85">
        <f>COUNTIF($I$5:$I$40,"c-3")</f>
        <v>1</v>
      </c>
      <c r="I52" s="85"/>
      <c r="J52" s="141" t="s">
        <v>352</v>
      </c>
      <c r="K52" s="141"/>
      <c r="L52" s="141"/>
      <c r="M52" s="161">
        <f>G53+G54+G55+G57</f>
        <v>0</v>
      </c>
      <c r="N52" s="163"/>
      <c r="O52" s="162"/>
      <c r="P52" s="111"/>
    </row>
    <row r="53" spans="2:16" x14ac:dyDescent="0.25">
      <c r="B53" s="116"/>
      <c r="C53" s="104"/>
      <c r="D53" s="144"/>
      <c r="E53" s="142"/>
      <c r="F53" s="145" t="s">
        <v>424</v>
      </c>
      <c r="G53" s="150">
        <f>H53/$D$49</f>
        <v>0</v>
      </c>
      <c r="H53" s="85">
        <f>COUNTIF($I$5:$I$40,"c-4")</f>
        <v>0</v>
      </c>
      <c r="I53" s="83"/>
      <c r="J53" s="141"/>
      <c r="K53" s="141"/>
      <c r="L53" s="141"/>
      <c r="M53" s="161"/>
      <c r="N53" s="163"/>
      <c r="O53" s="162"/>
      <c r="P53" s="111"/>
    </row>
    <row r="54" spans="2:16" x14ac:dyDescent="0.25">
      <c r="B54" s="116"/>
      <c r="C54" s="104"/>
      <c r="D54" s="144"/>
      <c r="E54" s="142"/>
      <c r="F54" s="142" t="s">
        <v>425</v>
      </c>
      <c r="G54" s="150">
        <f>H54/$D$49</f>
        <v>0</v>
      </c>
      <c r="H54" s="85">
        <f>COUNTIF($I$5:$I$40,"d-4")</f>
        <v>0</v>
      </c>
      <c r="I54" s="83"/>
      <c r="J54" s="141"/>
      <c r="K54" s="141"/>
      <c r="L54" s="141"/>
      <c r="M54" s="161"/>
      <c r="N54" s="163"/>
      <c r="O54" s="162"/>
      <c r="P54" s="111"/>
    </row>
    <row r="55" spans="2:16" x14ac:dyDescent="0.25">
      <c r="B55" s="116"/>
      <c r="C55" s="104"/>
      <c r="D55" s="144"/>
      <c r="E55" s="142"/>
      <c r="F55" s="143" t="s">
        <v>426</v>
      </c>
      <c r="G55" s="150">
        <f>(H55+I55)/$D$49</f>
        <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f>M48+M52</f>
        <v>1</v>
      </c>
      <c r="N56" s="1245"/>
      <c r="O56" s="162"/>
      <c r="P56" s="111"/>
    </row>
    <row r="57" spans="2:16" x14ac:dyDescent="0.25">
      <c r="B57" s="116"/>
      <c r="C57" s="104"/>
      <c r="D57" s="144"/>
      <c r="E57" s="142"/>
      <c r="F57" s="146" t="s">
        <v>427</v>
      </c>
      <c r="G57" s="150">
        <f>H57/$D$49</f>
        <v>0</v>
      </c>
      <c r="H57" s="85">
        <f>COUNTIF($I$5:$I$40,"e-5-")</f>
        <v>0</v>
      </c>
      <c r="I57" s="85"/>
      <c r="J57" s="141"/>
      <c r="K57" s="141"/>
      <c r="L57" s="141"/>
      <c r="M57" s="161"/>
      <c r="N57" s="1245"/>
      <c r="O57" s="162"/>
      <c r="P57" s="111"/>
    </row>
    <row r="58" spans="2:16" x14ac:dyDescent="0.25">
      <c r="B58" s="116"/>
      <c r="C58" s="104"/>
      <c r="D58" s="144"/>
      <c r="E58" s="142"/>
      <c r="F58" s="143" t="s">
        <v>69</v>
      </c>
      <c r="G58" s="147">
        <f>SUM(G48:G57)</f>
        <v>1</v>
      </c>
      <c r="H58" s="131">
        <f>SUM(H48:H57)</f>
        <v>3</v>
      </c>
      <c r="I58" s="131">
        <f>SUM(I48:I57)</f>
        <v>5</v>
      </c>
      <c r="J58" s="83"/>
      <c r="K58" s="83"/>
      <c r="L58" s="149"/>
      <c r="M58" s="149"/>
      <c r="N58" s="149"/>
      <c r="O58" s="149"/>
      <c r="P58" s="102"/>
    </row>
    <row r="59" spans="2:16" x14ac:dyDescent="0.25">
      <c r="B59" s="116"/>
      <c r="C59" s="104"/>
      <c r="D59" s="144"/>
      <c r="E59" s="142"/>
      <c r="F59" s="131"/>
      <c r="G59" s="131"/>
      <c r="H59" s="83">
        <f>SUM(H58+I58)</f>
        <v>8</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cellIs" dxfId="588" priority="96" operator="equal">
      <formula>""</formula>
    </cfRule>
    <cfRule type="expression" dxfId="587" priority="97" stopIfTrue="1">
      <formula>B7=8</formula>
    </cfRule>
    <cfRule type="expression" dxfId="586" priority="98" stopIfTrue="1">
      <formula>B7=7</formula>
    </cfRule>
    <cfRule type="expression" dxfId="585" priority="99" stopIfTrue="1">
      <formula>B7=6</formula>
    </cfRule>
    <cfRule type="expression" dxfId="584" priority="102" stopIfTrue="1">
      <formula>B7=5</formula>
    </cfRule>
    <cfRule type="expression" dxfId="583" priority="101" stopIfTrue="1">
      <formula>B7=4</formula>
    </cfRule>
    <cfRule type="expression" dxfId="582" priority="100" stopIfTrue="1">
      <formula>B7=3</formula>
    </cfRule>
  </conditionalFormatting>
  <conditionalFormatting sqref="C29:C40">
    <cfRule type="expression" dxfId="581" priority="82" stopIfTrue="1">
      <formula>B29=5</formula>
    </cfRule>
    <cfRule type="expression" dxfId="580" priority="80" stopIfTrue="1">
      <formula>B29=3</formula>
    </cfRule>
    <cfRule type="cellIs" dxfId="579" priority="76" operator="equal">
      <formula>""</formula>
    </cfRule>
    <cfRule type="expression" dxfId="578" priority="77" stopIfTrue="1">
      <formula>B29=8</formula>
    </cfRule>
    <cfRule type="expression" dxfId="577" priority="78" stopIfTrue="1">
      <formula>B29=7</formula>
    </cfRule>
    <cfRule type="expression" dxfId="576" priority="79" stopIfTrue="1">
      <formula>B29=6</formula>
    </cfRule>
    <cfRule type="expression" dxfId="575" priority="81" stopIfTrue="1">
      <formula>B29=4</formula>
    </cfRule>
  </conditionalFormatting>
  <conditionalFormatting sqref="C42:C46">
    <cfRule type="cellIs" dxfId="574" priority="160" operator="notEqual">
      <formula>""</formula>
    </cfRule>
  </conditionalFormatting>
  <conditionalFormatting sqref="E5:E40">
    <cfRule type="expression" dxfId="573" priority="197">
      <formula>$D5=7</formula>
    </cfRule>
    <cfRule type="expression" dxfId="572" priority="196">
      <formula>$D5=8</formula>
    </cfRule>
    <cfRule type="expression" dxfId="571" priority="195">
      <formula>$D5=5</formula>
    </cfRule>
    <cfRule type="expression" dxfId="570" priority="194">
      <formula>$D5=4</formula>
    </cfRule>
    <cfRule type="expression" dxfId="569" priority="193">
      <formula>$D5=3</formula>
    </cfRule>
    <cfRule type="expression" dxfId="568" priority="198">
      <formula>$D5=6</formula>
    </cfRule>
  </conditionalFormatting>
  <conditionalFormatting sqref="F5:F40">
    <cfRule type="expression" dxfId="567" priority="202">
      <formula>$H5=0</formula>
    </cfRule>
    <cfRule type="expression" dxfId="566" priority="201">
      <formula>$H5&gt;=#REF!</formula>
    </cfRule>
    <cfRule type="expression" dxfId="565" priority="200">
      <formula>$H5&lt;#REF!</formula>
    </cfRule>
    <cfRule type="expression" dxfId="564" priority="199">
      <formula>$H5=0</formula>
    </cfRule>
  </conditionalFormatting>
  <conditionalFormatting sqref="G42:G46">
    <cfRule type="cellIs" dxfId="563" priority="181" operator="notEqual">
      <formula>""</formula>
    </cfRule>
  </conditionalFormatting>
  <conditionalFormatting sqref="H5:H40">
    <cfRule type="cellIs" dxfId="562" priority="1" operator="between">
      <formula>1.6</formula>
      <formula>2.5</formula>
    </cfRule>
    <cfRule type="cellIs" dxfId="561" priority="207" stopIfTrue="1" operator="between">
      <formula>3</formula>
      <formula>3.9</formula>
    </cfRule>
    <cfRule type="cellIs" dxfId="560" priority="208" stopIfTrue="1" operator="between">
      <formula>4</formula>
      <formula>5</formula>
    </cfRule>
    <cfRule type="cellIs" dxfId="559" priority="206" stopIfTrue="1" operator="between">
      <formula>0.1</formula>
      <formula>1.5</formula>
    </cfRule>
  </conditionalFormatting>
  <conditionalFormatting sqref="I5:I39">
    <cfRule type="cellIs" dxfId="558" priority="2" operator="between">
      <formula>"C-4"</formula>
      <formula>"D-4"</formula>
    </cfRule>
    <cfRule type="cellIs" dxfId="557" priority="5" stopIfTrue="1" operator="between">
      <formula>"D-5"</formula>
      <formula>"E-5"</formula>
    </cfRule>
    <cfRule type="cellIs" dxfId="556" priority="7" stopIfTrue="1" operator="between">
      <formula>"A-1"</formula>
      <formula>"A-2"</formula>
    </cfRule>
    <cfRule type="cellIs" dxfId="555" priority="6" stopIfTrue="1" operator="between">
      <formula>"B-2"</formula>
      <formula>"B-3"</formula>
    </cfRule>
  </conditionalFormatting>
  <conditionalFormatting sqref="I5:I40">
    <cfRule type="cellIs" dxfId="554" priority="3" operator="equal">
      <formula>"E-5-"</formula>
    </cfRule>
    <cfRule type="cellIs" dxfId="553" priority="4" operator="equal">
      <formula>"A-1+"</formula>
    </cfRule>
  </conditionalFormatting>
  <conditionalFormatting sqref="I40">
    <cfRule type="cellIs" dxfId="552" priority="10" stopIfTrue="1" operator="between">
      <formula>"D-3"</formula>
      <formula>"E-5"</formula>
    </cfRule>
    <cfRule type="cellIs" dxfId="551" priority="12" stopIfTrue="1" operator="between">
      <formula>"A-1"</formula>
      <formula>"A-2"</formula>
    </cfRule>
    <cfRule type="cellIs" dxfId="550" priority="11" stopIfTrue="1" operator="between">
      <formula>"B-2"</formula>
      <formula>"B-3"</formula>
    </cfRule>
  </conditionalFormatting>
  <conditionalFormatting sqref="J5:J40">
    <cfRule type="cellIs" dxfId="549" priority="131" operator="equal">
      <formula>"*"</formula>
    </cfRule>
    <cfRule type="cellIs" dxfId="548" priority="132" operator="equal">
      <formula>"!"</formula>
    </cfRule>
  </conditionalFormatting>
  <conditionalFormatting sqref="K33:K40">
    <cfRule type="cellIs" dxfId="547" priority="138" operator="equal">
      <formula>""</formula>
    </cfRule>
  </conditionalFormatting>
  <conditionalFormatting sqref="L5:L40">
    <cfRule type="cellIs" dxfId="546" priority="20" stopIfTrue="1" operator="between">
      <formula>0.1</formula>
      <formula>1.5</formula>
    </cfRule>
    <cfRule type="cellIs" dxfId="545" priority="19" operator="between">
      <formula>1.6</formula>
      <formula>2.5</formula>
    </cfRule>
    <cfRule type="cellIs" dxfId="544" priority="22" stopIfTrue="1" operator="between">
      <formula>4</formula>
      <formula>5</formula>
    </cfRule>
    <cfRule type="cellIs" dxfId="543" priority="21" stopIfTrue="1" operator="between">
      <formula>3</formula>
      <formula>3.9</formula>
    </cfRule>
  </conditionalFormatting>
  <conditionalFormatting sqref="M5:M40">
    <cfRule type="cellIs" dxfId="542" priority="18" stopIfTrue="1" operator="between">
      <formula>"A-1"</formula>
      <formula>"A-2"</formula>
    </cfRule>
    <cfRule type="cellIs" dxfId="541" priority="17" stopIfTrue="1" operator="between">
      <formula>"B-2"</formula>
      <formula>"B-3"</formula>
    </cfRule>
    <cfRule type="cellIs" dxfId="540" priority="16" stopIfTrue="1" operator="between">
      <formula>"D-5"</formula>
      <formula>"E-5"</formula>
    </cfRule>
    <cfRule type="cellIs" dxfId="539" priority="15" operator="equal">
      <formula>"A-1+"</formula>
    </cfRule>
    <cfRule type="cellIs" dxfId="538" priority="14" operator="equal">
      <formula>"E-5-"</formula>
    </cfRule>
    <cfRule type="cellIs" dxfId="537" priority="13" operator="between">
      <formula>"C-4"</formula>
      <formula>"D-4"</formula>
    </cfRule>
  </conditionalFormatting>
  <conditionalFormatting sqref="N5:N40">
    <cfRule type="cellIs" dxfId="536" priority="129" operator="equal">
      <formula>"*"</formula>
    </cfRule>
    <cfRule type="cellIs" dxfId="535" priority="130" operator="equal">
      <formula>"!"</formula>
    </cfRule>
  </conditionalFormatting>
  <conditionalFormatting sqref="R6:R7">
    <cfRule type="cellIs" dxfId="534" priority="174" operator="equal">
      <formula>0</formula>
    </cfRule>
  </conditionalFormatting>
  <conditionalFormatting sqref="R9 R11">
    <cfRule type="cellIs" dxfId="533" priority="177" operator="equal">
      <formula>0</formula>
    </cfRule>
  </conditionalFormatting>
  <conditionalFormatting sqref="R13 R15">
    <cfRule type="cellIs" dxfId="532" priority="178" operator="equal">
      <formula>0</formula>
    </cfRule>
  </conditionalFormatting>
  <conditionalFormatting sqref="S7:U7 S9:U9 S11:U11">
    <cfRule type="cellIs" dxfId="531" priority="180" operator="equal">
      <formula>0</formula>
    </cfRule>
  </conditionalFormatting>
  <conditionalFormatting sqref="S13:U13 S15:U15">
    <cfRule type="cellIs" dxfId="530" priority="175" operator="equal">
      <formula>0</formula>
    </cfRule>
  </conditionalFormatting>
  <conditionalFormatting sqref="V6:V7">
    <cfRule type="cellIs" dxfId="529" priority="173" operator="equal">
      <formula>0</formula>
    </cfRule>
  </conditionalFormatting>
  <conditionalFormatting sqref="V9 V11">
    <cfRule type="cellIs" dxfId="528" priority="176" operator="equal">
      <formula>0</formula>
    </cfRule>
  </conditionalFormatting>
  <conditionalFormatting sqref="V13 V15">
    <cfRule type="cellIs" dxfId="527" priority="179" operator="equal">
      <formula>0</formula>
    </cfRule>
  </conditionalFormatting>
  <dataValidations count="10">
    <dataValidation type="list" allowBlank="1" showInputMessage="1" showErrorMessage="1" sqref="C46 G46" xr:uid="{00000000-0002-0000-2700-000000000000}">
      <formula1>"vrijdag,"</formula1>
    </dataValidation>
    <dataValidation type="list" allowBlank="1" showInputMessage="1" showErrorMessage="1" sqref="C45 G45" xr:uid="{00000000-0002-0000-2700-000001000000}">
      <formula1>"donderdag,"</formula1>
    </dataValidation>
    <dataValidation type="list" allowBlank="1" showInputMessage="1" showErrorMessage="1" sqref="C44 G44" xr:uid="{00000000-0002-0000-2700-000002000000}">
      <formula1>"woensdag,"</formula1>
    </dataValidation>
    <dataValidation type="list" allowBlank="1" showInputMessage="1" showErrorMessage="1" sqref="C43 G43" xr:uid="{00000000-0002-0000-2700-000003000000}">
      <formula1>"dinsdag,"</formula1>
    </dataValidation>
    <dataValidation type="list" allowBlank="1" showInputMessage="1" showErrorMessage="1" sqref="C42 G42" xr:uid="{00000000-0002-0000-2700-000004000000}">
      <formula1>"maandag,"</formula1>
    </dataValidation>
    <dataValidation type="list" allowBlank="1" showInputMessage="1" showErrorMessage="1" sqref="B7:B18 B29:B40" xr:uid="{00000000-0002-0000-27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700-000006000000}">
      <formula1>2</formula1>
    </dataValidation>
    <dataValidation allowBlank="1" showInputMessage="1" showErrorMessage="1" promptTitle="Pulldown venster" prompt="groeps  HP: -_x000a_indiv.    HP:#_x000a_hele groep: $" sqref="C7:C17 C29:C39" xr:uid="{00000000-0002-0000-2700-000007000000}"/>
    <dataValidation allowBlank="1" showInputMessage="1" showErrorMessage="1" promptTitle="Pulldown menu" prompt="groeps  HP: -_x000a_indiv.    HP:#_x000a_hele groep: $" sqref="C18 C40" xr:uid="{00000000-0002-0000-2700-000008000000}"/>
    <dataValidation allowBlank="1" showInputMessage="1" showErrorMessage="1" promptTitle="Nieuwe regel:" prompt="druk op Alt-Enter" sqref="P15 P28 P17 P26 P37 P39" xr:uid="{00000000-0002-0000-27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pageSetUpPr fitToPage="1"/>
  </sheetPr>
  <dimension ref="A1:X85"/>
  <sheetViews>
    <sheetView showGridLines="0" showRowColHeaders="0" zoomScale="75" zoomScaleNormal="75" workbookViewId="0">
      <selection activeCell="T9" sqref="T9"/>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437</v>
      </c>
      <c r="D1" s="1177"/>
      <c r="E1" s="1177"/>
      <c r="F1" s="1177"/>
      <c r="G1" s="1177"/>
      <c r="H1" s="1177"/>
      <c r="I1" s="1177"/>
      <c r="J1" s="1177"/>
      <c r="K1" s="1233" t="str">
        <f>BEGINBLAD!$I$2</f>
        <v>groep 6</v>
      </c>
      <c r="L1" s="1233"/>
      <c r="M1" s="1233"/>
      <c r="N1" s="1233"/>
      <c r="O1" s="1233"/>
      <c r="P1" s="49"/>
      <c r="X1" s="50"/>
    </row>
    <row r="2" spans="1:24" ht="24" customHeight="1" x14ac:dyDescent="0.25">
      <c r="C2" s="1178" t="str">
        <f>BEGINBLAD!$S$2</f>
        <v>mei.</v>
      </c>
      <c r="D2" s="1178"/>
      <c r="E2" s="175"/>
      <c r="F2" s="412" t="str">
        <f>BEGINBLAD!$T$2</f>
        <v>sep.</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429</v>
      </c>
      <c r="H4" s="61" t="s">
        <v>435</v>
      </c>
      <c r="I4" s="62" t="s">
        <v>407</v>
      </c>
      <c r="J4" s="170"/>
      <c r="K4" s="60" t="s">
        <v>429</v>
      </c>
      <c r="L4" s="64" t="s">
        <v>436</v>
      </c>
      <c r="M4" s="62" t="s">
        <v>407</v>
      </c>
      <c r="N4" s="170"/>
      <c r="O4" s="54"/>
    </row>
    <row r="5" spans="1:24" ht="19.5" customHeight="1" x14ac:dyDescent="0.25">
      <c r="B5" s="1164" t="s">
        <v>62</v>
      </c>
      <c r="C5" s="66" t="s">
        <v>273</v>
      </c>
      <c r="D5" s="67">
        <v>0</v>
      </c>
      <c r="E5" s="68">
        <v>1</v>
      </c>
      <c r="F5" s="120" t="str">
        <f>BEGINBLAD!C4</f>
        <v>leerling 1</v>
      </c>
      <c r="G5" s="70">
        <f>'NIVEAU WAARDE - 1e toetsperiode'!E9</f>
        <v>3.9</v>
      </c>
      <c r="H5" s="71">
        <f>'NIVEAU WAARDE - 2e toetsperiode'!E9</f>
        <v>0</v>
      </c>
      <c r="I5" s="72" t="str">
        <f>IF(H5=0,"",IF(H5&gt;4.5,"A-1+",IF(H5&gt;4.2,"A-1",IF(H5&gt;=4,"A-2",IF(H5&gt;3.4,"B-2",IF(H5&gt;=3,"B-3",IF(H5&gt;2.5,"C-3",IF(H5&gt;=2,"C-4",IF(H5&gt;1.6,"D-4",IF(H5&gt;=1,"D-5",IF(H5&gt;0.5,"E-5",IF(H5&gt;=0,"E-5-"))))))))))))</f>
        <v/>
      </c>
      <c r="J5" s="171" t="str">
        <f>IF(H5=0,"",IF(G5-H5&gt;0.5,"!",IF(H5-G5&gt;0.5,"*",IF(H5-G5&lt;=0.5,""))))</f>
        <v/>
      </c>
      <c r="K5" s="342">
        <f>'SPELLEN - 1e periode'!L5</f>
        <v>3.9</v>
      </c>
      <c r="L5" s="73"/>
      <c r="M5" s="72" t="str">
        <f>IF(L5=0,"",IF(L5&gt;4.5,"A-1+",IF(L5&gt;4.2,"A-1",IF(L5&gt;=4,"A-2",IF(L5&gt;3.4,"B-2",IF(L5&gt;=3,"B-3",IF(L5&gt;2.5,"C-3",IF(L5&gt;=2,"C-4",IF(L5&gt;1.6,"D-4",IF(L5&gt;=1,"D-5",IF(L5&gt;0.5,"E-5",IF(L5&gt;=0,"E-5-"))))))))))))</f>
        <v/>
      </c>
      <c r="N5" s="171" t="str">
        <f>IF(L5=0,"",IF(K5-L5&gt;0.5,"!",IF(L5-K5&gt;0.5,"*",IF(L5-K5&lt;=0.5,""))))</f>
        <v/>
      </c>
      <c r="O5" s="75"/>
    </row>
    <row r="6" spans="1:24" ht="19.5" customHeight="1" x14ac:dyDescent="0.25">
      <c r="B6" s="1164"/>
      <c r="C6" s="76" t="s">
        <v>274</v>
      </c>
      <c r="D6" s="67">
        <v>0</v>
      </c>
      <c r="E6" s="68">
        <v>2</v>
      </c>
      <c r="F6" s="69" t="str">
        <f>BEGINBLAD!C5</f>
        <v>leerling 2</v>
      </c>
      <c r="G6" s="70">
        <f>'NIVEAU WAARDE - 1e toetsperiode'!E10</f>
        <v>4.5999999999999996</v>
      </c>
      <c r="H6" s="71">
        <f>'NIVEAU WAARDE - 2e toetsperiode'!E10</f>
        <v>0</v>
      </c>
      <c r="I6" s="72" t="str">
        <f t="shared" ref="I6:I40" si="0">IF(H6=0,"",IF(H6&gt;4.5,"A-1+",IF(H6&gt;4.2,"A-1",IF(H6&gt;=4,"A-2",IF(H6&gt;3.4,"B-2",IF(H6&gt;=3,"B-3",IF(H6&gt;2.5,"C-3",IF(H6&gt;=2,"C-4",IF(H6&gt;1.6,"D-4",IF(H6&gt;=1,"D-5",IF(H6&gt;0.5,"E-5",IF(H6&gt;=0,"E-5-"))))))))))))</f>
        <v/>
      </c>
      <c r="J6" s="171" t="str">
        <f t="shared" ref="J6:J40" si="1">IF(H6=0,"",IF(G6-H6&gt;0.5,"!",IF(H6-G6&gt;0.5,"*",IF(H6-G6&lt;=0.5,""))))</f>
        <v/>
      </c>
      <c r="K6" s="342">
        <f>'SPELLEN - 1e periode'!L6</f>
        <v>4.2</v>
      </c>
      <c r="L6" s="73"/>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t="str">
        <f>BEGINBLAD!C6</f>
        <v>leerling 3</v>
      </c>
      <c r="G7" s="70">
        <f>'NIVEAU WAARDE - 1e toetsperiode'!E11</f>
        <v>4.5999999999999996</v>
      </c>
      <c r="H7" s="71">
        <f>'NIVEAU WAARDE - 2e toetsperiode'!E11</f>
        <v>0</v>
      </c>
      <c r="I7" s="72" t="str">
        <f t="shared" si="0"/>
        <v/>
      </c>
      <c r="J7" s="171" t="str">
        <f t="shared" si="1"/>
        <v/>
      </c>
      <c r="K7" s="342">
        <f>'SPELLEN - 1e periode'!L7</f>
        <v>3.2</v>
      </c>
      <c r="L7" s="73"/>
      <c r="M7" s="72" t="str">
        <f t="shared" si="2"/>
        <v/>
      </c>
      <c r="N7" s="171" t="str">
        <f t="shared" si="3"/>
        <v/>
      </c>
      <c r="O7" s="75"/>
      <c r="R7" s="107"/>
      <c r="S7" s="107"/>
      <c r="T7" s="107"/>
      <c r="U7" s="107"/>
      <c r="V7" s="107"/>
    </row>
    <row r="8" spans="1:24" ht="19.5" customHeight="1" x14ac:dyDescent="0.25">
      <c r="A8" s="77"/>
      <c r="B8" s="257"/>
      <c r="C8" s="259"/>
      <c r="D8" s="80">
        <v>0</v>
      </c>
      <c r="E8" s="68">
        <v>4</v>
      </c>
      <c r="F8" s="69" t="str">
        <f>BEGINBLAD!C7</f>
        <v>leerling 4</v>
      </c>
      <c r="G8" s="70">
        <f>'NIVEAU WAARDE - 1e toetsperiode'!E12</f>
        <v>3.6</v>
      </c>
      <c r="H8" s="71">
        <f>'NIVEAU WAARDE - 2e toetsperiode'!E12</f>
        <v>0</v>
      </c>
      <c r="I8" s="72" t="str">
        <f t="shared" si="0"/>
        <v/>
      </c>
      <c r="J8" s="171" t="str">
        <f t="shared" si="1"/>
        <v/>
      </c>
      <c r="K8" s="342">
        <f>'SPELLEN - 1e periode'!L8</f>
        <v>3.9</v>
      </c>
      <c r="L8" s="73"/>
      <c r="M8" s="72" t="str">
        <f t="shared" si="2"/>
        <v/>
      </c>
      <c r="N8" s="171" t="str">
        <f t="shared" si="3"/>
        <v/>
      </c>
      <c r="O8" s="82"/>
      <c r="R8" s="637"/>
      <c r="S8" s="107"/>
      <c r="T8" s="107"/>
      <c r="U8" s="107"/>
      <c r="V8" s="107"/>
    </row>
    <row r="9" spans="1:24" ht="19.5" customHeight="1" x14ac:dyDescent="0.25">
      <c r="A9" s="77"/>
      <c r="B9" s="257"/>
      <c r="C9" s="259"/>
      <c r="D9" s="83">
        <v>0</v>
      </c>
      <c r="E9" s="68">
        <v>5</v>
      </c>
      <c r="F9" s="69" t="str">
        <f>BEGINBLAD!C8</f>
        <v>leerling 5</v>
      </c>
      <c r="G9" s="70">
        <f>'NIVEAU WAARDE - 1e toetsperiode'!E13</f>
        <v>3.9</v>
      </c>
      <c r="H9" s="71">
        <f>'NIVEAU WAARDE - 2e toetsperiode'!E13</f>
        <v>0</v>
      </c>
      <c r="I9" s="72" t="str">
        <f t="shared" si="0"/>
        <v/>
      </c>
      <c r="J9" s="171" t="str">
        <f t="shared" si="1"/>
        <v/>
      </c>
      <c r="K9" s="342">
        <f>'SPELLEN - 1e periode'!L9</f>
        <v>2.5</v>
      </c>
      <c r="L9" s="73"/>
      <c r="M9" s="72" t="str">
        <f t="shared" si="2"/>
        <v/>
      </c>
      <c r="N9" s="171" t="str">
        <f t="shared" si="3"/>
        <v/>
      </c>
      <c r="O9" s="84"/>
      <c r="R9" s="637"/>
      <c r="S9" s="107"/>
      <c r="T9" s="107"/>
      <c r="U9" s="107"/>
      <c r="V9" s="107"/>
    </row>
    <row r="10" spans="1:24" ht="19.5" customHeight="1" x14ac:dyDescent="0.25">
      <c r="A10" s="77"/>
      <c r="B10" s="257"/>
      <c r="C10" s="259"/>
      <c r="D10" s="85">
        <v>0</v>
      </c>
      <c r="E10" s="68">
        <v>6</v>
      </c>
      <c r="F10" s="69" t="str">
        <f>BEGINBLAD!C9</f>
        <v>leerling 6</v>
      </c>
      <c r="G10" s="70">
        <f>'NIVEAU WAARDE - 1e toetsperiode'!E14</f>
        <v>3.9</v>
      </c>
      <c r="H10" s="71">
        <f>'NIVEAU WAARDE - 2e toetsperiode'!E14</f>
        <v>0</v>
      </c>
      <c r="I10" s="72" t="str">
        <f t="shared" si="0"/>
        <v/>
      </c>
      <c r="J10" s="171" t="str">
        <f t="shared" si="1"/>
        <v/>
      </c>
      <c r="K10" s="342">
        <f>'SPELLEN - 1e periode'!L10</f>
        <v>2.2000000000000002</v>
      </c>
      <c r="L10" s="73"/>
      <c r="M10" s="72" t="str">
        <f t="shared" si="2"/>
        <v/>
      </c>
      <c r="N10" s="171" t="str">
        <f t="shared" si="3"/>
        <v/>
      </c>
      <c r="O10" s="86"/>
      <c r="R10" s="637"/>
      <c r="S10" s="107"/>
      <c r="T10" s="107"/>
      <c r="U10" s="107"/>
      <c r="V10" s="107"/>
    </row>
    <row r="11" spans="1:24" ht="19.5" customHeight="1" x14ac:dyDescent="0.25">
      <c r="A11" s="77"/>
      <c r="B11" s="78"/>
      <c r="C11" s="868"/>
      <c r="D11" s="85">
        <v>0</v>
      </c>
      <c r="E11" s="68">
        <v>7</v>
      </c>
      <c r="F11" s="69" t="str">
        <f>BEGINBLAD!C10</f>
        <v>leerling 7</v>
      </c>
      <c r="G11" s="70">
        <f>'NIVEAU WAARDE - 1e toetsperiode'!E15</f>
        <v>3.6</v>
      </c>
      <c r="H11" s="71">
        <f>'NIVEAU WAARDE - 2e toetsperiode'!E15</f>
        <v>0</v>
      </c>
      <c r="I11" s="72" t="str">
        <f t="shared" si="0"/>
        <v/>
      </c>
      <c r="J11" s="171" t="str">
        <f t="shared" si="1"/>
        <v/>
      </c>
      <c r="K11" s="342">
        <f>'SPELLEN - 1e periode'!L11</f>
        <v>3.6</v>
      </c>
      <c r="L11" s="73"/>
      <c r="M11" s="72" t="str">
        <f t="shared" si="2"/>
        <v/>
      </c>
      <c r="N11" s="171" t="str">
        <f t="shared" si="3"/>
        <v/>
      </c>
      <c r="O11" s="56"/>
      <c r="R11" s="637"/>
      <c r="S11" s="107"/>
      <c r="T11" s="107"/>
      <c r="U11" s="107"/>
      <c r="V11" s="107"/>
    </row>
    <row r="12" spans="1:24" ht="19.5" customHeight="1" x14ac:dyDescent="0.25">
      <c r="A12" s="77"/>
      <c r="B12" s="78"/>
      <c r="C12" s="868"/>
      <c r="D12" s="67">
        <v>0</v>
      </c>
      <c r="E12" s="68">
        <v>8</v>
      </c>
      <c r="F12" s="69" t="str">
        <f>BEGINBLAD!C11</f>
        <v>leerling 8</v>
      </c>
      <c r="G12" s="70">
        <f>'NIVEAU WAARDE - 1e toetsperiode'!E16</f>
        <v>2.7</v>
      </c>
      <c r="H12" s="71">
        <f>'NIVEAU WAARDE - 2e toetsperiode'!E16</f>
        <v>0</v>
      </c>
      <c r="I12" s="72" t="str">
        <f t="shared" si="0"/>
        <v/>
      </c>
      <c r="J12" s="171" t="str">
        <f t="shared" si="1"/>
        <v/>
      </c>
      <c r="K12" s="342">
        <f>'SPELLEN - 1e periode'!L12</f>
        <v>2.9</v>
      </c>
      <c r="L12" s="73"/>
      <c r="M12" s="72" t="str">
        <f t="shared" si="2"/>
        <v/>
      </c>
      <c r="N12" s="171" t="str">
        <f t="shared" si="3"/>
        <v/>
      </c>
      <c r="O12" s="54"/>
      <c r="R12" s="637"/>
      <c r="S12" s="107"/>
      <c r="T12" s="107"/>
      <c r="U12" s="107"/>
      <c r="V12" s="107"/>
    </row>
    <row r="13" spans="1:24" ht="19.5" customHeight="1" x14ac:dyDescent="0.25">
      <c r="A13" s="77"/>
      <c r="B13" s="78"/>
      <c r="C13" s="868"/>
      <c r="D13" s="67">
        <v>0</v>
      </c>
      <c r="E13" s="68">
        <v>9</v>
      </c>
      <c r="F13" s="69">
        <f>BEGINBLAD!C12</f>
        <v>0</v>
      </c>
      <c r="G13" s="70">
        <f>'NIVEAU WAARDE - 1e toetsperiode'!E17</f>
        <v>0</v>
      </c>
      <c r="H13" s="71">
        <f>'NIVEAU WAARDE - 2e toetsperiode'!E17</f>
        <v>0</v>
      </c>
      <c r="I13" s="72" t="str">
        <f t="shared" si="0"/>
        <v/>
      </c>
      <c r="J13" s="171" t="str">
        <f t="shared" si="1"/>
        <v/>
      </c>
      <c r="K13" s="342">
        <f>'SPELLEN - 1e periode'!L13</f>
        <v>0</v>
      </c>
      <c r="L13" s="73"/>
      <c r="M13" s="72" t="str">
        <f t="shared" si="2"/>
        <v/>
      </c>
      <c r="N13" s="171" t="str">
        <f t="shared" si="3"/>
        <v/>
      </c>
      <c r="O13" s="75"/>
      <c r="R13" s="637"/>
      <c r="S13" s="108"/>
      <c r="T13" s="108"/>
      <c r="U13" s="108"/>
      <c r="V13" s="108"/>
    </row>
    <row r="14" spans="1:24" ht="19.5" customHeight="1" thickBot="1" x14ac:dyDescent="0.3">
      <c r="A14" s="77"/>
      <c r="B14" s="78"/>
      <c r="C14" s="868"/>
      <c r="D14" s="67">
        <v>0</v>
      </c>
      <c r="E14" s="68">
        <v>10</v>
      </c>
      <c r="F14" s="69">
        <f>BEGINBLAD!C13</f>
        <v>0</v>
      </c>
      <c r="G14" s="70">
        <f>'NIVEAU WAARDE - 1e toetsperiode'!E18</f>
        <v>0</v>
      </c>
      <c r="H14" s="71">
        <f>'NIVEAU WAARDE - 2e toetsperiode'!E18</f>
        <v>0</v>
      </c>
      <c r="I14" s="72" t="str">
        <f t="shared" si="0"/>
        <v/>
      </c>
      <c r="J14" s="171" t="str">
        <f t="shared" si="1"/>
        <v/>
      </c>
      <c r="K14" s="342">
        <f>'SPELLEN - 1e periode'!L14</f>
        <v>0</v>
      </c>
      <c r="L14" s="73"/>
      <c r="M14" s="72" t="str">
        <f t="shared" si="2"/>
        <v/>
      </c>
      <c r="N14" s="171" t="str">
        <f t="shared" si="3"/>
        <v/>
      </c>
      <c r="O14" s="82"/>
      <c r="P14" s="54" t="s">
        <v>415</v>
      </c>
      <c r="R14" s="637"/>
      <c r="S14" s="108"/>
      <c r="T14" s="108"/>
      <c r="U14" s="108"/>
      <c r="V14" s="108"/>
    </row>
    <row r="15" spans="1:24" ht="19.5" customHeight="1" x14ac:dyDescent="0.25">
      <c r="A15" s="77"/>
      <c r="B15" s="78"/>
      <c r="C15" s="868"/>
      <c r="D15" s="67">
        <v>0</v>
      </c>
      <c r="E15" s="68">
        <v>11</v>
      </c>
      <c r="F15" s="69">
        <f>BEGINBLAD!C14</f>
        <v>0</v>
      </c>
      <c r="G15" s="70">
        <f>'NIVEAU WAARDE - 1e toetsperiode'!E19</f>
        <v>0</v>
      </c>
      <c r="H15" s="71">
        <f>'NIVEAU WAARDE - 2e toetsperiode'!E19</f>
        <v>0</v>
      </c>
      <c r="I15" s="72" t="str">
        <f t="shared" si="0"/>
        <v/>
      </c>
      <c r="J15" s="171" t="str">
        <f t="shared" si="1"/>
        <v/>
      </c>
      <c r="K15" s="342">
        <f>'SPELLEN - 1e periode'!L15</f>
        <v>0</v>
      </c>
      <c r="L15" s="73"/>
      <c r="M15" s="72" t="str">
        <f t="shared" si="2"/>
        <v/>
      </c>
      <c r="N15" s="171" t="str">
        <f t="shared" si="3"/>
        <v/>
      </c>
      <c r="O15" s="1229" t="s">
        <v>208</v>
      </c>
      <c r="P15" s="1231">
        <f>'INTENSIEF - 2e periode'!$C$17</f>
        <v>0</v>
      </c>
      <c r="R15" s="637"/>
      <c r="S15" s="108"/>
      <c r="T15" s="108"/>
      <c r="U15" s="108"/>
      <c r="V15" s="108"/>
    </row>
    <row r="16" spans="1:24" ht="19.5" customHeight="1" x14ac:dyDescent="0.25">
      <c r="A16" s="77"/>
      <c r="B16" s="78"/>
      <c r="C16" s="868"/>
      <c r="D16" s="67">
        <v>0</v>
      </c>
      <c r="E16" s="68">
        <v>12</v>
      </c>
      <c r="F16" s="69">
        <f>BEGINBLAD!C15</f>
        <v>0</v>
      </c>
      <c r="G16" s="70">
        <f>'NIVEAU WAARDE - 1e toetsperiode'!E20</f>
        <v>0</v>
      </c>
      <c r="H16" s="71">
        <f>'NIVEAU WAARDE - 2e toetsperiode'!E20</f>
        <v>0</v>
      </c>
      <c r="I16" s="72" t="str">
        <f t="shared" si="0"/>
        <v/>
      </c>
      <c r="J16" s="171" t="str">
        <f t="shared" si="1"/>
        <v/>
      </c>
      <c r="K16" s="342">
        <f>'SPELLEN - 1e periode'!L16</f>
        <v>0</v>
      </c>
      <c r="L16" s="73"/>
      <c r="M16" s="72" t="str">
        <f t="shared" si="2"/>
        <v/>
      </c>
      <c r="N16" s="171" t="str">
        <f t="shared" si="3"/>
        <v/>
      </c>
      <c r="O16" s="1230"/>
      <c r="P16" s="1232"/>
      <c r="R16" s="637"/>
      <c r="S16" s="108"/>
      <c r="T16" s="108"/>
      <c r="U16" s="108"/>
      <c r="V16" s="108"/>
    </row>
    <row r="17" spans="1:24" ht="19.5" customHeight="1" x14ac:dyDescent="0.25">
      <c r="A17" s="77"/>
      <c r="B17" s="78"/>
      <c r="C17" s="868"/>
      <c r="D17" s="80">
        <v>0</v>
      </c>
      <c r="E17" s="68">
        <v>13</v>
      </c>
      <c r="F17" s="69">
        <f>BEGINBLAD!C16</f>
        <v>0</v>
      </c>
      <c r="G17" s="70">
        <f>'NIVEAU WAARDE - 1e toetsperiode'!E21</f>
        <v>0</v>
      </c>
      <c r="H17" s="71">
        <f>'NIVEAU WAARDE - 2e toetsperiode'!E21</f>
        <v>0</v>
      </c>
      <c r="I17" s="72" t="str">
        <f t="shared" si="0"/>
        <v/>
      </c>
      <c r="J17" s="171" t="str">
        <f t="shared" si="1"/>
        <v/>
      </c>
      <c r="K17" s="342">
        <f>'SPELLEN - 1e periode'!L17</f>
        <v>0</v>
      </c>
      <c r="L17" s="73"/>
      <c r="M17" s="72" t="str">
        <f t="shared" si="2"/>
        <v/>
      </c>
      <c r="N17" s="171" t="str">
        <f t="shared" si="3"/>
        <v/>
      </c>
      <c r="O17" s="1260" t="s">
        <v>210</v>
      </c>
      <c r="P17" s="1258">
        <f>'INTENSIEF - 2e periode'!C19</f>
        <v>0</v>
      </c>
      <c r="R17" s="637"/>
    </row>
    <row r="18" spans="1:24" ht="19.5" customHeight="1" x14ac:dyDescent="0.25">
      <c r="A18" s="77"/>
      <c r="B18" s="78"/>
      <c r="C18" s="868"/>
      <c r="D18" s="85">
        <v>0</v>
      </c>
      <c r="E18" s="68">
        <v>14</v>
      </c>
      <c r="F18" s="69">
        <f>BEGINBLAD!C17</f>
        <v>0</v>
      </c>
      <c r="G18" s="70">
        <f>'NIVEAU WAARDE - 1e toetsperiode'!E22</f>
        <v>0</v>
      </c>
      <c r="H18" s="71">
        <f>'NIVEAU WAARDE - 2e toetsperiode'!E22</f>
        <v>0</v>
      </c>
      <c r="I18" s="72" t="str">
        <f t="shared" si="0"/>
        <v/>
      </c>
      <c r="J18" s="171" t="str">
        <f t="shared" si="1"/>
        <v/>
      </c>
      <c r="K18" s="342">
        <f>'SPELLEN - 1e periode'!L18</f>
        <v>0</v>
      </c>
      <c r="L18" s="73">
        <v>1.5</v>
      </c>
      <c r="M18" s="72" t="str">
        <f t="shared" si="2"/>
        <v>D-5</v>
      </c>
      <c r="N18" s="171" t="str">
        <f t="shared" si="3"/>
        <v>*</v>
      </c>
      <c r="O18" s="1260"/>
      <c r="P18" s="1258"/>
      <c r="R18" s="637"/>
    </row>
    <row r="19" spans="1:24" ht="19.5" customHeight="1" x14ac:dyDescent="0.3">
      <c r="D19" s="85">
        <v>0</v>
      </c>
      <c r="E19" s="68">
        <v>15</v>
      </c>
      <c r="F19" s="69">
        <f>BEGINBLAD!C18</f>
        <v>0</v>
      </c>
      <c r="G19" s="70">
        <f>'NIVEAU WAARDE - 1e toetsperiode'!E23</f>
        <v>0</v>
      </c>
      <c r="H19" s="71">
        <f>'NIVEAU WAARDE - 2e toetsperiode'!E23</f>
        <v>0</v>
      </c>
      <c r="I19" s="72" t="str">
        <f t="shared" si="0"/>
        <v/>
      </c>
      <c r="J19" s="171" t="str">
        <f t="shared" si="1"/>
        <v/>
      </c>
      <c r="K19" s="342">
        <f>'SPELLEN - 1e periode'!L19</f>
        <v>0</v>
      </c>
      <c r="L19" s="73">
        <v>4.5</v>
      </c>
      <c r="M19" s="72" t="str">
        <f t="shared" si="2"/>
        <v>A-1</v>
      </c>
      <c r="N19" s="171" t="str">
        <f t="shared" si="3"/>
        <v>*</v>
      </c>
      <c r="O19" s="1260"/>
      <c r="P19" s="1258"/>
      <c r="R19" s="149"/>
      <c r="U19" s="88"/>
      <c r="V19" s="88"/>
      <c r="W19" s="88"/>
      <c r="X19" s="88"/>
    </row>
    <row r="20" spans="1:24" ht="19.5" customHeight="1" x14ac:dyDescent="0.25">
      <c r="D20" s="85">
        <v>0</v>
      </c>
      <c r="E20" s="68">
        <v>16</v>
      </c>
      <c r="F20" s="69">
        <f>BEGINBLAD!C19</f>
        <v>0</v>
      </c>
      <c r="G20" s="70">
        <f>'NIVEAU WAARDE - 1e toetsperiode'!E24</f>
        <v>0</v>
      </c>
      <c r="H20" s="71">
        <f>'NIVEAU WAARDE - 2e toetsperiode'!E24</f>
        <v>0</v>
      </c>
      <c r="I20" s="72" t="str">
        <f t="shared" si="0"/>
        <v/>
      </c>
      <c r="J20" s="171" t="str">
        <f t="shared" si="1"/>
        <v/>
      </c>
      <c r="K20" s="342">
        <f>'SPELLEN - 1e periode'!L20</f>
        <v>0</v>
      </c>
      <c r="L20" s="73"/>
      <c r="M20" s="72" t="str">
        <f t="shared" si="2"/>
        <v/>
      </c>
      <c r="N20" s="171" t="str">
        <f t="shared" si="3"/>
        <v/>
      </c>
      <c r="O20" s="1260"/>
      <c r="P20" s="1258"/>
    </row>
    <row r="21" spans="1:24" ht="19.5" customHeight="1" x14ac:dyDescent="0.25">
      <c r="D21" s="85">
        <v>0</v>
      </c>
      <c r="E21" s="68">
        <v>17</v>
      </c>
      <c r="F21" s="69">
        <f>BEGINBLAD!C20</f>
        <v>0</v>
      </c>
      <c r="G21" s="70">
        <f>'NIVEAU WAARDE - 1e toetsperiode'!E25</f>
        <v>0</v>
      </c>
      <c r="H21" s="71">
        <f>'NIVEAU WAARDE - 2e toetsperiode'!E25</f>
        <v>0</v>
      </c>
      <c r="I21" s="72" t="str">
        <f t="shared" si="0"/>
        <v/>
      </c>
      <c r="J21" s="171" t="str">
        <f t="shared" si="1"/>
        <v/>
      </c>
      <c r="K21" s="342">
        <f>'SPELLEN - 1e periode'!L21</f>
        <v>0</v>
      </c>
      <c r="L21" s="73"/>
      <c r="M21" s="72" t="str">
        <f t="shared" si="2"/>
        <v/>
      </c>
      <c r="N21" s="171" t="str">
        <f t="shared" si="3"/>
        <v/>
      </c>
      <c r="O21" s="1260"/>
      <c r="P21" s="1258"/>
    </row>
    <row r="22" spans="1:24" ht="19.5" customHeight="1" x14ac:dyDescent="0.25">
      <c r="D22" s="85">
        <v>0</v>
      </c>
      <c r="E22" s="68">
        <v>18</v>
      </c>
      <c r="F22" s="69">
        <f>BEGINBLAD!C21</f>
        <v>0</v>
      </c>
      <c r="G22" s="70">
        <f>'NIVEAU WAARDE - 1e toetsperiode'!E26</f>
        <v>0</v>
      </c>
      <c r="H22" s="71">
        <f>'NIVEAU WAARDE - 2e toetsperiode'!E26</f>
        <v>0</v>
      </c>
      <c r="I22" s="72" t="str">
        <f t="shared" si="0"/>
        <v/>
      </c>
      <c r="J22" s="171" t="str">
        <f t="shared" si="1"/>
        <v/>
      </c>
      <c r="K22" s="342">
        <f>'SPELLEN - 1e periode'!L22</f>
        <v>0</v>
      </c>
      <c r="L22" s="73"/>
      <c r="M22" s="72" t="str">
        <f t="shared" si="2"/>
        <v/>
      </c>
      <c r="N22" s="171" t="str">
        <f t="shared" si="3"/>
        <v/>
      </c>
      <c r="O22" s="1260"/>
      <c r="P22" s="1258"/>
    </row>
    <row r="23" spans="1:24" ht="19.5" customHeight="1" x14ac:dyDescent="0.25">
      <c r="B23" s="53"/>
      <c r="C23" s="53"/>
      <c r="D23" s="85">
        <v>0</v>
      </c>
      <c r="E23" s="68">
        <v>19</v>
      </c>
      <c r="F23" s="69">
        <f>BEGINBLAD!C22</f>
        <v>0</v>
      </c>
      <c r="G23" s="70">
        <f>'NIVEAU WAARDE - 1e toetsperiode'!E27</f>
        <v>0</v>
      </c>
      <c r="H23" s="71">
        <f>'NIVEAU WAARDE - 2e toetsperiode'!E27</f>
        <v>0</v>
      </c>
      <c r="I23" s="72" t="str">
        <f t="shared" si="0"/>
        <v/>
      </c>
      <c r="J23" s="171" t="str">
        <f t="shared" si="1"/>
        <v/>
      </c>
      <c r="K23" s="342">
        <f>'SPELLEN - 1e periode'!L23</f>
        <v>0</v>
      </c>
      <c r="L23" s="73"/>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- 1e toetsperiode'!E28</f>
        <v>0</v>
      </c>
      <c r="H24" s="71">
        <f>'NIVEAU WAARDE - 2e toetsperiode'!E28</f>
        <v>0</v>
      </c>
      <c r="I24" s="72" t="str">
        <f t="shared" si="0"/>
        <v/>
      </c>
      <c r="J24" s="171" t="str">
        <f t="shared" si="1"/>
        <v/>
      </c>
      <c r="K24" s="342">
        <f>'SPELLEN - 1e periode'!L24</f>
        <v>0</v>
      </c>
      <c r="L24" s="73"/>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- 1e toetsperiode'!E29</f>
        <v>0</v>
      </c>
      <c r="H25" s="71">
        <f>'NIVEAU WAARDE - 2e toetsperiode'!E29</f>
        <v>0</v>
      </c>
      <c r="I25" s="72" t="str">
        <f t="shared" si="0"/>
        <v/>
      </c>
      <c r="J25" s="171" t="str">
        <f t="shared" si="1"/>
        <v/>
      </c>
      <c r="K25" s="342">
        <f>'SPELLEN - 1e periode'!L25</f>
        <v>0</v>
      </c>
      <c r="L25" s="73"/>
      <c r="M25" s="72" t="str">
        <f t="shared" si="2"/>
        <v/>
      </c>
      <c r="N25" s="171" t="str">
        <f t="shared" si="3"/>
        <v/>
      </c>
      <c r="O25" s="82"/>
      <c r="P25" s="54" t="s">
        <v>416</v>
      </c>
    </row>
    <row r="26" spans="1:24" ht="19.5" customHeight="1" x14ac:dyDescent="0.25">
      <c r="D26" s="85">
        <v>0</v>
      </c>
      <c r="E26" s="68">
        <v>22</v>
      </c>
      <c r="F26" s="69">
        <f>BEGINBLAD!C25</f>
        <v>0</v>
      </c>
      <c r="G26" s="70">
        <f>'NIVEAU WAARDE - 1e toetsperiode'!E30</f>
        <v>0</v>
      </c>
      <c r="H26" s="71">
        <f>'NIVEAU WAARDE - 2e toetsperiode'!E30</f>
        <v>0</v>
      </c>
      <c r="I26" s="72" t="str">
        <f t="shared" si="0"/>
        <v/>
      </c>
      <c r="J26" s="171" t="str">
        <f t="shared" si="1"/>
        <v/>
      </c>
      <c r="K26" s="342">
        <f>'SPELLEN - 1e periode'!L26</f>
        <v>0</v>
      </c>
      <c r="L26" s="73"/>
      <c r="M26" s="72" t="str">
        <f t="shared" si="2"/>
        <v/>
      </c>
      <c r="N26" s="171" t="str">
        <f t="shared" si="3"/>
        <v/>
      </c>
      <c r="O26" s="1229" t="s">
        <v>208</v>
      </c>
      <c r="P26" s="1231">
        <f>'BASISAANPAK - 2e periode'!C17</f>
        <v>0</v>
      </c>
    </row>
    <row r="27" spans="1:24" s="92" customFormat="1" ht="19.5" customHeight="1" x14ac:dyDescent="0.55000000000000004">
      <c r="A27" s="51"/>
      <c r="B27" s="1164" t="s">
        <v>62</v>
      </c>
      <c r="C27" s="66" t="s">
        <v>275</v>
      </c>
      <c r="D27" s="80">
        <v>0</v>
      </c>
      <c r="E27" s="68">
        <v>23</v>
      </c>
      <c r="F27" s="69">
        <f>BEGINBLAD!C26</f>
        <v>0</v>
      </c>
      <c r="G27" s="70">
        <f>'NIVEAU WAARDE - 1e toetsperiode'!E31</f>
        <v>0</v>
      </c>
      <c r="H27" s="71">
        <f>'NIVEAU WAARDE - 2e toetsperiode'!E31</f>
        <v>0</v>
      </c>
      <c r="I27" s="72" t="str">
        <f t="shared" si="0"/>
        <v/>
      </c>
      <c r="J27" s="171" t="str">
        <f t="shared" si="1"/>
        <v/>
      </c>
      <c r="K27" s="342">
        <f>'SPELLEN - 1e periode'!L27</f>
        <v>0</v>
      </c>
      <c r="L27" s="73"/>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- 1e toetsperiode'!E32</f>
        <v>0</v>
      </c>
      <c r="H28" s="71">
        <f>'NIVEAU WAARDE - 2e toetsperiode'!E32</f>
        <v>0</v>
      </c>
      <c r="I28" s="72" t="str">
        <f t="shared" si="0"/>
        <v/>
      </c>
      <c r="J28" s="171" t="str">
        <f t="shared" si="1"/>
        <v/>
      </c>
      <c r="K28" s="342">
        <f>'SPELLEN - 1e periode'!L28</f>
        <v>0</v>
      </c>
      <c r="L28" s="73"/>
      <c r="M28" s="72" t="str">
        <f t="shared" si="2"/>
        <v/>
      </c>
      <c r="N28" s="171" t="str">
        <f t="shared" si="3"/>
        <v/>
      </c>
      <c r="O28" s="1230" t="s">
        <v>210</v>
      </c>
      <c r="P28" s="1232">
        <f>'BASISAANPAK - 2e periode'!C19</f>
        <v>0</v>
      </c>
      <c r="Q28" s="56"/>
      <c r="R28" s="93"/>
      <c r="S28" s="54"/>
      <c r="T28" s="54"/>
      <c r="U28" s="54"/>
      <c r="V28" s="54"/>
      <c r="W28" s="54"/>
    </row>
    <row r="29" spans="1:24" ht="19.5" customHeight="1" x14ac:dyDescent="0.25">
      <c r="A29" s="77"/>
      <c r="B29" s="78"/>
      <c r="C29" s="868"/>
      <c r="D29" s="67">
        <v>0</v>
      </c>
      <c r="E29" s="68">
        <v>25</v>
      </c>
      <c r="F29" s="69">
        <f>BEGINBLAD!C28</f>
        <v>0</v>
      </c>
      <c r="G29" s="70">
        <f>'NIVEAU WAARDE - 1e toetsperiode'!E33</f>
        <v>0</v>
      </c>
      <c r="H29" s="71">
        <f>'NIVEAU WAARDE - 2e toetsperiode'!E33</f>
        <v>0</v>
      </c>
      <c r="I29" s="72" t="str">
        <f t="shared" si="0"/>
        <v/>
      </c>
      <c r="J29" s="171" t="str">
        <f t="shared" si="1"/>
        <v/>
      </c>
      <c r="K29" s="342">
        <f>'SPELLEN - 1e periode'!L29</f>
        <v>0</v>
      </c>
      <c r="L29" s="73"/>
      <c r="M29" s="72" t="str">
        <f t="shared" si="2"/>
        <v/>
      </c>
      <c r="N29" s="171" t="str">
        <f t="shared" si="3"/>
        <v/>
      </c>
      <c r="O29" s="1230"/>
      <c r="P29" s="1232"/>
    </row>
    <row r="30" spans="1:24" ht="19.5" customHeight="1" x14ac:dyDescent="0.25">
      <c r="A30" s="77"/>
      <c r="B30" s="78"/>
      <c r="C30" s="868"/>
      <c r="D30" s="67">
        <v>0</v>
      </c>
      <c r="E30" s="68">
        <v>26</v>
      </c>
      <c r="F30" s="69">
        <f>BEGINBLAD!C29</f>
        <v>0</v>
      </c>
      <c r="G30" s="70">
        <f>'NIVEAU WAARDE - 1e toetsperiode'!E34</f>
        <v>0</v>
      </c>
      <c r="H30" s="71">
        <f>'NIVEAU WAARDE - 2e toetsperiode'!E34</f>
        <v>0</v>
      </c>
      <c r="I30" s="72" t="str">
        <f t="shared" si="0"/>
        <v/>
      </c>
      <c r="J30" s="171" t="str">
        <f t="shared" si="1"/>
        <v/>
      </c>
      <c r="K30" s="90">
        <f>'SPELLEN - 1e periode'!L30</f>
        <v>0</v>
      </c>
      <c r="L30" s="73"/>
      <c r="M30" s="72" t="str">
        <f t="shared" si="2"/>
        <v/>
      </c>
      <c r="N30" s="171" t="str">
        <f t="shared" si="3"/>
        <v/>
      </c>
      <c r="O30" s="1230"/>
      <c r="P30" s="1232"/>
    </row>
    <row r="31" spans="1:24" ht="19.5" customHeight="1" x14ac:dyDescent="0.25">
      <c r="A31" s="77"/>
      <c r="B31" s="78"/>
      <c r="C31" s="868"/>
      <c r="D31" s="67">
        <v>0</v>
      </c>
      <c r="E31" s="68">
        <v>27</v>
      </c>
      <c r="F31" s="69">
        <f>BEGINBLAD!C30</f>
        <v>0</v>
      </c>
      <c r="G31" s="70">
        <f>'NIVEAU WAARDE - 1e toetsperiode'!E35</f>
        <v>0</v>
      </c>
      <c r="H31" s="71">
        <f>'NIVEAU WAARDE - 2e toetsperiode'!E35</f>
        <v>0</v>
      </c>
      <c r="I31" s="72" t="str">
        <f t="shared" si="0"/>
        <v/>
      </c>
      <c r="J31" s="171" t="str">
        <f t="shared" si="1"/>
        <v/>
      </c>
      <c r="K31" s="90">
        <f>'SPELLEN - 1e periode'!L31</f>
        <v>0</v>
      </c>
      <c r="L31" s="73"/>
      <c r="M31" s="72" t="str">
        <f t="shared" si="2"/>
        <v/>
      </c>
      <c r="N31" s="171" t="str">
        <f t="shared" si="3"/>
        <v/>
      </c>
      <c r="O31" s="1230"/>
      <c r="P31" s="1232"/>
    </row>
    <row r="32" spans="1:24" ht="19.5" customHeight="1" x14ac:dyDescent="0.25">
      <c r="A32" s="77"/>
      <c r="B32" s="78"/>
      <c r="C32" s="868"/>
      <c r="D32" s="67">
        <v>0</v>
      </c>
      <c r="E32" s="68">
        <v>28</v>
      </c>
      <c r="F32" s="69">
        <f>BEGINBLAD!C31</f>
        <v>0</v>
      </c>
      <c r="G32" s="70">
        <f>'NIVEAU WAARDE - 1e toetsperiode'!E36</f>
        <v>0</v>
      </c>
      <c r="H32" s="71">
        <f>'NIVEAU WAARDE - 2e toetsperiode'!E36</f>
        <v>0</v>
      </c>
      <c r="I32" s="72" t="str">
        <f t="shared" si="0"/>
        <v/>
      </c>
      <c r="J32" s="171" t="str">
        <f t="shared" si="1"/>
        <v/>
      </c>
      <c r="K32" s="90">
        <f>'SPELLEN - 1e periode'!L32</f>
        <v>0</v>
      </c>
      <c r="L32" s="73"/>
      <c r="M32" s="72" t="str">
        <f t="shared" si="2"/>
        <v/>
      </c>
      <c r="N32" s="171" t="str">
        <f t="shared" si="3"/>
        <v/>
      </c>
      <c r="O32" s="1230"/>
      <c r="P32" s="1232"/>
    </row>
    <row r="33" spans="1:23" ht="19.5" customHeight="1" x14ac:dyDescent="0.25">
      <c r="A33" s="77"/>
      <c r="B33" s="78"/>
      <c r="C33" s="868"/>
      <c r="D33" s="67">
        <v>0</v>
      </c>
      <c r="E33" s="68">
        <v>29</v>
      </c>
      <c r="F33" s="69">
        <f>BEGINBLAD!C32</f>
        <v>0</v>
      </c>
      <c r="G33" s="70">
        <f>'NIVEAU WAARDE - 1e toetsperiode'!E37</f>
        <v>0</v>
      </c>
      <c r="H33" s="71">
        <f>'NIVEAU WAARDE - 2e toetsperiode'!E37</f>
        <v>0</v>
      </c>
      <c r="I33" s="72" t="str">
        <f t="shared" si="0"/>
        <v/>
      </c>
      <c r="J33" s="171" t="str">
        <f t="shared" si="1"/>
        <v/>
      </c>
      <c r="K33" s="90">
        <f>'SPELLEN - 1e periode'!L33</f>
        <v>0</v>
      </c>
      <c r="L33" s="73"/>
      <c r="M33" s="72" t="str">
        <f t="shared" si="2"/>
        <v/>
      </c>
      <c r="N33" s="171" t="str">
        <f t="shared" si="3"/>
        <v/>
      </c>
      <c r="O33" s="1230"/>
      <c r="P33" s="1232"/>
    </row>
    <row r="34" spans="1:23" ht="19.5" customHeight="1" x14ac:dyDescent="0.25">
      <c r="A34" s="77"/>
      <c r="B34" s="78"/>
      <c r="C34" s="868"/>
      <c r="D34" s="67">
        <v>0</v>
      </c>
      <c r="E34" s="68">
        <v>30</v>
      </c>
      <c r="F34" s="69">
        <f>BEGINBLAD!C33</f>
        <v>0</v>
      </c>
      <c r="G34" s="70">
        <f>'NIVEAU WAARDE - 1e toetsperiode'!E38</f>
        <v>0</v>
      </c>
      <c r="H34" s="71">
        <f>'NIVEAU WAARDE - 2e toetsperiode'!E38</f>
        <v>0</v>
      </c>
      <c r="I34" s="72" t="str">
        <f t="shared" si="0"/>
        <v/>
      </c>
      <c r="J34" s="171" t="str">
        <f t="shared" si="1"/>
        <v/>
      </c>
      <c r="K34" s="90">
        <f>'SPELLEN - 1e periode'!L34</f>
        <v>0</v>
      </c>
      <c r="L34" s="73"/>
      <c r="M34" s="72" t="str">
        <f t="shared" si="2"/>
        <v/>
      </c>
      <c r="N34" s="171" t="str">
        <f t="shared" si="3"/>
        <v/>
      </c>
      <c r="O34" s="1230"/>
      <c r="P34" s="1232"/>
    </row>
    <row r="35" spans="1:23" ht="19.5" customHeight="1" thickBot="1" x14ac:dyDescent="0.3">
      <c r="A35" s="77"/>
      <c r="B35" s="78"/>
      <c r="C35" s="868"/>
      <c r="D35" s="67">
        <v>0</v>
      </c>
      <c r="E35" s="68">
        <v>31</v>
      </c>
      <c r="F35" s="69">
        <f>BEGINBLAD!C34</f>
        <v>0</v>
      </c>
      <c r="G35" s="70">
        <f>'NIVEAU WAARDE - 1e toetsperiode'!E39</f>
        <v>0</v>
      </c>
      <c r="H35" s="71">
        <f>'NIVEAU WAARDE - 2e toetsperiode'!E39</f>
        <v>0</v>
      </c>
      <c r="I35" s="72" t="str">
        <f t="shared" si="0"/>
        <v/>
      </c>
      <c r="J35" s="171" t="str">
        <f t="shared" si="1"/>
        <v/>
      </c>
      <c r="K35" s="90">
        <f>'SPELLEN - 1e periode'!L35</f>
        <v>0</v>
      </c>
      <c r="L35" s="73"/>
      <c r="M35" s="72" t="str">
        <f t="shared" si="2"/>
        <v/>
      </c>
      <c r="N35" s="171" t="str">
        <f t="shared" si="3"/>
        <v/>
      </c>
      <c r="O35" s="1257"/>
      <c r="P35" s="1262"/>
    </row>
    <row r="36" spans="1:23" ht="19.5" customHeight="1" thickBot="1" x14ac:dyDescent="0.3">
      <c r="A36" s="77"/>
      <c r="B36" s="78"/>
      <c r="C36" s="868"/>
      <c r="D36" s="67">
        <v>0</v>
      </c>
      <c r="E36" s="68">
        <v>32</v>
      </c>
      <c r="F36" s="69">
        <f>BEGINBLAD!C35</f>
        <v>0</v>
      </c>
      <c r="G36" s="70">
        <f>'NIVEAU WAARDE - 1e toetsperiode'!E40</f>
        <v>0</v>
      </c>
      <c r="H36" s="71">
        <f>'NIVEAU WAARDE - 2e toetsperiode'!E40</f>
        <v>0</v>
      </c>
      <c r="I36" s="72" t="str">
        <f t="shared" si="0"/>
        <v/>
      </c>
      <c r="J36" s="171" t="str">
        <f t="shared" si="1"/>
        <v/>
      </c>
      <c r="K36" s="90">
        <f>'SPELLEN - 1e periode'!L36</f>
        <v>0</v>
      </c>
      <c r="L36" s="73"/>
      <c r="M36" s="72" t="str">
        <f t="shared" si="2"/>
        <v/>
      </c>
      <c r="N36" s="171" t="str">
        <f t="shared" si="3"/>
        <v/>
      </c>
      <c r="O36" s="82"/>
      <c r="P36" s="54" t="s">
        <v>417</v>
      </c>
    </row>
    <row r="37" spans="1:23" ht="19.5" customHeight="1" x14ac:dyDescent="0.25">
      <c r="A37" s="77"/>
      <c r="B37" s="78"/>
      <c r="C37" s="868"/>
      <c r="D37" s="67">
        <v>0</v>
      </c>
      <c r="E37" s="68">
        <v>33</v>
      </c>
      <c r="F37" s="69">
        <f>BEGINBLAD!C36</f>
        <v>0</v>
      </c>
      <c r="G37" s="70">
        <f>'NIVEAU WAARDE - 1e toetsperiode'!E41</f>
        <v>0</v>
      </c>
      <c r="H37" s="71">
        <f>'NIVEAU WAARDE - 2e toetsperiode'!E41</f>
        <v>0</v>
      </c>
      <c r="I37" s="72" t="str">
        <f t="shared" si="0"/>
        <v/>
      </c>
      <c r="J37" s="171" t="str">
        <f t="shared" si="1"/>
        <v/>
      </c>
      <c r="K37" s="90">
        <f>'SPELLEN - 1e periode'!L37</f>
        <v>0</v>
      </c>
      <c r="L37" s="73"/>
      <c r="M37" s="72" t="str">
        <f t="shared" si="2"/>
        <v/>
      </c>
      <c r="N37" s="171" t="str">
        <f t="shared" si="3"/>
        <v/>
      </c>
      <c r="O37" s="1229" t="s">
        <v>208</v>
      </c>
      <c r="P37" s="1231">
        <f>'VERRIJKT - 2e periode'!C17</f>
        <v>0</v>
      </c>
    </row>
    <row r="38" spans="1:23" ht="19.5" customHeight="1" x14ac:dyDescent="0.25">
      <c r="A38" s="77"/>
      <c r="B38" s="78"/>
      <c r="C38" s="868"/>
      <c r="D38" s="67">
        <v>0</v>
      </c>
      <c r="E38" s="68">
        <v>34</v>
      </c>
      <c r="F38" s="69">
        <f>BEGINBLAD!C37</f>
        <v>0</v>
      </c>
      <c r="G38" s="70">
        <f>'NIVEAU WAARDE - 1e toetsperiode'!E42</f>
        <v>0</v>
      </c>
      <c r="H38" s="71">
        <f>'NIVEAU WAARDE - 2e toetsperiode'!E42</f>
        <v>0</v>
      </c>
      <c r="I38" s="72" t="str">
        <f t="shared" si="0"/>
        <v/>
      </c>
      <c r="J38" s="171" t="str">
        <f t="shared" si="1"/>
        <v/>
      </c>
      <c r="K38" s="90">
        <f>'SPELLEN - 1e periode'!L38</f>
        <v>0</v>
      </c>
      <c r="L38" s="73"/>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- 1e toetsperiode'!E43</f>
        <v>0</v>
      </c>
      <c r="H39" s="71">
        <f>'NIVEAU WAARDE - 2e toetsperiode'!E43</f>
        <v>0</v>
      </c>
      <c r="I39" s="72" t="str">
        <f t="shared" si="0"/>
        <v/>
      </c>
      <c r="J39" s="171" t="str">
        <f t="shared" si="1"/>
        <v/>
      </c>
      <c r="K39" s="90">
        <f>'SPELLEN - 1e periode'!L39</f>
        <v>0</v>
      </c>
      <c r="L39" s="73"/>
      <c r="M39" s="72" t="str">
        <f t="shared" si="2"/>
        <v/>
      </c>
      <c r="N39" s="171" t="str">
        <f t="shared" si="3"/>
        <v/>
      </c>
      <c r="O39" s="1230" t="s">
        <v>210</v>
      </c>
      <c r="P39" s="1255">
        <f>'VERRIJKT - 2e periode'!C19</f>
        <v>0</v>
      </c>
    </row>
    <row r="40" spans="1:23" ht="19.5" customHeight="1" thickBot="1" x14ac:dyDescent="0.3">
      <c r="A40" s="77"/>
      <c r="B40" s="78"/>
      <c r="C40" s="868"/>
      <c r="D40" s="67">
        <v>0</v>
      </c>
      <c r="E40" s="94">
        <v>36</v>
      </c>
      <c r="F40" s="95">
        <f>BEGINBLAD!C39</f>
        <v>0</v>
      </c>
      <c r="G40" s="96">
        <f>'NIVEAU WAARDE - 1e toetsperiode'!E44</f>
        <v>0</v>
      </c>
      <c r="H40" s="97">
        <f>'NIVEAU WAARDE - 2e toetsperiode'!E44</f>
        <v>0</v>
      </c>
      <c r="I40" s="98" t="str">
        <f t="shared" si="0"/>
        <v/>
      </c>
      <c r="J40" s="171" t="str">
        <f t="shared" si="1"/>
        <v/>
      </c>
      <c r="K40" s="177">
        <f>'SPELLEN - 1e periode'!L40</f>
        <v>0</v>
      </c>
      <c r="L40" s="99"/>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86"/>
      <c r="G42" s="1267" t="s">
        <v>279</v>
      </c>
      <c r="H42" s="1268"/>
      <c r="I42" s="1276"/>
      <c r="J42" s="1276"/>
      <c r="K42" s="1276"/>
      <c r="L42" s="1276"/>
      <c r="M42" s="1277"/>
      <c r="O42" s="1230"/>
      <c r="P42" s="1255"/>
      <c r="R42" s="101"/>
      <c r="S42" s="101"/>
      <c r="T42" s="101"/>
      <c r="U42" s="101"/>
      <c r="V42" s="101"/>
      <c r="W42" s="101"/>
    </row>
    <row r="43" spans="1:23" ht="19.5" customHeight="1" x14ac:dyDescent="0.25">
      <c r="B43" s="78"/>
      <c r="C43" s="122" t="s">
        <v>280</v>
      </c>
      <c r="D43" s="1246"/>
      <c r="E43" s="1247"/>
      <c r="F43" s="1285"/>
      <c r="G43" s="1249" t="s">
        <v>280</v>
      </c>
      <c r="H43" s="1250"/>
      <c r="I43" s="1270"/>
      <c r="J43" s="1270"/>
      <c r="K43" s="1270"/>
      <c r="L43" s="1270"/>
      <c r="M43" s="1271"/>
      <c r="O43" s="1230"/>
      <c r="P43" s="1255"/>
      <c r="R43" s="101"/>
      <c r="S43" s="101"/>
      <c r="T43" s="101"/>
      <c r="U43" s="101"/>
      <c r="V43" s="101"/>
      <c r="W43" s="101"/>
    </row>
    <row r="44" spans="1:23" ht="19.5" customHeight="1" x14ac:dyDescent="0.25">
      <c r="B44" s="78"/>
      <c r="C44" s="122" t="s">
        <v>281</v>
      </c>
      <c r="D44" s="1246"/>
      <c r="E44" s="1247"/>
      <c r="F44" s="1285"/>
      <c r="G44" s="1249" t="s">
        <v>281</v>
      </c>
      <c r="H44" s="1250"/>
      <c r="I44" s="1270"/>
      <c r="J44" s="1270"/>
      <c r="K44" s="1270"/>
      <c r="L44" s="1270"/>
      <c r="M44" s="1271"/>
      <c r="O44" s="1230"/>
      <c r="P44" s="1255"/>
      <c r="R44" s="101"/>
      <c r="S44" s="101"/>
      <c r="T44" s="101"/>
      <c r="U44" s="101"/>
      <c r="V44" s="101"/>
      <c r="W44" s="101"/>
    </row>
    <row r="45" spans="1:23" ht="19.5" customHeight="1" x14ac:dyDescent="0.25">
      <c r="B45" s="78"/>
      <c r="C45" s="122" t="s">
        <v>282</v>
      </c>
      <c r="D45" s="1246"/>
      <c r="E45" s="1247"/>
      <c r="F45" s="1285"/>
      <c r="G45" s="1249" t="s">
        <v>282</v>
      </c>
      <c r="H45" s="1250"/>
      <c r="I45" s="1270"/>
      <c r="J45" s="1270"/>
      <c r="K45" s="1270"/>
      <c r="L45" s="1270"/>
      <c r="M45" s="1271"/>
      <c r="O45" s="1230"/>
      <c r="P45" s="1255"/>
      <c r="R45" s="101"/>
      <c r="S45" s="101"/>
      <c r="T45" s="101"/>
      <c r="U45" s="101"/>
      <c r="V45" s="101"/>
      <c r="W45" s="101"/>
    </row>
    <row r="46" spans="1:23" ht="19.5" customHeight="1" thickBot="1" x14ac:dyDescent="0.3">
      <c r="B46" s="78"/>
      <c r="C46" s="123" t="s">
        <v>283</v>
      </c>
      <c r="D46" s="1237"/>
      <c r="E46" s="1238"/>
      <c r="F46" s="1281"/>
      <c r="G46" s="1240" t="s">
        <v>283</v>
      </c>
      <c r="H46" s="1241"/>
      <c r="I46" s="1274"/>
      <c r="J46" s="1274"/>
      <c r="K46" s="1274"/>
      <c r="L46" s="1274"/>
      <c r="M46" s="1275"/>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t="e">
        <f>H48/$D$49</f>
        <v>#DIV/0!</v>
      </c>
      <c r="H48" s="85">
        <f>COUNTIF($I$5:$I$40,"A-1+")</f>
        <v>0</v>
      </c>
      <c r="I48" s="85"/>
      <c r="J48" s="141" t="s">
        <v>419</v>
      </c>
      <c r="K48" s="141"/>
      <c r="L48" s="141"/>
      <c r="M48" s="161" t="e">
        <f>G48+G49+G50+G51+G52</f>
        <v>#DIV/0!</v>
      </c>
      <c r="N48" s="161">
        <v>1</v>
      </c>
      <c r="O48" s="149"/>
      <c r="P48" s="102"/>
    </row>
    <row r="49" spans="2:16" x14ac:dyDescent="0.25">
      <c r="B49" s="116"/>
      <c r="C49" s="104"/>
      <c r="D49" s="148">
        <f>COUNTIF(H5:H40,"&gt;0")</f>
        <v>0</v>
      </c>
      <c r="E49" s="142"/>
      <c r="F49" s="143" t="s">
        <v>420</v>
      </c>
      <c r="G49" s="150" t="e">
        <f>H49/$D$49</f>
        <v>#DIV/0!</v>
      </c>
      <c r="H49" s="85">
        <f>COUNTIF($I$5:$I$40,"A-1")</f>
        <v>0</v>
      </c>
      <c r="I49" s="85"/>
      <c r="J49" s="141"/>
      <c r="K49" s="141"/>
      <c r="L49" s="141"/>
      <c r="M49" s="161"/>
      <c r="N49" s="161">
        <v>0.7</v>
      </c>
      <c r="O49" s="162"/>
      <c r="P49" s="111"/>
    </row>
    <row r="50" spans="2:16" x14ac:dyDescent="0.25">
      <c r="B50" s="116"/>
      <c r="C50" s="104"/>
      <c r="D50" s="144"/>
      <c r="E50" s="142"/>
      <c r="F50" s="145" t="s">
        <v>421</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422</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423</v>
      </c>
      <c r="G52" s="150" t="e">
        <f>H52/$D$49</f>
        <v>#DIV/0!</v>
      </c>
      <c r="H52" s="85">
        <f>COUNTIF($I$5:$I$40,"c-3")</f>
        <v>0</v>
      </c>
      <c r="I52" s="85"/>
      <c r="J52" s="141" t="s">
        <v>352</v>
      </c>
      <c r="K52" s="141"/>
      <c r="L52" s="141"/>
      <c r="M52" s="161" t="e">
        <f>G53+G54+G55+G57</f>
        <v>#DIV/0!</v>
      </c>
      <c r="N52" s="163"/>
      <c r="O52" s="162"/>
      <c r="P52" s="111"/>
    </row>
    <row r="53" spans="2:16" x14ac:dyDescent="0.25">
      <c r="B53" s="116"/>
      <c r="C53" s="104"/>
      <c r="D53" s="144"/>
      <c r="E53" s="142"/>
      <c r="F53" s="145" t="s">
        <v>424</v>
      </c>
      <c r="G53" s="150" t="e">
        <f>H53/$D$49</f>
        <v>#DIV/0!</v>
      </c>
      <c r="H53" s="85">
        <f>COUNTIF($I$5:$I$40,"c-4")</f>
        <v>0</v>
      </c>
      <c r="I53" s="83"/>
      <c r="J53" s="141"/>
      <c r="K53" s="141"/>
      <c r="L53" s="141"/>
      <c r="M53" s="161"/>
      <c r="N53" s="163"/>
      <c r="O53" s="162"/>
      <c r="P53" s="111"/>
    </row>
    <row r="54" spans="2:16" x14ac:dyDescent="0.25">
      <c r="B54" s="116"/>
      <c r="C54" s="104"/>
      <c r="D54" s="144"/>
      <c r="E54" s="142"/>
      <c r="F54" s="142" t="s">
        <v>425</v>
      </c>
      <c r="G54" s="150" t="e">
        <f>H54/$D$49</f>
        <v>#DIV/0!</v>
      </c>
      <c r="H54" s="85">
        <f>COUNTIF($I$5:$I$40,"d-4")</f>
        <v>0</v>
      </c>
      <c r="I54" s="83"/>
      <c r="J54" s="141"/>
      <c r="K54" s="141"/>
      <c r="L54" s="141"/>
      <c r="M54" s="161"/>
      <c r="N54" s="163"/>
      <c r="O54" s="162"/>
      <c r="P54" s="111"/>
    </row>
    <row r="55" spans="2:16" x14ac:dyDescent="0.25">
      <c r="B55" s="116"/>
      <c r="C55" s="104"/>
      <c r="D55" s="144"/>
      <c r="E55" s="142"/>
      <c r="F55" s="143" t="s">
        <v>426</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t="e">
        <f>M48+M52</f>
        <v>#DIV/0!</v>
      </c>
      <c r="N56" s="1245"/>
      <c r="O56" s="162"/>
      <c r="P56" s="111"/>
    </row>
    <row r="57" spans="2:16" x14ac:dyDescent="0.25">
      <c r="B57" s="116"/>
      <c r="C57" s="104"/>
      <c r="D57" s="144"/>
      <c r="E57" s="142"/>
      <c r="F57" s="146" t="s">
        <v>427</v>
      </c>
      <c r="G57" s="150" t="e">
        <f>H57/$D$49</f>
        <v>#DIV/0!</v>
      </c>
      <c r="H57" s="85">
        <f>COUNTIF($I$5:$I$40,"e-5-")</f>
        <v>0</v>
      </c>
      <c r="I57" s="85"/>
      <c r="J57" s="141"/>
      <c r="K57" s="141"/>
      <c r="L57" s="141"/>
      <c r="M57" s="161"/>
      <c r="N57" s="1245"/>
      <c r="O57" s="162"/>
      <c r="P57" s="111"/>
    </row>
    <row r="58" spans="2:16" x14ac:dyDescent="0.25">
      <c r="B58" s="116"/>
      <c r="C58" s="104"/>
      <c r="D58" s="144"/>
      <c r="E58" s="142"/>
      <c r="F58" s="143" t="s">
        <v>69</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526" priority="56" stopIfTrue="1">
      <formula>B7=5</formula>
    </cfRule>
    <cfRule type="cellIs" dxfId="525" priority="50" operator="equal">
      <formula>""</formula>
    </cfRule>
    <cfRule type="expression" dxfId="524" priority="51" stopIfTrue="1">
      <formula>B7=8</formula>
    </cfRule>
    <cfRule type="expression" dxfId="523" priority="52" stopIfTrue="1">
      <formula>B7=7</formula>
    </cfRule>
    <cfRule type="expression" dxfId="522" priority="53" stopIfTrue="1">
      <formula>B7=6</formula>
    </cfRule>
    <cfRule type="expression" dxfId="521" priority="54" stopIfTrue="1">
      <formula>B7=3</formula>
    </cfRule>
    <cfRule type="expression" dxfId="520" priority="55" stopIfTrue="1">
      <formula>B7=4</formula>
    </cfRule>
  </conditionalFormatting>
  <conditionalFormatting sqref="C29:C40">
    <cfRule type="expression" dxfId="519" priority="128" stopIfTrue="1">
      <formula>B29=5</formula>
    </cfRule>
    <cfRule type="expression" dxfId="518" priority="127" stopIfTrue="1">
      <formula>B29=4</formula>
    </cfRule>
    <cfRule type="expression" dxfId="517" priority="126" stopIfTrue="1">
      <formula>B29=3</formula>
    </cfRule>
    <cfRule type="expression" dxfId="516" priority="125" stopIfTrue="1">
      <formula>B29=6</formula>
    </cfRule>
    <cfRule type="expression" dxfId="515" priority="124" stopIfTrue="1">
      <formula>B29=7</formula>
    </cfRule>
    <cfRule type="expression" dxfId="514" priority="123" stopIfTrue="1">
      <formula>B29=8</formula>
    </cfRule>
    <cfRule type="cellIs" dxfId="513" priority="122" operator="equal">
      <formula>""</formula>
    </cfRule>
  </conditionalFormatting>
  <conditionalFormatting sqref="C42:C46">
    <cfRule type="cellIs" dxfId="512" priority="100" operator="notEqual">
      <formula>""</formula>
    </cfRule>
  </conditionalFormatting>
  <conditionalFormatting sqref="E5:E40">
    <cfRule type="expression" dxfId="511" priority="137">
      <formula>$D5=7</formula>
    </cfRule>
    <cfRule type="expression" dxfId="510" priority="136">
      <formula>$D5=8</formula>
    </cfRule>
    <cfRule type="expression" dxfId="509" priority="135">
      <formula>$D5=5</formula>
    </cfRule>
    <cfRule type="expression" dxfId="508" priority="138">
      <formula>$D5=6</formula>
    </cfRule>
    <cfRule type="expression" dxfId="507" priority="134">
      <formula>$D5=4</formula>
    </cfRule>
    <cfRule type="expression" dxfId="506" priority="133">
      <formula>$D5=3</formula>
    </cfRule>
  </conditionalFormatting>
  <conditionalFormatting sqref="F5:F40">
    <cfRule type="expression" dxfId="505" priority="141">
      <formula>$H5&gt;=#REF!</formula>
    </cfRule>
    <cfRule type="expression" dxfId="504" priority="140">
      <formula>$H5&lt;#REF!</formula>
    </cfRule>
    <cfRule type="expression" dxfId="503" priority="139">
      <formula>$H5=0</formula>
    </cfRule>
    <cfRule type="expression" dxfId="502" priority="142">
      <formula>$H5=0</formula>
    </cfRule>
  </conditionalFormatting>
  <conditionalFormatting sqref="G42:G46">
    <cfRule type="cellIs" dxfId="501" priority="121" operator="notEqual">
      <formula>""</formula>
    </cfRule>
  </conditionalFormatting>
  <conditionalFormatting sqref="H5:H40">
    <cfRule type="cellIs" dxfId="500" priority="1" operator="between">
      <formula>1.6</formula>
      <formula>2.5</formula>
    </cfRule>
    <cfRule type="cellIs" dxfId="499" priority="146" stopIfTrue="1" operator="between">
      <formula>0.1</formula>
      <formula>1.5</formula>
    </cfRule>
    <cfRule type="cellIs" dxfId="498" priority="147" stopIfTrue="1" operator="between">
      <formula>3</formula>
      <formula>3.9</formula>
    </cfRule>
    <cfRule type="cellIs" dxfId="497" priority="148" stopIfTrue="1" operator="between">
      <formula>4</formula>
      <formula>5</formula>
    </cfRule>
  </conditionalFormatting>
  <conditionalFormatting sqref="I5:I39">
    <cfRule type="cellIs" dxfId="496" priority="12" operator="between">
      <formula>"C-4"</formula>
      <formula>"D-4"</formula>
    </cfRule>
    <cfRule type="cellIs" dxfId="495" priority="16" stopIfTrue="1" operator="between">
      <formula>"B-2"</formula>
      <formula>"B-3"</formula>
    </cfRule>
    <cfRule type="cellIs" dxfId="494" priority="17" stopIfTrue="1" operator="between">
      <formula>"A-1"</formula>
      <formula>"A-2"</formula>
    </cfRule>
    <cfRule type="cellIs" dxfId="493" priority="15" stopIfTrue="1" operator="between">
      <formula>"D-5"</formula>
      <formula>"E-5"</formula>
    </cfRule>
  </conditionalFormatting>
  <conditionalFormatting sqref="I5:I40">
    <cfRule type="cellIs" dxfId="492" priority="14" operator="equal">
      <formula>"A-1+"</formula>
    </cfRule>
    <cfRule type="cellIs" dxfId="491" priority="13" operator="equal">
      <formula>"E-5-"</formula>
    </cfRule>
  </conditionalFormatting>
  <conditionalFormatting sqref="I40">
    <cfRule type="cellIs" dxfId="490" priority="22" stopIfTrue="1" operator="between">
      <formula>"A-1"</formula>
      <formula>"A-2"</formula>
    </cfRule>
    <cfRule type="cellIs" dxfId="489" priority="21" stopIfTrue="1" operator="between">
      <formula>"B-2"</formula>
      <formula>"B-3"</formula>
    </cfRule>
    <cfRule type="cellIs" dxfId="488" priority="20" stopIfTrue="1" operator="between">
      <formula>"D-3"</formula>
      <formula>"E-5"</formula>
    </cfRule>
  </conditionalFormatting>
  <conditionalFormatting sqref="J5:J40">
    <cfRule type="cellIs" dxfId="487" priority="71" operator="equal">
      <formula>"*"</formula>
    </cfRule>
    <cfRule type="cellIs" dxfId="486" priority="72" operator="equal">
      <formula>"!"</formula>
    </cfRule>
  </conditionalFormatting>
  <conditionalFormatting sqref="L5:L40">
    <cfRule type="cellIs" dxfId="485" priority="8" operator="between">
      <formula>1.6</formula>
      <formula>2.5</formula>
    </cfRule>
    <cfRule type="cellIs" dxfId="484" priority="11" stopIfTrue="1" operator="between">
      <formula>4</formula>
      <formula>5</formula>
    </cfRule>
    <cfRule type="cellIs" dxfId="483" priority="10" stopIfTrue="1" operator="between">
      <formula>3</formula>
      <formula>3.9</formula>
    </cfRule>
    <cfRule type="cellIs" dxfId="482" priority="9" stopIfTrue="1" operator="between">
      <formula>0.1</formula>
      <formula>1.5</formula>
    </cfRule>
  </conditionalFormatting>
  <conditionalFormatting sqref="M5:M40">
    <cfRule type="cellIs" dxfId="481" priority="7" stopIfTrue="1" operator="between">
      <formula>"A-1"</formula>
      <formula>"A-2"</formula>
    </cfRule>
    <cfRule type="cellIs" dxfId="480" priority="6" stopIfTrue="1" operator="between">
      <formula>"B-2"</formula>
      <formula>"B-3"</formula>
    </cfRule>
    <cfRule type="cellIs" dxfId="479" priority="5" stopIfTrue="1" operator="between">
      <formula>"D-5"</formula>
      <formula>"E-5"</formula>
    </cfRule>
    <cfRule type="cellIs" dxfId="478" priority="4" operator="equal">
      <formula>"A-1+"</formula>
    </cfRule>
    <cfRule type="cellIs" dxfId="477" priority="3" operator="equal">
      <formula>"E-5-"</formula>
    </cfRule>
    <cfRule type="cellIs" dxfId="476" priority="2" operator="between">
      <formula>"C-4"</formula>
      <formula>"D-4"</formula>
    </cfRule>
  </conditionalFormatting>
  <conditionalFormatting sqref="N5:N40">
    <cfRule type="cellIs" dxfId="475" priority="69" operator="equal">
      <formula>"*"</formula>
    </cfRule>
    <cfRule type="cellIs" dxfId="474" priority="70" operator="equal">
      <formula>"!"</formula>
    </cfRule>
  </conditionalFormatting>
  <conditionalFormatting sqref="R6:R7">
    <cfRule type="cellIs" dxfId="473" priority="114" operator="equal">
      <formula>0</formula>
    </cfRule>
  </conditionalFormatting>
  <conditionalFormatting sqref="S7:U7 S9:U9 S11:U11">
    <cfRule type="cellIs" dxfId="472" priority="120" operator="equal">
      <formula>0</formula>
    </cfRule>
  </conditionalFormatting>
  <conditionalFormatting sqref="S13:U13 S15:U15">
    <cfRule type="cellIs" dxfId="471" priority="115" operator="equal">
      <formula>0</formula>
    </cfRule>
  </conditionalFormatting>
  <conditionalFormatting sqref="V6:V7">
    <cfRule type="cellIs" dxfId="470" priority="113" operator="equal">
      <formula>0</formula>
    </cfRule>
  </conditionalFormatting>
  <conditionalFormatting sqref="V9 V11">
    <cfRule type="cellIs" dxfId="469" priority="116" operator="equal">
      <formula>0</formula>
    </cfRule>
  </conditionalFormatting>
  <conditionalFormatting sqref="V13 V15">
    <cfRule type="cellIs" dxfId="468" priority="119" operator="equal">
      <formula>0</formula>
    </cfRule>
  </conditionalFormatting>
  <dataValidations count="10">
    <dataValidation allowBlank="1" showInputMessage="1" showErrorMessage="1" promptTitle="Nieuwe regel:" prompt="druk op Alt-Enter" sqref="P15 P28 P17 P26 P37 P39" xr:uid="{00000000-0002-0000-2800-000000000000}"/>
    <dataValidation allowBlank="1" showInputMessage="1" showErrorMessage="1" promptTitle="Pulldown menu" prompt="groeps  HP: -_x000a_indiv.    HP:#_x000a_hele groep: $" sqref="C18 C40" xr:uid="{00000000-0002-0000-2800-000001000000}"/>
    <dataValidation allowBlank="1" showInputMessage="1" showErrorMessage="1" promptTitle="Pulldown venster" prompt="groeps  HP: -_x000a_indiv.    HP:#_x000a_hele groep: $" sqref="C7:C17 C29:C39" xr:uid="{00000000-0002-0000-28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800-000003000000}">
      <formula1>2</formula1>
    </dataValidation>
    <dataValidation type="list" allowBlank="1" showInputMessage="1" showErrorMessage="1" sqref="B7:B18 B29:B40" xr:uid="{00000000-0002-0000-2800-000004000000}">
      <formula1>"3,4,5,6,7,8,"</formula1>
    </dataValidation>
    <dataValidation type="list" allowBlank="1" showInputMessage="1" showErrorMessage="1" sqref="C42 G42" xr:uid="{00000000-0002-0000-2800-000005000000}">
      <formula1>"maandag,"</formula1>
    </dataValidation>
    <dataValidation type="list" allowBlank="1" showInputMessage="1" showErrorMessage="1" sqref="C43 G43" xr:uid="{00000000-0002-0000-2800-000006000000}">
      <formula1>"dinsdag,"</formula1>
    </dataValidation>
    <dataValidation type="list" allowBlank="1" showInputMessage="1" showErrorMessage="1" sqref="C44 G44" xr:uid="{00000000-0002-0000-2800-000007000000}">
      <formula1>"woensdag,"</formula1>
    </dataValidation>
    <dataValidation type="list" allowBlank="1" showInputMessage="1" showErrorMessage="1" sqref="C45 G45" xr:uid="{00000000-0002-0000-2800-000008000000}">
      <formula1>"donderdag,"</formula1>
    </dataValidation>
    <dataValidation type="list" allowBlank="1" showInputMessage="1" showErrorMessage="1" sqref="C46 G46" xr:uid="{00000000-0002-0000-2800-000009000000}">
      <formula1>"vrijdag,"</formula1>
    </dataValidation>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0ED7-4D95-475B-82EA-36821598272A}">
  <sheetPr>
    <pageSetUpPr fitToPage="1"/>
  </sheetPr>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27</v>
      </c>
    </row>
  </sheetData>
  <sheetProtection algorithmName="SHA-512" hashValue="3mrrK7EVr09JMsOa28P+GugiS3hv9XDt1nWj5lwS/h9LrwhsK6RsDKqRGgb6yO7nqyNgYm42kBl8PaSnbwHerA==" saltValue="I/lIxV7UL35eztis1Z2ofA==" spinCount="100000" sheet="1" objects="1" scenarios="1"/>
  <pageMargins left="0.70866141732283472" right="0.70866141732283472" top="0.74803149606299213" bottom="0.74803149606299213" header="0.31496062992125984" footer="0.31496062992125984"/>
  <pageSetup paperSize="9" scale="60" orientation="landscape" r:id="rId1"/>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CCFF"/>
    <pageSetUpPr fitToPage="1"/>
  </sheetPr>
  <dimension ref="A1:X85"/>
  <sheetViews>
    <sheetView showGridLines="0" showRowColHeaders="0" zoomScale="75" zoomScaleNormal="75" workbookViewId="0">
      <selection activeCell="S9" sqref="S9"/>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438</v>
      </c>
      <c r="D1" s="1177"/>
      <c r="E1" s="1177"/>
      <c r="F1" s="1177"/>
      <c r="G1" s="1177"/>
      <c r="H1" s="1177"/>
      <c r="I1" s="1177"/>
      <c r="J1" s="1177"/>
      <c r="K1" s="1233" t="str">
        <f>BEGINBLAD!$I$2</f>
        <v>groep 6</v>
      </c>
      <c r="L1" s="1233"/>
      <c r="M1" s="1233"/>
      <c r="N1" s="1233"/>
      <c r="O1" s="1233"/>
      <c r="P1" s="173"/>
      <c r="X1" s="50"/>
    </row>
    <row r="2" spans="1:24" ht="24" customHeight="1" x14ac:dyDescent="0.25">
      <c r="C2" s="1178" t="str">
        <f>BEGINBLAD!$N$2</f>
        <v>aug.</v>
      </c>
      <c r="D2" s="1178"/>
      <c r="E2" s="175"/>
      <c r="F2" s="412" t="str">
        <f>BEGINBLAD!$O$2</f>
        <v>apr.</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405</v>
      </c>
      <c r="H4" s="61" t="s">
        <v>439</v>
      </c>
      <c r="I4" s="62" t="s">
        <v>407</v>
      </c>
      <c r="J4" s="170"/>
      <c r="K4" s="60" t="s">
        <v>405</v>
      </c>
      <c r="L4" s="64" t="s">
        <v>440</v>
      </c>
      <c r="M4" s="62" t="s">
        <v>407</v>
      </c>
      <c r="N4" s="170"/>
      <c r="O4" s="54"/>
    </row>
    <row r="5" spans="1:24" ht="19.5" customHeight="1" x14ac:dyDescent="0.25">
      <c r="B5" s="1164" t="s">
        <v>62</v>
      </c>
      <c r="C5" s="66" t="s">
        <v>273</v>
      </c>
      <c r="D5" s="67">
        <v>0</v>
      </c>
      <c r="E5" s="68">
        <v>1</v>
      </c>
      <c r="F5" s="120" t="str">
        <f>BEGINBLAD!C4</f>
        <v>leerling 1</v>
      </c>
      <c r="G5" s="70">
        <f>'NIVEAU WAARDE - vorig jaar'!G9</f>
        <v>4.3</v>
      </c>
      <c r="H5" s="71">
        <f>'NIVEAU WAARDE - 1e toetsperiode'!G9</f>
        <v>4.5999999999999996</v>
      </c>
      <c r="I5" s="72" t="str">
        <f>IF(H5=0,"",IF(H5&gt;4.5,"A-1+",IF(H5&gt;4.2,"A-1",IF(H5&gt;=4,"A-2",IF(H5&gt;3.4,"B-2",IF(H5&gt;=3,"B-3",IF(H5&gt;2.5,"C-3",IF(H5&gt;=2,"C-4",IF(H5&gt;1.6,"D-4",IF(H5&gt;=1,"D-5",IF(H5&gt;0.5,"E-5",IF(H5&gt;=0,"E-5-"))))))))))))</f>
        <v>A-1+</v>
      </c>
      <c r="J5" s="171" t="str">
        <f>IF(H5=0,"",IF(G5-H5&gt;0.5,"!",IF(H5-G5&gt;0.5,"*",IF(H5-G5&lt;=0.5,""))))</f>
        <v/>
      </c>
      <c r="K5" s="90">
        <f>'NIVEAU WAARDE - vorig jaar'!H9</f>
        <v>4.2</v>
      </c>
      <c r="L5" s="73">
        <f>'NIVEAU WAARDE - 1e toetsperiode'!H9</f>
        <v>4.4000000000000004</v>
      </c>
      <c r="M5" s="72" t="str">
        <f>IF(L5=0,"",IF(L5&gt;4.5,"A-1+",IF(L5&gt;4.2,"A-1",IF(L5&gt;=4,"A-2",IF(L5&gt;3.4,"B-2",IF(L5&gt;=3,"B-3",IF(L5&gt;2.5,"C-3",IF(L5&gt;=2,"C-4",IF(L5&gt;1.6,"D-4",IF(L5&gt;=1,"D-5",IF(L5&gt;0.5,"E-5",IF(L5&gt;=0,"E-5-"))))))))))))</f>
        <v>A-1</v>
      </c>
      <c r="N5" s="171" t="str">
        <f>IF(L5=0,"",IF(K5-L5&gt;0.5,"!",IF(L5-K5&gt;0.5,"*",IF(L5-K5&lt;=0.5,""))))</f>
        <v/>
      </c>
      <c r="O5" s="75"/>
    </row>
    <row r="6" spans="1:24" ht="19.5" customHeight="1" x14ac:dyDescent="0.25">
      <c r="B6" s="1164"/>
      <c r="C6" s="76" t="s">
        <v>274</v>
      </c>
      <c r="D6" s="67">
        <v>0</v>
      </c>
      <c r="E6" s="68">
        <v>2</v>
      </c>
      <c r="F6" s="69" t="str">
        <f>BEGINBLAD!C5</f>
        <v>leerling 2</v>
      </c>
      <c r="G6" s="70">
        <f>'NIVEAU WAARDE - vorig jaar'!G10</f>
        <v>4.2</v>
      </c>
      <c r="H6" s="71">
        <f>'NIVEAU WAARDE - 1e toetsperiode'!G10</f>
        <v>4.2</v>
      </c>
      <c r="I6" s="72" t="str">
        <f t="shared" ref="I6:I40" si="0">IF(H6=0,"",IF(H6&gt;4.5,"A-1+",IF(H6&gt;4.2,"A-1",IF(H6&gt;=4,"A-2",IF(H6&gt;3.4,"B-2",IF(H6&gt;=3,"B-3",IF(H6&gt;2.5,"C-3",IF(H6&gt;=2,"C-4",IF(H6&gt;1.6,"D-4",IF(H6&gt;=1,"D-5",IF(H6&gt;0.5,"E-5",IF(H6&gt;=0,"E-5-"))))))))))))</f>
        <v>A-2</v>
      </c>
      <c r="J6" s="171" t="str">
        <f t="shared" ref="J6:J40" si="1">IF(H6=0,"",IF(G6-H6&gt;0.5,"!",IF(H6-G6&gt;0.5,"*",IF(H6-G6&lt;=0.5,""))))</f>
        <v/>
      </c>
      <c r="K6" s="90">
        <f>'NIVEAU WAARDE - vorig jaar'!H10</f>
        <v>4.8</v>
      </c>
      <c r="L6" s="73">
        <f>'NIVEAU WAARDE - 1e toetsperiode'!H10</f>
        <v>4.7</v>
      </c>
      <c r="M6" s="72" t="str">
        <f t="shared" ref="M6:M40" si="2">IF(L6=0,"",IF(L6&gt;4.5,"A-1+",IF(L6&gt;4.2,"A-1",IF(L6&gt;=4,"A-2",IF(L6&gt;3.4,"B-2",IF(L6&gt;=3,"B-3",IF(L6&gt;2.5,"C-3",IF(L6&gt;=2,"C-4",IF(L6&gt;1.6,"D-4",IF(L6&gt;=1,"D-5",IF(L6&gt;0.5,"E-5",IF(L6&gt;=0,"E-5-"))))))))))))</f>
        <v>A-1+</v>
      </c>
      <c r="N6" s="171" t="str">
        <f>IF(L6=0,"",IF(K6-L6&gt;0.5,"!",IF(L6-K6&gt;0.5,"*",IF(L6-K6&lt;=0.5,""))))</f>
        <v/>
      </c>
      <c r="O6" s="75"/>
      <c r="R6" s="106"/>
      <c r="S6" s="106"/>
      <c r="T6" s="106"/>
      <c r="U6" s="106"/>
      <c r="V6" s="106"/>
    </row>
    <row r="7" spans="1:24" ht="19.5" customHeight="1" x14ac:dyDescent="0.25">
      <c r="A7" s="77"/>
      <c r="B7" s="257"/>
      <c r="C7" s="259"/>
      <c r="D7" s="67">
        <v>0</v>
      </c>
      <c r="E7" s="68">
        <v>3</v>
      </c>
      <c r="F7" s="69" t="str">
        <f>BEGINBLAD!C6</f>
        <v>leerling 3</v>
      </c>
      <c r="G7" s="70">
        <f>'NIVEAU WAARDE - vorig jaar'!G11</f>
        <v>4.7</v>
      </c>
      <c r="H7" s="71">
        <f>'NIVEAU WAARDE - 1e toetsperiode'!G11</f>
        <v>4.9000000000000004</v>
      </c>
      <c r="I7" s="72" t="str">
        <f t="shared" si="0"/>
        <v>A-1+</v>
      </c>
      <c r="J7" s="171" t="str">
        <f t="shared" si="1"/>
        <v/>
      </c>
      <c r="K7" s="90">
        <f>'NIVEAU WAARDE - vorig jaar'!H11</f>
        <v>4.9000000000000004</v>
      </c>
      <c r="L7" s="73">
        <f>'NIVEAU WAARDE - 1e toetsperiode'!H11</f>
        <v>4.5999999999999996</v>
      </c>
      <c r="M7" s="72" t="str">
        <f t="shared" si="2"/>
        <v>A-1+</v>
      </c>
      <c r="N7" s="171" t="str">
        <f t="shared" ref="N7:N40" si="3">IF(L7=0,"",IF(K7-L7&gt;0.5,"!",IF(L7-K7&gt;0.5,"*",IF(L7-K7&lt;=0.5,""))))</f>
        <v/>
      </c>
      <c r="O7" s="75"/>
      <c r="R7" s="107"/>
      <c r="S7" s="107"/>
      <c r="T7" s="107"/>
      <c r="U7" s="107"/>
      <c r="V7" s="107"/>
    </row>
    <row r="8" spans="1:24" ht="19.5" customHeight="1" x14ac:dyDescent="0.25">
      <c r="A8" s="77"/>
      <c r="B8" s="257"/>
      <c r="C8" s="259" t="s">
        <v>441</v>
      </c>
      <c r="D8" s="80">
        <v>0</v>
      </c>
      <c r="E8" s="68">
        <v>4</v>
      </c>
      <c r="F8" s="69" t="str">
        <f>BEGINBLAD!C7</f>
        <v>leerling 4</v>
      </c>
      <c r="G8" s="70">
        <f>'NIVEAU WAARDE - vorig jaar'!G12</f>
        <v>4</v>
      </c>
      <c r="H8" s="71">
        <f>'NIVEAU WAARDE - 1e toetsperiode'!G12</f>
        <v>4.8</v>
      </c>
      <c r="I8" s="72" t="str">
        <f t="shared" si="0"/>
        <v>A-1+</v>
      </c>
      <c r="J8" s="171" t="str">
        <f t="shared" si="1"/>
        <v>*</v>
      </c>
      <c r="K8" s="90">
        <f>'NIVEAU WAARDE - vorig jaar'!H12</f>
        <v>4.9000000000000004</v>
      </c>
      <c r="L8" s="73">
        <f>'NIVEAU WAARDE - 1e toetsperiode'!H12</f>
        <v>4.5999999999999996</v>
      </c>
      <c r="M8" s="72" t="str">
        <f t="shared" si="2"/>
        <v>A-1+</v>
      </c>
      <c r="N8" s="171" t="str">
        <f t="shared" si="3"/>
        <v/>
      </c>
      <c r="O8" s="82"/>
      <c r="R8" s="107"/>
      <c r="S8" s="107"/>
      <c r="T8" s="107"/>
      <c r="U8" s="107"/>
      <c r="V8" s="107"/>
    </row>
    <row r="9" spans="1:24" ht="19.5" customHeight="1" x14ac:dyDescent="0.25">
      <c r="A9" s="77"/>
      <c r="B9" s="257"/>
      <c r="C9" s="259"/>
      <c r="D9" s="83">
        <v>0</v>
      </c>
      <c r="E9" s="68">
        <v>5</v>
      </c>
      <c r="F9" s="69" t="str">
        <f>BEGINBLAD!C8</f>
        <v>leerling 5</v>
      </c>
      <c r="G9" s="70">
        <f>'NIVEAU WAARDE - vorig jaar'!G13</f>
        <v>4.2</v>
      </c>
      <c r="H9" s="71">
        <f>'NIVEAU WAARDE - 1e toetsperiode'!G13</f>
        <v>4.9000000000000004</v>
      </c>
      <c r="I9" s="72" t="str">
        <f t="shared" si="0"/>
        <v>A-1+</v>
      </c>
      <c r="J9" s="171" t="str">
        <f t="shared" si="1"/>
        <v>*</v>
      </c>
      <c r="K9" s="90">
        <f>'NIVEAU WAARDE - vorig jaar'!H13</f>
        <v>4.4000000000000004</v>
      </c>
      <c r="L9" s="73">
        <f>'NIVEAU WAARDE - 1e toetsperiode'!H13</f>
        <v>3</v>
      </c>
      <c r="M9" s="72" t="str">
        <f t="shared" si="2"/>
        <v>B-3</v>
      </c>
      <c r="N9" s="171" t="str">
        <f t="shared" si="3"/>
        <v>!</v>
      </c>
      <c r="O9" s="84"/>
      <c r="R9" s="107"/>
      <c r="S9" s="107"/>
      <c r="T9" s="107"/>
      <c r="U9" s="107"/>
      <c r="V9" s="107"/>
    </row>
    <row r="10" spans="1:24" ht="19.5" customHeight="1" x14ac:dyDescent="0.25">
      <c r="A10" s="77"/>
      <c r="B10" s="257"/>
      <c r="C10" s="259"/>
      <c r="D10" s="85">
        <v>0</v>
      </c>
      <c r="E10" s="68">
        <v>6</v>
      </c>
      <c r="F10" s="69" t="str">
        <f>BEGINBLAD!C9</f>
        <v>leerling 6</v>
      </c>
      <c r="G10" s="70">
        <f>'NIVEAU WAARDE - vorig jaar'!G14</f>
        <v>4.2</v>
      </c>
      <c r="H10" s="71">
        <f>'NIVEAU WAARDE - 1e toetsperiode'!G14</f>
        <v>3.5</v>
      </c>
      <c r="I10" s="72" t="str">
        <f t="shared" si="0"/>
        <v>B-2</v>
      </c>
      <c r="J10" s="171" t="str">
        <f t="shared" si="1"/>
        <v>!</v>
      </c>
      <c r="K10" s="90">
        <f>'NIVEAU WAARDE - vorig jaar'!H14</f>
        <v>4.5</v>
      </c>
      <c r="L10" s="73">
        <f>'NIVEAU WAARDE - 1e toetsperiode'!H14</f>
        <v>4.3</v>
      </c>
      <c r="M10" s="72" t="str">
        <f t="shared" si="2"/>
        <v>A-1</v>
      </c>
      <c r="N10" s="171" t="str">
        <f t="shared" si="3"/>
        <v/>
      </c>
      <c r="O10" s="86"/>
      <c r="R10" s="107"/>
      <c r="S10" s="107"/>
      <c r="T10" s="107"/>
      <c r="U10" s="107"/>
      <c r="V10" s="107"/>
    </row>
    <row r="11" spans="1:24" ht="19.5" customHeight="1" x14ac:dyDescent="0.25">
      <c r="A11" s="77"/>
      <c r="B11" s="257"/>
      <c r="C11" s="259"/>
      <c r="D11" s="85">
        <v>0</v>
      </c>
      <c r="E11" s="68">
        <v>7</v>
      </c>
      <c r="F11" s="69" t="str">
        <f>BEGINBLAD!C10</f>
        <v>leerling 7</v>
      </c>
      <c r="G11" s="70">
        <f>'NIVEAU WAARDE - vorig jaar'!G15</f>
        <v>4.2</v>
      </c>
      <c r="H11" s="71">
        <f>'NIVEAU WAARDE - 1e toetsperiode'!G15</f>
        <v>3.2</v>
      </c>
      <c r="I11" s="72" t="str">
        <f t="shared" si="0"/>
        <v>B-3</v>
      </c>
      <c r="J11" s="171" t="str">
        <f t="shared" si="1"/>
        <v>!</v>
      </c>
      <c r="K11" s="90">
        <f>'NIVEAU WAARDE - vorig jaar'!H15</f>
        <v>2.5</v>
      </c>
      <c r="L11" s="73">
        <f>'NIVEAU WAARDE - 1e toetsperiode'!H15</f>
        <v>2.8</v>
      </c>
      <c r="M11" s="72" t="str">
        <f t="shared" si="2"/>
        <v>C-3</v>
      </c>
      <c r="N11" s="171" t="str">
        <f t="shared" si="3"/>
        <v/>
      </c>
      <c r="O11" s="56"/>
      <c r="R11" s="107"/>
      <c r="S11" s="107"/>
      <c r="T11" s="107"/>
      <c r="U11" s="107"/>
      <c r="V11" s="107"/>
    </row>
    <row r="12" spans="1:24" ht="19.5" customHeight="1" x14ac:dyDescent="0.25">
      <c r="A12" s="77"/>
      <c r="B12" s="257"/>
      <c r="C12" s="259"/>
      <c r="D12" s="67">
        <v>0</v>
      </c>
      <c r="E12" s="68">
        <v>8</v>
      </c>
      <c r="F12" s="69" t="str">
        <f>BEGINBLAD!C11</f>
        <v>leerling 8</v>
      </c>
      <c r="G12" s="70">
        <f>'NIVEAU WAARDE - vorig jaar'!G16</f>
        <v>2.5</v>
      </c>
      <c r="H12" s="71">
        <f>'NIVEAU WAARDE - 1e toetsperiode'!G16</f>
        <v>4.3</v>
      </c>
      <c r="I12" s="72" t="str">
        <f t="shared" si="0"/>
        <v>A-1</v>
      </c>
      <c r="J12" s="171" t="str">
        <f t="shared" si="1"/>
        <v>*</v>
      </c>
      <c r="K12" s="90">
        <f>'NIVEAU WAARDE - vorig jaar'!H16</f>
        <v>3.2</v>
      </c>
      <c r="L12" s="73">
        <f>'NIVEAU WAARDE - 1e toetsperiode'!H16</f>
        <v>3.3</v>
      </c>
      <c r="M12" s="72" t="str">
        <f t="shared" si="2"/>
        <v>B-3</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vorig jaar'!G17</f>
        <v>0</v>
      </c>
      <c r="H13" s="71">
        <f>'NIVEAU WAARDE - 1e toetsperiode'!G17</f>
        <v>0</v>
      </c>
      <c r="I13" s="72" t="str">
        <f t="shared" si="0"/>
        <v/>
      </c>
      <c r="J13" s="171" t="str">
        <f t="shared" si="1"/>
        <v/>
      </c>
      <c r="K13" s="90">
        <f>'NIVEAU WAARDE - vorig jaar'!H17</f>
        <v>0</v>
      </c>
      <c r="L13" s="73">
        <f>'NIVEAU WAARDE - 1e toetsperiode'!H17</f>
        <v>0</v>
      </c>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vorig jaar'!G18</f>
        <v>0</v>
      </c>
      <c r="H14" s="71">
        <f>'NIVEAU WAARDE - 1e toetsperiode'!G18</f>
        <v>0</v>
      </c>
      <c r="I14" s="72" t="str">
        <f t="shared" si="0"/>
        <v/>
      </c>
      <c r="J14" s="171" t="str">
        <f t="shared" si="1"/>
        <v/>
      </c>
      <c r="K14" s="90">
        <f>'NIVEAU WAARDE - vorig jaar'!H18</f>
        <v>0</v>
      </c>
      <c r="L14" s="73">
        <f>'NIVEAU WAARDE - 1e toetsperiode'!H18</f>
        <v>0</v>
      </c>
      <c r="M14" s="72" t="str">
        <f t="shared" si="2"/>
        <v/>
      </c>
      <c r="N14" s="171" t="str">
        <f t="shared" si="3"/>
        <v/>
      </c>
      <c r="O14" s="82"/>
      <c r="P14" s="54" t="s">
        <v>415</v>
      </c>
      <c r="R14" s="108"/>
      <c r="S14" s="108"/>
      <c r="T14" s="108"/>
      <c r="U14" s="108"/>
      <c r="V14" s="108"/>
    </row>
    <row r="15" spans="1:24" ht="19.5" customHeight="1" x14ac:dyDescent="0.25">
      <c r="A15" s="77"/>
      <c r="B15" s="257"/>
      <c r="C15" s="259"/>
      <c r="D15" s="67">
        <v>0</v>
      </c>
      <c r="E15" s="68">
        <v>11</v>
      </c>
      <c r="F15" s="69">
        <f>BEGINBLAD!C14</f>
        <v>0</v>
      </c>
      <c r="G15" s="70">
        <f>'NIVEAU WAARDE - vorig jaar'!G19</f>
        <v>0</v>
      </c>
      <c r="H15" s="71">
        <f>'NIVEAU WAARDE - 1e toetsperiode'!G19</f>
        <v>0</v>
      </c>
      <c r="I15" s="72" t="str">
        <f t="shared" si="0"/>
        <v/>
      </c>
      <c r="J15" s="171" t="str">
        <f t="shared" si="1"/>
        <v/>
      </c>
      <c r="K15" s="90">
        <f>'NIVEAU WAARDE - vorig jaar'!H19</f>
        <v>0</v>
      </c>
      <c r="L15" s="73">
        <f>'NIVEAU WAARDE - 1e toetsperiode'!H19</f>
        <v>0</v>
      </c>
      <c r="M15" s="72" t="str">
        <f t="shared" si="2"/>
        <v/>
      </c>
      <c r="N15" s="171" t="str">
        <f t="shared" si="3"/>
        <v/>
      </c>
      <c r="O15" s="1229" t="s">
        <v>208</v>
      </c>
      <c r="P15" s="1231" t="str">
        <f>'INTENSIEF - 1e periode'!$F$17</f>
        <v>Methodetoetsen moeten voldoende scoren
Niet methodetoetsen minimaal B niveau
cijferend rekenen moet voldoende zijn</v>
      </c>
      <c r="R15" s="108"/>
      <c r="S15" s="108"/>
      <c r="T15" s="108"/>
      <c r="U15" s="108"/>
      <c r="V15" s="108"/>
    </row>
    <row r="16" spans="1:24" ht="19.5" customHeight="1" x14ac:dyDescent="0.25">
      <c r="A16" s="77"/>
      <c r="B16" s="78"/>
      <c r="C16" s="868"/>
      <c r="D16" s="67">
        <v>0</v>
      </c>
      <c r="E16" s="68">
        <v>12</v>
      </c>
      <c r="F16" s="69">
        <f>BEGINBLAD!C15</f>
        <v>0</v>
      </c>
      <c r="G16" s="70">
        <f>'NIVEAU WAARDE - vorig jaar'!G20</f>
        <v>0</v>
      </c>
      <c r="H16" s="71">
        <f>'NIVEAU WAARDE - 1e toetsperiode'!G20</f>
        <v>0</v>
      </c>
      <c r="I16" s="72" t="str">
        <f t="shared" si="0"/>
        <v/>
      </c>
      <c r="J16" s="171" t="str">
        <f t="shared" si="1"/>
        <v/>
      </c>
      <c r="K16" s="90">
        <f>'NIVEAU WAARDE - vorig jaar'!H20</f>
        <v>0</v>
      </c>
      <c r="L16" s="73">
        <f>'NIVEAU WAARDE - 1e toetsperiode'!H20</f>
        <v>0</v>
      </c>
      <c r="M16" s="72" t="str">
        <f t="shared" si="2"/>
        <v/>
      </c>
      <c r="N16" s="171" t="str">
        <f t="shared" si="3"/>
        <v/>
      </c>
      <c r="O16" s="1230"/>
      <c r="P16" s="1232"/>
      <c r="R16" s="108"/>
      <c r="S16" s="108"/>
      <c r="T16" s="108"/>
      <c r="U16" s="108"/>
      <c r="V16" s="108"/>
    </row>
    <row r="17" spans="1:24" ht="19.5" customHeight="1" x14ac:dyDescent="0.25">
      <c r="A17" s="77"/>
      <c r="B17" s="78"/>
      <c r="C17" s="868"/>
      <c r="D17" s="80">
        <v>0</v>
      </c>
      <c r="E17" s="68">
        <v>13</v>
      </c>
      <c r="F17" s="69">
        <f>BEGINBLAD!C16</f>
        <v>0</v>
      </c>
      <c r="G17" s="70">
        <f>'NIVEAU WAARDE - vorig jaar'!G21</f>
        <v>0</v>
      </c>
      <c r="H17" s="71">
        <f>'NIVEAU WAARDE - 1e toetsperiode'!G21</f>
        <v>0</v>
      </c>
      <c r="I17" s="72" t="str">
        <f t="shared" si="0"/>
        <v/>
      </c>
      <c r="J17" s="171" t="str">
        <f t="shared" si="1"/>
        <v/>
      </c>
      <c r="K17" s="90">
        <f>'NIVEAU WAARDE - vorig jaar'!H21</f>
        <v>0</v>
      </c>
      <c r="L17" s="73">
        <f>'NIVEAU WAARDE - 1e toetsperiode'!H21</f>
        <v>0</v>
      </c>
      <c r="M17" s="72" t="str">
        <f t="shared" si="2"/>
        <v/>
      </c>
      <c r="N17" s="171" t="str">
        <f t="shared" si="3"/>
        <v/>
      </c>
      <c r="O17" s="1260" t="s">
        <v>210</v>
      </c>
      <c r="P17" s="1258" t="str">
        <f>'INTENSIEF - 1e periode'!F19</f>
        <v xml:space="preserve"> </v>
      </c>
    </row>
    <row r="18" spans="1:24" ht="19.5" customHeight="1" x14ac:dyDescent="0.25">
      <c r="A18" s="77"/>
      <c r="B18" s="78"/>
      <c r="C18" s="868"/>
      <c r="D18" s="85">
        <v>0</v>
      </c>
      <c r="E18" s="68">
        <v>14</v>
      </c>
      <c r="F18" s="69">
        <f>BEGINBLAD!C17</f>
        <v>0</v>
      </c>
      <c r="G18" s="70">
        <f>'NIVEAU WAARDE - vorig jaar'!G22</f>
        <v>0</v>
      </c>
      <c r="H18" s="71">
        <f>'NIVEAU WAARDE - 1e toetsperiode'!G22</f>
        <v>0</v>
      </c>
      <c r="I18" s="72" t="str">
        <f t="shared" si="0"/>
        <v/>
      </c>
      <c r="J18" s="171" t="str">
        <f t="shared" si="1"/>
        <v/>
      </c>
      <c r="K18" s="90">
        <f>'NIVEAU WAARDE - vorig jaar'!H22</f>
        <v>0</v>
      </c>
      <c r="L18" s="73">
        <f>'NIVEAU WAARDE - 1e toetsperiode'!H22</f>
        <v>0</v>
      </c>
      <c r="M18" s="72" t="str">
        <f t="shared" si="2"/>
        <v/>
      </c>
      <c r="N18" s="171" t="str">
        <f t="shared" si="3"/>
        <v/>
      </c>
      <c r="O18" s="1260"/>
      <c r="P18" s="1258"/>
    </row>
    <row r="19" spans="1:24" ht="19.5" customHeight="1" x14ac:dyDescent="0.3">
      <c r="D19" s="85">
        <v>0</v>
      </c>
      <c r="E19" s="68">
        <v>15</v>
      </c>
      <c r="F19" s="69">
        <f>BEGINBLAD!C18</f>
        <v>0</v>
      </c>
      <c r="G19" s="70">
        <f>'NIVEAU WAARDE - vorig jaar'!G23</f>
        <v>0</v>
      </c>
      <c r="H19" s="71">
        <f>'NIVEAU WAARDE - 1e toetsperiode'!G23</f>
        <v>0</v>
      </c>
      <c r="I19" s="72" t="str">
        <f t="shared" si="0"/>
        <v/>
      </c>
      <c r="J19" s="171" t="str">
        <f t="shared" si="1"/>
        <v/>
      </c>
      <c r="K19" s="90">
        <f>'NIVEAU WAARDE - vorig jaar'!H23</f>
        <v>0</v>
      </c>
      <c r="L19" s="73">
        <f>'NIVEAU WAARDE - 1e toetsperiode'!H23</f>
        <v>0</v>
      </c>
      <c r="M19" s="72" t="str">
        <f t="shared" si="2"/>
        <v/>
      </c>
      <c r="N19" s="171" t="str">
        <f t="shared" si="3"/>
        <v/>
      </c>
      <c r="O19" s="1260"/>
      <c r="P19" s="1258"/>
      <c r="U19" s="88"/>
      <c r="V19" s="88"/>
      <c r="W19" s="88"/>
      <c r="X19" s="88"/>
    </row>
    <row r="20" spans="1:24" ht="19.5" customHeight="1" x14ac:dyDescent="0.25">
      <c r="D20" s="85">
        <v>0</v>
      </c>
      <c r="E20" s="68">
        <v>16</v>
      </c>
      <c r="F20" s="69">
        <f>BEGINBLAD!C19</f>
        <v>0</v>
      </c>
      <c r="G20" s="70">
        <f>'NIVEAU WAARDE - vorig jaar'!G24</f>
        <v>0</v>
      </c>
      <c r="H20" s="71">
        <f>'NIVEAU WAARDE - 1e toetsperiode'!G24</f>
        <v>0</v>
      </c>
      <c r="I20" s="72" t="str">
        <f t="shared" si="0"/>
        <v/>
      </c>
      <c r="J20" s="171" t="str">
        <f t="shared" si="1"/>
        <v/>
      </c>
      <c r="K20" s="90">
        <f>'NIVEAU WAARDE - vorig jaar'!H24</f>
        <v>0</v>
      </c>
      <c r="L20" s="73">
        <f>'NIVEAU WAARDE - 1e toetsperiode'!H24</f>
        <v>0</v>
      </c>
      <c r="M20" s="72" t="str">
        <f t="shared" si="2"/>
        <v/>
      </c>
      <c r="N20" s="171" t="str">
        <f t="shared" si="3"/>
        <v/>
      </c>
      <c r="O20" s="1260"/>
      <c r="P20" s="1258"/>
    </row>
    <row r="21" spans="1:24" ht="19.5" customHeight="1" x14ac:dyDescent="0.25">
      <c r="D21" s="85">
        <v>0</v>
      </c>
      <c r="E21" s="68">
        <v>17</v>
      </c>
      <c r="F21" s="69">
        <f>BEGINBLAD!C20</f>
        <v>0</v>
      </c>
      <c r="G21" s="70">
        <f>'NIVEAU WAARDE - vorig jaar'!G25</f>
        <v>0</v>
      </c>
      <c r="H21" s="71">
        <f>'NIVEAU WAARDE - 1e toetsperiode'!G25</f>
        <v>0</v>
      </c>
      <c r="I21" s="72" t="str">
        <f t="shared" si="0"/>
        <v/>
      </c>
      <c r="J21" s="171" t="str">
        <f t="shared" si="1"/>
        <v/>
      </c>
      <c r="K21" s="90">
        <f>'NIVEAU WAARDE - vorig jaar'!H25</f>
        <v>0</v>
      </c>
      <c r="L21" s="73">
        <f>'NIVEAU WAARDE - 1e toetsperiode'!H25</f>
        <v>0</v>
      </c>
      <c r="M21" s="72" t="str">
        <f t="shared" si="2"/>
        <v/>
      </c>
      <c r="N21" s="171" t="str">
        <f t="shared" si="3"/>
        <v/>
      </c>
      <c r="O21" s="1260"/>
      <c r="P21" s="1258"/>
    </row>
    <row r="22" spans="1:24" ht="19.5" customHeight="1" x14ac:dyDescent="0.25">
      <c r="D22" s="85">
        <v>0</v>
      </c>
      <c r="E22" s="68">
        <v>18</v>
      </c>
      <c r="F22" s="69">
        <f>BEGINBLAD!C21</f>
        <v>0</v>
      </c>
      <c r="G22" s="70">
        <f>'NIVEAU WAARDE - vorig jaar'!G26</f>
        <v>0</v>
      </c>
      <c r="H22" s="71">
        <f>'NIVEAU WAARDE - 1e toetsperiode'!G26</f>
        <v>0</v>
      </c>
      <c r="I22" s="72" t="str">
        <f t="shared" si="0"/>
        <v/>
      </c>
      <c r="J22" s="171" t="str">
        <f t="shared" si="1"/>
        <v/>
      </c>
      <c r="K22" s="90">
        <f>'NIVEAU WAARDE - vorig jaar'!H26</f>
        <v>0</v>
      </c>
      <c r="L22" s="73">
        <f>'NIVEAU WAARDE - 1e toetsperiode'!H26</f>
        <v>0</v>
      </c>
      <c r="M22" s="72" t="str">
        <f t="shared" si="2"/>
        <v/>
      </c>
      <c r="N22" s="171" t="str">
        <f t="shared" si="3"/>
        <v/>
      </c>
      <c r="O22" s="1260"/>
      <c r="P22" s="1258"/>
    </row>
    <row r="23" spans="1:24" ht="19.5" customHeight="1" x14ac:dyDescent="0.25">
      <c r="B23" s="53"/>
      <c r="C23" s="53"/>
      <c r="D23" s="85">
        <v>0</v>
      </c>
      <c r="E23" s="68">
        <v>19</v>
      </c>
      <c r="F23" s="69">
        <f>BEGINBLAD!C22</f>
        <v>0</v>
      </c>
      <c r="G23" s="70">
        <f>'NIVEAU WAARDE - vorig jaar'!G27</f>
        <v>0</v>
      </c>
      <c r="H23" s="71">
        <f>'NIVEAU WAARDE - 1e toetsperiode'!G27</f>
        <v>0</v>
      </c>
      <c r="I23" s="72" t="str">
        <f t="shared" si="0"/>
        <v/>
      </c>
      <c r="J23" s="171" t="str">
        <f t="shared" si="1"/>
        <v/>
      </c>
      <c r="K23" s="90">
        <f>'NIVEAU WAARDE - vorig jaar'!H27</f>
        <v>0</v>
      </c>
      <c r="L23" s="73">
        <f>'NIVEAU WAARDE - 1e toetsperiode'!H27</f>
        <v>0</v>
      </c>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vorig jaar'!G28</f>
        <v>0</v>
      </c>
      <c r="H24" s="71">
        <f>'NIVEAU WAARDE - 1e toetsperiode'!G28</f>
        <v>0</v>
      </c>
      <c r="I24" s="72" t="str">
        <f t="shared" si="0"/>
        <v/>
      </c>
      <c r="J24" s="171" t="str">
        <f t="shared" si="1"/>
        <v/>
      </c>
      <c r="K24" s="90">
        <f>'NIVEAU WAARDE - vorig jaar'!H28</f>
        <v>0</v>
      </c>
      <c r="L24" s="73">
        <f>'NIVEAU WAARDE - 1e toetsperiode'!H28</f>
        <v>0</v>
      </c>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vorig jaar'!G29</f>
        <v>0</v>
      </c>
      <c r="H25" s="71">
        <f>'NIVEAU WAARDE - 1e toetsperiode'!G29</f>
        <v>0</v>
      </c>
      <c r="I25" s="72" t="str">
        <f t="shared" si="0"/>
        <v/>
      </c>
      <c r="J25" s="171" t="str">
        <f t="shared" si="1"/>
        <v/>
      </c>
      <c r="K25" s="90">
        <f>'NIVEAU WAARDE - vorig jaar'!H29</f>
        <v>0</v>
      </c>
      <c r="L25" s="73">
        <f>'NIVEAU WAARDE - 1e toetsperiode'!H29</f>
        <v>0</v>
      </c>
      <c r="M25" s="72" t="str">
        <f t="shared" si="2"/>
        <v/>
      </c>
      <c r="N25" s="171" t="str">
        <f t="shared" si="3"/>
        <v/>
      </c>
      <c r="O25" s="82"/>
      <c r="P25" s="54" t="s">
        <v>416</v>
      </c>
    </row>
    <row r="26" spans="1:24" ht="19.5" customHeight="1" x14ac:dyDescent="0.25">
      <c r="D26" s="85">
        <v>0</v>
      </c>
      <c r="E26" s="68">
        <v>22</v>
      </c>
      <c r="F26" s="69">
        <f>BEGINBLAD!C25</f>
        <v>0</v>
      </c>
      <c r="G26" s="70">
        <f>'NIVEAU WAARDE - vorig jaar'!G30</f>
        <v>0</v>
      </c>
      <c r="H26" s="71">
        <f>'NIVEAU WAARDE - 1e toetsperiode'!G30</f>
        <v>0</v>
      </c>
      <c r="I26" s="72" t="str">
        <f t="shared" si="0"/>
        <v/>
      </c>
      <c r="J26" s="171" t="str">
        <f t="shared" si="1"/>
        <v/>
      </c>
      <c r="K26" s="90">
        <f>'NIVEAU WAARDE - vorig jaar'!H30</f>
        <v>0</v>
      </c>
      <c r="L26" s="73">
        <f>'NIVEAU WAARDE - 1e toetsperiode'!H30</f>
        <v>0</v>
      </c>
      <c r="M26" s="72" t="str">
        <f t="shared" si="2"/>
        <v/>
      </c>
      <c r="N26" s="171" t="str">
        <f t="shared" si="3"/>
        <v/>
      </c>
      <c r="O26" s="1229" t="s">
        <v>208</v>
      </c>
      <c r="P26" s="1231" t="str">
        <f>'BASISAANPAK - 1e periode'!F17</f>
        <v>Methodetoetsen moeten voldoende scoren
Niet methodetoetsen minimaal B niveau
cijferend rekenen moet voldoende zijn</v>
      </c>
    </row>
    <row r="27" spans="1:24" s="92" customFormat="1" ht="19.5" customHeight="1" x14ac:dyDescent="0.55000000000000004">
      <c r="A27" s="51"/>
      <c r="B27" s="1164" t="s">
        <v>62</v>
      </c>
      <c r="C27" s="66" t="s">
        <v>275</v>
      </c>
      <c r="D27" s="80">
        <v>0</v>
      </c>
      <c r="E27" s="68">
        <v>23</v>
      </c>
      <c r="F27" s="69">
        <f>BEGINBLAD!C26</f>
        <v>0</v>
      </c>
      <c r="G27" s="70">
        <f>'NIVEAU WAARDE - vorig jaar'!G31</f>
        <v>0</v>
      </c>
      <c r="H27" s="71">
        <f>'NIVEAU WAARDE - 1e toetsperiode'!G31</f>
        <v>0</v>
      </c>
      <c r="I27" s="72" t="str">
        <f t="shared" si="0"/>
        <v/>
      </c>
      <c r="J27" s="171" t="str">
        <f t="shared" si="1"/>
        <v/>
      </c>
      <c r="K27" s="90">
        <f>'NIVEAU WAARDE - vorig jaar'!H31</f>
        <v>0</v>
      </c>
      <c r="L27" s="73">
        <f>'NIVEAU WAARDE - 1e toetsperiode'!H31</f>
        <v>0</v>
      </c>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vorig jaar'!G32</f>
        <v>0</v>
      </c>
      <c r="H28" s="71">
        <f>'NIVEAU WAARDE - 1e toetsperiode'!G32</f>
        <v>0</v>
      </c>
      <c r="I28" s="72" t="str">
        <f t="shared" si="0"/>
        <v/>
      </c>
      <c r="J28" s="171" t="str">
        <f t="shared" si="1"/>
        <v/>
      </c>
      <c r="K28" s="90">
        <f>'NIVEAU WAARDE - vorig jaar'!H32</f>
        <v>0</v>
      </c>
      <c r="L28" s="73">
        <f>'NIVEAU WAARDE - 1e toetsperiode'!H32</f>
        <v>0</v>
      </c>
      <c r="M28" s="72" t="str">
        <f t="shared" si="2"/>
        <v/>
      </c>
      <c r="N28" s="171" t="str">
        <f t="shared" si="3"/>
        <v/>
      </c>
      <c r="O28" s="1230" t="s">
        <v>210</v>
      </c>
      <c r="P28" s="1232" t="str">
        <f>'BASISAANPAK - 1e periode'!F19</f>
        <v>Alle kinderen rekenen op basis.
Alle kinderen die in basisaanpak zitten moeten in 2 ster-aanpak blijven.
We toetsen de kinderen vooraf om van te voren te weten waar we dat blok extra op moeten inzetten en waar juist minder inoefening nodig is.</v>
      </c>
      <c r="Q28" s="56"/>
      <c r="R28" s="93"/>
      <c r="S28" s="54"/>
      <c r="T28" s="54"/>
      <c r="U28" s="54"/>
      <c r="V28" s="54"/>
      <c r="W28" s="54"/>
    </row>
    <row r="29" spans="1:24" ht="19.5" customHeight="1" x14ac:dyDescent="0.25">
      <c r="A29" s="77"/>
      <c r="B29" s="257"/>
      <c r="C29" s="259"/>
      <c r="D29" s="67">
        <v>0</v>
      </c>
      <c r="E29" s="68">
        <v>25</v>
      </c>
      <c r="F29" s="69">
        <f>BEGINBLAD!C28</f>
        <v>0</v>
      </c>
      <c r="G29" s="70">
        <f>'NIVEAU WAARDE - vorig jaar'!G33</f>
        <v>0</v>
      </c>
      <c r="H29" s="71">
        <f>'NIVEAU WAARDE - 1e toetsperiode'!G33</f>
        <v>0</v>
      </c>
      <c r="I29" s="72" t="str">
        <f t="shared" si="0"/>
        <v/>
      </c>
      <c r="J29" s="171" t="str">
        <f t="shared" si="1"/>
        <v/>
      </c>
      <c r="K29" s="90">
        <f>'NIVEAU WAARDE - vorig jaar'!H33</f>
        <v>0</v>
      </c>
      <c r="L29" s="73">
        <f>'NIVEAU WAARDE - 1e toetsperiode'!H33</f>
        <v>0</v>
      </c>
      <c r="M29" s="72" t="str">
        <f t="shared" si="2"/>
        <v/>
      </c>
      <c r="N29" s="171" t="str">
        <f t="shared" si="3"/>
        <v/>
      </c>
      <c r="O29" s="1230"/>
      <c r="P29" s="1232"/>
    </row>
    <row r="30" spans="1:24" ht="19.5" customHeight="1" x14ac:dyDescent="0.25">
      <c r="A30" s="77"/>
      <c r="B30" s="257"/>
      <c r="C30" s="259"/>
      <c r="D30" s="67">
        <v>0</v>
      </c>
      <c r="E30" s="68">
        <v>26</v>
      </c>
      <c r="F30" s="69">
        <f>BEGINBLAD!C29</f>
        <v>0</v>
      </c>
      <c r="G30" s="70">
        <f>'NIVEAU WAARDE - vorig jaar'!G34</f>
        <v>0</v>
      </c>
      <c r="H30" s="71">
        <f>'NIVEAU WAARDE - 1e toetsperiode'!G34</f>
        <v>0</v>
      </c>
      <c r="I30" s="72" t="str">
        <f t="shared" si="0"/>
        <v/>
      </c>
      <c r="J30" s="171" t="str">
        <f t="shared" si="1"/>
        <v/>
      </c>
      <c r="K30" s="90">
        <f>'NIVEAU WAARDE - vorig jaar'!H34</f>
        <v>0</v>
      </c>
      <c r="L30" s="73">
        <f>'NIVEAU WAARDE - 1e toetsperiode'!H34</f>
        <v>0</v>
      </c>
      <c r="M30" s="72" t="str">
        <f t="shared" si="2"/>
        <v/>
      </c>
      <c r="N30" s="171" t="str">
        <f t="shared" si="3"/>
        <v/>
      </c>
      <c r="O30" s="1230"/>
      <c r="P30" s="1232"/>
    </row>
    <row r="31" spans="1:24" ht="19.5" customHeight="1" x14ac:dyDescent="0.25">
      <c r="A31" s="77"/>
      <c r="B31" s="257"/>
      <c r="C31" s="259"/>
      <c r="D31" s="67">
        <v>0</v>
      </c>
      <c r="E31" s="68">
        <v>27</v>
      </c>
      <c r="F31" s="69">
        <f>BEGINBLAD!C30</f>
        <v>0</v>
      </c>
      <c r="G31" s="70">
        <f>'NIVEAU WAARDE - vorig jaar'!G35</f>
        <v>0</v>
      </c>
      <c r="H31" s="71">
        <f>'NIVEAU WAARDE - 1e toetsperiode'!G35</f>
        <v>0</v>
      </c>
      <c r="I31" s="72" t="str">
        <f t="shared" si="0"/>
        <v/>
      </c>
      <c r="J31" s="171" t="str">
        <f t="shared" si="1"/>
        <v/>
      </c>
      <c r="K31" s="90">
        <f>'NIVEAU WAARDE - vorig jaar'!H35</f>
        <v>0</v>
      </c>
      <c r="L31" s="73">
        <f>'NIVEAU WAARDE - 1e toetsperiode'!H35</f>
        <v>0</v>
      </c>
      <c r="M31" s="72" t="str">
        <f t="shared" si="2"/>
        <v/>
      </c>
      <c r="N31" s="171" t="str">
        <f t="shared" si="3"/>
        <v/>
      </c>
      <c r="O31" s="1230"/>
      <c r="P31" s="1232"/>
    </row>
    <row r="32" spans="1:24" ht="19.5" customHeight="1" x14ac:dyDescent="0.25">
      <c r="A32" s="77"/>
      <c r="B32" s="257"/>
      <c r="C32" s="259"/>
      <c r="D32" s="67">
        <v>0</v>
      </c>
      <c r="E32" s="68">
        <v>28</v>
      </c>
      <c r="F32" s="69">
        <f>BEGINBLAD!C31</f>
        <v>0</v>
      </c>
      <c r="G32" s="70">
        <f>'NIVEAU WAARDE - vorig jaar'!G36</f>
        <v>0</v>
      </c>
      <c r="H32" s="71">
        <f>'NIVEAU WAARDE - 1e toetsperiode'!G36</f>
        <v>0</v>
      </c>
      <c r="I32" s="72" t="str">
        <f t="shared" si="0"/>
        <v/>
      </c>
      <c r="J32" s="171" t="str">
        <f t="shared" si="1"/>
        <v/>
      </c>
      <c r="K32" s="90">
        <f>'NIVEAU WAARDE - vorig jaar'!H36</f>
        <v>0</v>
      </c>
      <c r="L32" s="73">
        <f>'NIVEAU WAARDE - 1e toetsperiode'!H36</f>
        <v>0</v>
      </c>
      <c r="M32" s="72" t="str">
        <f t="shared" si="2"/>
        <v/>
      </c>
      <c r="N32" s="171" t="str">
        <f t="shared" si="3"/>
        <v/>
      </c>
      <c r="O32" s="1230"/>
      <c r="P32" s="1232"/>
    </row>
    <row r="33" spans="1:23" ht="19.5" customHeight="1" x14ac:dyDescent="0.25">
      <c r="A33" s="77"/>
      <c r="B33" s="257"/>
      <c r="C33" s="259"/>
      <c r="D33" s="67">
        <v>0</v>
      </c>
      <c r="E33" s="68">
        <v>29</v>
      </c>
      <c r="F33" s="69">
        <f>BEGINBLAD!C32</f>
        <v>0</v>
      </c>
      <c r="G33" s="70">
        <f>'NIVEAU WAARDE - vorig jaar'!G37</f>
        <v>0</v>
      </c>
      <c r="H33" s="71">
        <f>'NIVEAU WAARDE - 1e toetsperiode'!G37</f>
        <v>0</v>
      </c>
      <c r="I33" s="72" t="str">
        <f t="shared" si="0"/>
        <v/>
      </c>
      <c r="J33" s="171" t="str">
        <f t="shared" si="1"/>
        <v/>
      </c>
      <c r="K33" s="90">
        <f>'NIVEAU WAARDE - vorig jaar'!H37</f>
        <v>0</v>
      </c>
      <c r="L33" s="73">
        <f>'NIVEAU WAARDE - 1e toetsperiode'!H37</f>
        <v>0</v>
      </c>
      <c r="M33" s="72" t="str">
        <f t="shared" si="2"/>
        <v/>
      </c>
      <c r="N33" s="171" t="str">
        <f t="shared" si="3"/>
        <v/>
      </c>
      <c r="O33" s="1230"/>
      <c r="P33" s="1232"/>
    </row>
    <row r="34" spans="1:23" ht="19.5" customHeight="1" x14ac:dyDescent="0.25">
      <c r="A34" s="77"/>
      <c r="B34" s="257"/>
      <c r="C34" s="259"/>
      <c r="D34" s="67">
        <v>0</v>
      </c>
      <c r="E34" s="68">
        <v>30</v>
      </c>
      <c r="F34" s="69">
        <f>BEGINBLAD!C33</f>
        <v>0</v>
      </c>
      <c r="G34" s="70">
        <f>'NIVEAU WAARDE - vorig jaar'!G38</f>
        <v>0</v>
      </c>
      <c r="H34" s="71">
        <f>'NIVEAU WAARDE - 1e toetsperiode'!G38</f>
        <v>0</v>
      </c>
      <c r="I34" s="72" t="str">
        <f t="shared" si="0"/>
        <v/>
      </c>
      <c r="J34" s="171" t="str">
        <f t="shared" si="1"/>
        <v/>
      </c>
      <c r="K34" s="90">
        <f>'NIVEAU WAARDE - vorig jaar'!H38</f>
        <v>0</v>
      </c>
      <c r="L34" s="73">
        <f>'NIVEAU WAARDE - 1e toetsperiode'!H38</f>
        <v>0</v>
      </c>
      <c r="M34" s="72" t="str">
        <f t="shared" si="2"/>
        <v/>
      </c>
      <c r="N34" s="171" t="str">
        <f t="shared" si="3"/>
        <v/>
      </c>
      <c r="O34" s="1230"/>
      <c r="P34" s="1232"/>
    </row>
    <row r="35" spans="1:23" ht="19.5" customHeight="1" thickBot="1" x14ac:dyDescent="0.3">
      <c r="A35" s="77"/>
      <c r="B35" s="257"/>
      <c r="C35" s="259"/>
      <c r="D35" s="67">
        <v>0</v>
      </c>
      <c r="E35" s="68">
        <v>31</v>
      </c>
      <c r="F35" s="69">
        <f>BEGINBLAD!C34</f>
        <v>0</v>
      </c>
      <c r="G35" s="70">
        <f>'NIVEAU WAARDE - vorig jaar'!G39</f>
        <v>0</v>
      </c>
      <c r="H35" s="71">
        <f>'NIVEAU WAARDE - 1e toetsperiode'!G39</f>
        <v>0</v>
      </c>
      <c r="I35" s="72" t="str">
        <f t="shared" si="0"/>
        <v/>
      </c>
      <c r="J35" s="171" t="str">
        <f t="shared" si="1"/>
        <v/>
      </c>
      <c r="K35" s="90">
        <f>'NIVEAU WAARDE - vorig jaar'!H39</f>
        <v>0</v>
      </c>
      <c r="L35" s="73">
        <f>'NIVEAU WAARDE - 1e toetsperiode'!H39</f>
        <v>0</v>
      </c>
      <c r="M35" s="72" t="str">
        <f t="shared" si="2"/>
        <v/>
      </c>
      <c r="N35" s="171" t="str">
        <f t="shared" si="3"/>
        <v/>
      </c>
      <c r="O35" s="1257"/>
      <c r="P35" s="1262"/>
    </row>
    <row r="36" spans="1:23" ht="19.5" customHeight="1" thickBot="1" x14ac:dyDescent="0.3">
      <c r="A36" s="77"/>
      <c r="B36" s="257"/>
      <c r="C36" s="259"/>
      <c r="D36" s="67">
        <v>0</v>
      </c>
      <c r="E36" s="68">
        <v>32</v>
      </c>
      <c r="F36" s="69">
        <f>BEGINBLAD!C35</f>
        <v>0</v>
      </c>
      <c r="G36" s="70">
        <f>'NIVEAU WAARDE - vorig jaar'!G40</f>
        <v>0</v>
      </c>
      <c r="H36" s="71">
        <f>'NIVEAU WAARDE - 1e toetsperiode'!G40</f>
        <v>0</v>
      </c>
      <c r="I36" s="72" t="str">
        <f t="shared" si="0"/>
        <v/>
      </c>
      <c r="J36" s="171" t="str">
        <f t="shared" si="1"/>
        <v/>
      </c>
      <c r="K36" s="90">
        <f>'NIVEAU WAARDE - vorig jaar'!H40</f>
        <v>0</v>
      </c>
      <c r="L36" s="73">
        <f>'NIVEAU WAARDE - 1e toetsperiode'!H40</f>
        <v>0</v>
      </c>
      <c r="M36" s="72" t="str">
        <f t="shared" si="2"/>
        <v/>
      </c>
      <c r="N36" s="171" t="str">
        <f t="shared" si="3"/>
        <v/>
      </c>
      <c r="O36" s="82"/>
      <c r="P36" s="54" t="s">
        <v>417</v>
      </c>
    </row>
    <row r="37" spans="1:23" ht="19.5" customHeight="1" x14ac:dyDescent="0.25">
      <c r="A37" s="77"/>
      <c r="B37" s="78"/>
      <c r="C37" s="868"/>
      <c r="D37" s="67">
        <v>0</v>
      </c>
      <c r="E37" s="68">
        <v>33</v>
      </c>
      <c r="F37" s="69">
        <f>BEGINBLAD!C36</f>
        <v>0</v>
      </c>
      <c r="G37" s="70">
        <f>'NIVEAU WAARDE - vorig jaar'!G41</f>
        <v>0</v>
      </c>
      <c r="H37" s="71">
        <f>'NIVEAU WAARDE - 1e toetsperiode'!G41</f>
        <v>0</v>
      </c>
      <c r="I37" s="72" t="str">
        <f t="shared" si="0"/>
        <v/>
      </c>
      <c r="J37" s="171" t="str">
        <f t="shared" si="1"/>
        <v/>
      </c>
      <c r="K37" s="90">
        <f>'NIVEAU WAARDE - vorig jaar'!H41</f>
        <v>0</v>
      </c>
      <c r="L37" s="73">
        <f>'NIVEAU WAARDE - 1e toetsperiode'!H41</f>
        <v>0</v>
      </c>
      <c r="M37" s="72" t="str">
        <f t="shared" si="2"/>
        <v/>
      </c>
      <c r="N37" s="171" t="str">
        <f t="shared" si="3"/>
        <v/>
      </c>
      <c r="O37" s="1229" t="s">
        <v>208</v>
      </c>
      <c r="P37" s="1231" t="str">
        <f>'VERRIJKT - 1e periode'!F17</f>
        <v xml:space="preserve"> - gemotiveerd blijven
 - eigen initiatief ontwikkelen = zelf verantwoordelijk zijn
 - leren plannen</v>
      </c>
    </row>
    <row r="38" spans="1:23" ht="19.5" customHeight="1" x14ac:dyDescent="0.25">
      <c r="A38" s="77"/>
      <c r="B38" s="78"/>
      <c r="C38" s="868"/>
      <c r="D38" s="67">
        <v>0</v>
      </c>
      <c r="E38" s="68">
        <v>34</v>
      </c>
      <c r="F38" s="69">
        <f>BEGINBLAD!C37</f>
        <v>0</v>
      </c>
      <c r="G38" s="70">
        <f>'NIVEAU WAARDE - vorig jaar'!G42</f>
        <v>0</v>
      </c>
      <c r="H38" s="71">
        <f>'NIVEAU WAARDE - 1e toetsperiode'!G42</f>
        <v>0</v>
      </c>
      <c r="I38" s="72" t="str">
        <f t="shared" si="0"/>
        <v/>
      </c>
      <c r="J38" s="171" t="str">
        <f t="shared" si="1"/>
        <v/>
      </c>
      <c r="K38" s="90">
        <f>'NIVEAU WAARDE - vorig jaar'!H42</f>
        <v>0</v>
      </c>
      <c r="L38" s="73">
        <f>'NIVEAU WAARDE - 1e toetsperiode'!H42</f>
        <v>0</v>
      </c>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vorig jaar'!G43</f>
        <v>0</v>
      </c>
      <c r="H39" s="71">
        <f>'NIVEAU WAARDE - 1e toetsperiode'!G43</f>
        <v>0</v>
      </c>
      <c r="I39" s="72" t="str">
        <f t="shared" si="0"/>
        <v/>
      </c>
      <c r="J39" s="171" t="str">
        <f t="shared" si="1"/>
        <v/>
      </c>
      <c r="K39" s="90">
        <f>'NIVEAU WAARDE - vorig jaar'!H43</f>
        <v>0</v>
      </c>
      <c r="L39" s="73">
        <f>'NIVEAU WAARDE - 1e toetsperiode'!H43</f>
        <v>0</v>
      </c>
      <c r="M39" s="72" t="str">
        <f t="shared" si="2"/>
        <v/>
      </c>
      <c r="N39" s="171" t="str">
        <f t="shared" si="3"/>
        <v/>
      </c>
      <c r="O39" s="1230" t="s">
        <v>210</v>
      </c>
      <c r="P39" s="1255" t="str">
        <f>'VERRIJKT - 1e periode'!F19</f>
        <v>Y,M,H,K,L hebben levelwerk. Deze kinderen proberen minimaal een kwartier tot een half uur per dag aan hun levelwerk te werken. Het "normale" werk wordt dan aangepast. G, Y en N op de dindag naar de Plusklas. Bij T  heeft kenbaar gemaakt dat hij ook graag bij de plusklas wilt. Het is even de vraag of hij het 'normale' werk dan voldoende blijft maken.</v>
      </c>
    </row>
    <row r="40" spans="1:23" ht="19.5" customHeight="1" thickBot="1" x14ac:dyDescent="0.3">
      <c r="A40" s="77"/>
      <c r="B40" s="78"/>
      <c r="C40" s="868"/>
      <c r="D40" s="67">
        <v>0</v>
      </c>
      <c r="E40" s="94">
        <v>36</v>
      </c>
      <c r="F40" s="95">
        <f>BEGINBLAD!C39</f>
        <v>0</v>
      </c>
      <c r="G40" s="96">
        <f>'NIVEAU WAARDE - vorig jaar'!G44</f>
        <v>0</v>
      </c>
      <c r="H40" s="97">
        <f>'NIVEAU WAARDE - 1e toetsperiode'!G44</f>
        <v>0</v>
      </c>
      <c r="I40" s="98" t="str">
        <f t="shared" si="0"/>
        <v/>
      </c>
      <c r="J40" s="171" t="str">
        <f t="shared" si="1"/>
        <v/>
      </c>
      <c r="K40" s="177">
        <f>'NIVEAU WAARDE - vorig jaar'!H44</f>
        <v>0</v>
      </c>
      <c r="L40" s="73">
        <f>'NIVEAU WAARDE - 1e toetsperiode'!H44</f>
        <v>0</v>
      </c>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64"/>
      <c r="E42" s="1265"/>
      <c r="F42" s="1266"/>
      <c r="G42" s="1267" t="s">
        <v>279</v>
      </c>
      <c r="H42" s="1268"/>
      <c r="I42" s="1235"/>
      <c r="J42" s="1235"/>
      <c r="K42" s="1235"/>
      <c r="L42" s="1235"/>
      <c r="M42" s="1236"/>
      <c r="O42" s="1230"/>
      <c r="P42" s="1255"/>
      <c r="R42" s="101"/>
      <c r="S42" s="101"/>
      <c r="T42" s="101"/>
      <c r="U42" s="101"/>
      <c r="V42" s="101"/>
      <c r="W42" s="101"/>
    </row>
    <row r="43" spans="1:23" ht="19.5" customHeight="1" x14ac:dyDescent="0.25">
      <c r="B43" s="78"/>
      <c r="C43" s="122" t="s">
        <v>280</v>
      </c>
      <c r="D43" s="1246" t="s">
        <v>441</v>
      </c>
      <c r="E43" s="1247"/>
      <c r="F43" s="1248"/>
      <c r="G43" s="1249" t="s">
        <v>280</v>
      </c>
      <c r="H43" s="1250"/>
      <c r="I43" s="1252"/>
      <c r="J43" s="1252"/>
      <c r="K43" s="1252"/>
      <c r="L43" s="1252"/>
      <c r="M43" s="1253"/>
      <c r="O43" s="1230"/>
      <c r="P43" s="1255"/>
      <c r="R43" s="101"/>
      <c r="S43" s="101"/>
      <c r="T43" s="101"/>
      <c r="U43" s="101"/>
      <c r="V43" s="101"/>
      <c r="W43" s="101"/>
    </row>
    <row r="44" spans="1:23" ht="19.5" customHeight="1" x14ac:dyDescent="0.25">
      <c r="B44" s="78"/>
      <c r="C44" s="122" t="s">
        <v>281</v>
      </c>
      <c r="D44" s="1246"/>
      <c r="E44" s="1247"/>
      <c r="F44" s="1248"/>
      <c r="G44" s="1249" t="s">
        <v>281</v>
      </c>
      <c r="H44" s="1250"/>
      <c r="I44" s="1252"/>
      <c r="J44" s="1252"/>
      <c r="K44" s="1252"/>
      <c r="L44" s="1252"/>
      <c r="M44" s="1253"/>
      <c r="O44" s="1230"/>
      <c r="P44" s="1255"/>
      <c r="R44" s="101"/>
      <c r="S44" s="101"/>
      <c r="T44" s="101"/>
      <c r="U44" s="101"/>
      <c r="V44" s="101"/>
      <c r="W44" s="101"/>
    </row>
    <row r="45" spans="1:23" ht="19.5" customHeight="1" x14ac:dyDescent="0.25">
      <c r="B45" s="78"/>
      <c r="C45" s="122" t="s">
        <v>282</v>
      </c>
      <c r="D45" s="1246"/>
      <c r="E45" s="1247"/>
      <c r="F45" s="1248"/>
      <c r="G45" s="1249" t="s">
        <v>282</v>
      </c>
      <c r="H45" s="1250"/>
      <c r="I45" s="1252"/>
      <c r="J45" s="1252"/>
      <c r="K45" s="1252"/>
      <c r="L45" s="1252"/>
      <c r="M45" s="1253"/>
      <c r="O45" s="1230"/>
      <c r="P45" s="1255"/>
      <c r="R45" s="101"/>
      <c r="S45" s="101"/>
      <c r="T45" s="101"/>
      <c r="U45" s="101"/>
      <c r="V45" s="101"/>
      <c r="W45" s="101"/>
    </row>
    <row r="46" spans="1:23" ht="19.5" customHeight="1" thickBot="1" x14ac:dyDescent="0.3">
      <c r="B46" s="78"/>
      <c r="C46" s="123" t="s">
        <v>283</v>
      </c>
      <c r="D46" s="1237"/>
      <c r="E46" s="1238"/>
      <c r="F46" s="1239"/>
      <c r="G46" s="1240" t="s">
        <v>283</v>
      </c>
      <c r="H46" s="1241"/>
      <c r="I46" s="1243"/>
      <c r="J46" s="1243"/>
      <c r="K46" s="1243"/>
      <c r="L46" s="1243"/>
      <c r="M46" s="1244"/>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f>H48/$D$49</f>
        <v>0.5</v>
      </c>
      <c r="H48" s="85">
        <f>COUNTIF($I$5:$I$40,"A-1+")</f>
        <v>4</v>
      </c>
      <c r="I48" s="85"/>
      <c r="J48" s="141" t="s">
        <v>419</v>
      </c>
      <c r="K48" s="141"/>
      <c r="L48" s="141"/>
      <c r="M48" s="161">
        <f>G48+G49+G50+G51+G52</f>
        <v>1</v>
      </c>
      <c r="N48" s="161">
        <v>1</v>
      </c>
      <c r="O48" s="149"/>
      <c r="P48" s="102"/>
    </row>
    <row r="49" spans="2:16" x14ac:dyDescent="0.25">
      <c r="B49" s="116"/>
      <c r="C49" s="104"/>
      <c r="D49" s="148">
        <f>COUNTIF(H5:H40,"&gt;0")</f>
        <v>8</v>
      </c>
      <c r="E49" s="142"/>
      <c r="F49" s="143" t="s">
        <v>420</v>
      </c>
      <c r="G49" s="150">
        <f>H49/$D$49</f>
        <v>0.125</v>
      </c>
      <c r="H49" s="85">
        <f>COUNTIF($I$5:$I$40,"A-1")</f>
        <v>1</v>
      </c>
      <c r="I49" s="85"/>
      <c r="J49" s="141"/>
      <c r="K49" s="141"/>
      <c r="L49" s="141"/>
      <c r="M49" s="161"/>
      <c r="N49" s="161">
        <v>0.7</v>
      </c>
      <c r="O49" s="162"/>
      <c r="P49" s="111"/>
    </row>
    <row r="50" spans="2:16" x14ac:dyDescent="0.25">
      <c r="B50" s="116"/>
      <c r="C50" s="104"/>
      <c r="D50" s="144"/>
      <c r="E50" s="142"/>
      <c r="F50" s="145" t="s">
        <v>421</v>
      </c>
      <c r="G50" s="150">
        <f>(H50+I50)/$D$49</f>
        <v>0.25</v>
      </c>
      <c r="H50" s="85">
        <f>COUNTIF($I$5:$I$40,"A-2")</f>
        <v>1</v>
      </c>
      <c r="I50" s="85">
        <f>COUNTIF($I$5:$I$40,"B-2")</f>
        <v>1</v>
      </c>
      <c r="J50" s="141"/>
      <c r="K50" s="141"/>
      <c r="L50" s="141"/>
      <c r="M50" s="161"/>
      <c r="N50" s="161">
        <v>0.6</v>
      </c>
      <c r="O50" s="162"/>
      <c r="P50" s="111"/>
    </row>
    <row r="51" spans="2:16" x14ac:dyDescent="0.25">
      <c r="B51" s="116"/>
      <c r="C51" s="104"/>
      <c r="D51" s="144"/>
      <c r="E51" s="142"/>
      <c r="F51" s="143" t="s">
        <v>422</v>
      </c>
      <c r="G51" s="150">
        <f>H51/$D$49</f>
        <v>0.125</v>
      </c>
      <c r="H51" s="85">
        <f>COUNTIF($I$5:$I$40,"B-3")</f>
        <v>1</v>
      </c>
      <c r="I51" s="85"/>
      <c r="J51" s="141"/>
      <c r="K51" s="141"/>
      <c r="L51" s="141"/>
      <c r="M51" s="161"/>
      <c r="N51" s="161">
        <f>$M$48</f>
        <v>1</v>
      </c>
      <c r="O51" s="162"/>
      <c r="P51" s="111"/>
    </row>
    <row r="52" spans="2:16" x14ac:dyDescent="0.25">
      <c r="B52" s="116"/>
      <c r="C52" s="104"/>
      <c r="D52" s="144"/>
      <c r="E52" s="142"/>
      <c r="F52" s="143" t="s">
        <v>423</v>
      </c>
      <c r="G52" s="150">
        <f>H52/$D$49</f>
        <v>0</v>
      </c>
      <c r="H52" s="85">
        <f>COUNTIF($I$5:$I$40,"c-3")</f>
        <v>0</v>
      </c>
      <c r="I52" s="85"/>
      <c r="J52" s="141" t="s">
        <v>352</v>
      </c>
      <c r="K52" s="141"/>
      <c r="L52" s="141"/>
      <c r="M52" s="161">
        <f>G53+G54+G55+G57</f>
        <v>0</v>
      </c>
      <c r="N52" s="163"/>
      <c r="O52" s="162"/>
      <c r="P52" s="111"/>
    </row>
    <row r="53" spans="2:16" x14ac:dyDescent="0.25">
      <c r="B53" s="116"/>
      <c r="C53" s="104"/>
      <c r="D53" s="144"/>
      <c r="E53" s="142"/>
      <c r="F53" s="145" t="s">
        <v>424</v>
      </c>
      <c r="G53" s="150">
        <f>H53/$D$49</f>
        <v>0</v>
      </c>
      <c r="H53" s="85">
        <f>COUNTIF($I$5:$I$40,"c-4")</f>
        <v>0</v>
      </c>
      <c r="I53" s="83"/>
      <c r="J53" s="141"/>
      <c r="K53" s="141"/>
      <c r="L53" s="141"/>
      <c r="M53" s="161"/>
      <c r="N53" s="163"/>
      <c r="O53" s="162"/>
      <c r="P53" s="111"/>
    </row>
    <row r="54" spans="2:16" x14ac:dyDescent="0.25">
      <c r="B54" s="116"/>
      <c r="C54" s="104"/>
      <c r="D54" s="144"/>
      <c r="E54" s="142"/>
      <c r="F54" s="142" t="s">
        <v>425</v>
      </c>
      <c r="G54" s="150">
        <f>H54/$D$49</f>
        <v>0</v>
      </c>
      <c r="H54" s="85">
        <f>COUNTIF($I$5:$I$40,"d-4")</f>
        <v>0</v>
      </c>
      <c r="I54" s="83"/>
      <c r="J54" s="141"/>
      <c r="K54" s="141"/>
      <c r="L54" s="141"/>
      <c r="M54" s="161"/>
      <c r="N54" s="163"/>
      <c r="O54" s="162"/>
      <c r="P54" s="111"/>
    </row>
    <row r="55" spans="2:16" x14ac:dyDescent="0.25">
      <c r="B55" s="116"/>
      <c r="C55" s="104"/>
      <c r="D55" s="144"/>
      <c r="E55" s="142"/>
      <c r="F55" s="143" t="s">
        <v>426</v>
      </c>
      <c r="G55" s="150">
        <f>(H55+I55)/$D$49</f>
        <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f>M48+M52</f>
        <v>1</v>
      </c>
      <c r="N56" s="1245"/>
      <c r="O56" s="162"/>
      <c r="P56" s="111"/>
    </row>
    <row r="57" spans="2:16" x14ac:dyDescent="0.25">
      <c r="B57" s="116"/>
      <c r="C57" s="104"/>
      <c r="D57" s="144"/>
      <c r="E57" s="142"/>
      <c r="F57" s="146" t="s">
        <v>427</v>
      </c>
      <c r="G57" s="150">
        <f>H57/$D$49</f>
        <v>0</v>
      </c>
      <c r="H57" s="85">
        <f>COUNTIF($I$5:$I$40,"e-5-")</f>
        <v>0</v>
      </c>
      <c r="I57" s="85"/>
      <c r="J57" s="141"/>
      <c r="K57" s="141"/>
      <c r="L57" s="141"/>
      <c r="M57" s="161"/>
      <c r="N57" s="1245"/>
      <c r="O57" s="162"/>
      <c r="P57" s="111"/>
    </row>
    <row r="58" spans="2:16" x14ac:dyDescent="0.25">
      <c r="B58" s="116"/>
      <c r="C58" s="104"/>
      <c r="D58" s="144"/>
      <c r="E58" s="142"/>
      <c r="F58" s="143" t="s">
        <v>69</v>
      </c>
      <c r="G58" s="147">
        <f>SUM(G48:G57)</f>
        <v>1</v>
      </c>
      <c r="H58" s="131">
        <f>SUM(H48:H57)</f>
        <v>7</v>
      </c>
      <c r="I58" s="131">
        <f>SUM(I48:I57)</f>
        <v>1</v>
      </c>
      <c r="J58" s="83"/>
      <c r="K58" s="83"/>
      <c r="L58" s="149"/>
      <c r="M58" s="149"/>
      <c r="N58" s="149"/>
      <c r="O58" s="149"/>
      <c r="P58" s="102"/>
    </row>
    <row r="59" spans="2:16" x14ac:dyDescent="0.25">
      <c r="B59" s="116"/>
      <c r="C59" s="104"/>
      <c r="D59" s="144"/>
      <c r="E59" s="142"/>
      <c r="F59" s="131"/>
      <c r="G59" s="131"/>
      <c r="H59" s="83">
        <f>SUM(H58+I58)</f>
        <v>8</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467" priority="48" stopIfTrue="1">
      <formula>B7=7</formula>
    </cfRule>
    <cfRule type="expression" dxfId="466" priority="47" stopIfTrue="1">
      <formula>B7=8</formula>
    </cfRule>
    <cfRule type="cellIs" dxfId="465" priority="46" operator="equal">
      <formula>""</formula>
    </cfRule>
    <cfRule type="expression" dxfId="464" priority="49" stopIfTrue="1">
      <formula>B7=6</formula>
    </cfRule>
    <cfRule type="expression" dxfId="463" priority="50" stopIfTrue="1">
      <formula>B7=3</formula>
    </cfRule>
    <cfRule type="expression" dxfId="462" priority="51" stopIfTrue="1">
      <formula>B7=4</formula>
    </cfRule>
    <cfRule type="expression" dxfId="461" priority="52" stopIfTrue="1">
      <formula>B7=5</formula>
    </cfRule>
  </conditionalFormatting>
  <conditionalFormatting sqref="C29:C40">
    <cfRule type="cellIs" dxfId="460" priority="25" operator="equal">
      <formula>""</formula>
    </cfRule>
    <cfRule type="expression" dxfId="459" priority="27" stopIfTrue="1">
      <formula>B29=7</formula>
    </cfRule>
    <cfRule type="expression" dxfId="458" priority="26" stopIfTrue="1">
      <formula>B29=8</formula>
    </cfRule>
    <cfRule type="expression" dxfId="457" priority="31" stopIfTrue="1">
      <formula>B29=5</formula>
    </cfRule>
    <cfRule type="expression" dxfId="456" priority="30" stopIfTrue="1">
      <formula>B29=4</formula>
    </cfRule>
    <cfRule type="expression" dxfId="455" priority="29" stopIfTrue="1">
      <formula>B29=3</formula>
    </cfRule>
    <cfRule type="expression" dxfId="454" priority="28" stopIfTrue="1">
      <formula>B29=6</formula>
    </cfRule>
  </conditionalFormatting>
  <conditionalFormatting sqref="C42:C46">
    <cfRule type="cellIs" dxfId="453" priority="138" operator="notEqual">
      <formula>""</formula>
    </cfRule>
  </conditionalFormatting>
  <conditionalFormatting sqref="E5:E40">
    <cfRule type="expression" dxfId="452" priority="176">
      <formula>$D5=6</formula>
    </cfRule>
    <cfRule type="expression" dxfId="451" priority="174">
      <formula>$D5=8</formula>
    </cfRule>
    <cfRule type="expression" dxfId="450" priority="173">
      <formula>$D5=5</formula>
    </cfRule>
    <cfRule type="expression" dxfId="449" priority="172">
      <formula>$D5=4</formula>
    </cfRule>
    <cfRule type="expression" dxfId="448" priority="171">
      <formula>$D5=3</formula>
    </cfRule>
    <cfRule type="expression" dxfId="447" priority="175">
      <formula>$D5=7</formula>
    </cfRule>
  </conditionalFormatting>
  <conditionalFormatting sqref="F5:F40">
    <cfRule type="expression" dxfId="446" priority="177">
      <formula>$H5=0</formula>
    </cfRule>
    <cfRule type="expression" dxfId="445" priority="178">
      <formula>$H5&lt;#REF!</formula>
    </cfRule>
    <cfRule type="expression" dxfId="444" priority="179">
      <formula>$H5&gt;=#REF!</formula>
    </cfRule>
    <cfRule type="expression" dxfId="443" priority="180">
      <formula>$H5=0</formula>
    </cfRule>
  </conditionalFormatting>
  <conditionalFormatting sqref="G42:G46">
    <cfRule type="cellIs" dxfId="442" priority="159" operator="notEqual">
      <formula>""</formula>
    </cfRule>
  </conditionalFormatting>
  <conditionalFormatting sqref="H5:H40">
    <cfRule type="cellIs" dxfId="441" priority="185" stopIfTrue="1" operator="between">
      <formula>3</formula>
      <formula>3.9</formula>
    </cfRule>
    <cfRule type="cellIs" dxfId="440" priority="2" operator="between">
      <formula>1.6</formula>
      <formula>2.5</formula>
    </cfRule>
    <cfRule type="cellIs" dxfId="439" priority="186" stopIfTrue="1" operator="between">
      <formula>4</formula>
      <formula>5</formula>
    </cfRule>
    <cfRule type="cellIs" dxfId="438" priority="184" stopIfTrue="1" operator="between">
      <formula>0.1</formula>
      <formula>1.5</formula>
    </cfRule>
  </conditionalFormatting>
  <conditionalFormatting sqref="I5:I39">
    <cfRule type="cellIs" dxfId="437" priority="18" stopIfTrue="1" operator="between">
      <formula>"B-2"</formula>
      <formula>"B-3"</formula>
    </cfRule>
    <cfRule type="cellIs" dxfId="436" priority="17" stopIfTrue="1" operator="between">
      <formula>"D-5"</formula>
      <formula>"E-5"</formula>
    </cfRule>
    <cfRule type="cellIs" dxfId="435" priority="14" operator="between">
      <formula>"C-4"</formula>
      <formula>"D-4"</formula>
    </cfRule>
    <cfRule type="cellIs" dxfId="434" priority="19" stopIfTrue="1" operator="between">
      <formula>"A-1"</formula>
      <formula>"A-2"</formula>
    </cfRule>
  </conditionalFormatting>
  <conditionalFormatting sqref="I5:I40">
    <cfRule type="cellIs" dxfId="433" priority="16" operator="equal">
      <formula>"A-1+"</formula>
    </cfRule>
    <cfRule type="cellIs" dxfId="432" priority="15" operator="equal">
      <formula>"E-5-"</formula>
    </cfRule>
  </conditionalFormatting>
  <conditionalFormatting sqref="I40">
    <cfRule type="cellIs" dxfId="431" priority="24" stopIfTrue="1" operator="between">
      <formula>"A-1"</formula>
      <formula>"A-2"</formula>
    </cfRule>
    <cfRule type="cellIs" dxfId="430" priority="23" stopIfTrue="1" operator="between">
      <formula>"B-2"</formula>
      <formula>"B-3"</formula>
    </cfRule>
    <cfRule type="cellIs" dxfId="429" priority="22" stopIfTrue="1" operator="between">
      <formula>"D-3"</formula>
      <formula>"E-5"</formula>
    </cfRule>
  </conditionalFormatting>
  <conditionalFormatting sqref="J5:J40">
    <cfRule type="cellIs" dxfId="428" priority="110" operator="equal">
      <formula>"!"</formula>
    </cfRule>
    <cfRule type="cellIs" dxfId="427" priority="109" operator="equal">
      <formula>"*"</formula>
    </cfRule>
  </conditionalFormatting>
  <conditionalFormatting sqref="L5:L40">
    <cfRule type="cellIs" dxfId="426" priority="112" stopIfTrue="1" operator="between">
      <formula>3</formula>
      <formula>3.9</formula>
    </cfRule>
    <cfRule type="cellIs" dxfId="425" priority="113" stopIfTrue="1" operator="between">
      <formula>4</formula>
      <formula>5</formula>
    </cfRule>
    <cfRule type="cellIs" dxfId="424" priority="1" operator="between">
      <formula>1.6</formula>
      <formula>2.5</formula>
    </cfRule>
    <cfRule type="cellIs" dxfId="423" priority="111" stopIfTrue="1" operator="between">
      <formula>0.1</formula>
      <formula>1.5</formula>
    </cfRule>
  </conditionalFormatting>
  <conditionalFormatting sqref="L19:L23 L36:L38">
    <cfRule type="cellIs" dxfId="422" priority="123" stopIfTrue="1" operator="between">
      <formula>0.1</formula>
      <formula>1.9</formula>
    </cfRule>
    <cfRule type="cellIs" dxfId="421" priority="124" stopIfTrue="1" operator="between">
      <formula>3</formula>
      <formula>3.9</formula>
    </cfRule>
    <cfRule type="cellIs" dxfId="420" priority="125" stopIfTrue="1" operator="between">
      <formula>4</formula>
      <formula>5</formula>
    </cfRule>
  </conditionalFormatting>
  <conditionalFormatting sqref="L19:L40">
    <cfRule type="cellIs" dxfId="419" priority="115" operator="equal">
      <formula>""</formula>
    </cfRule>
  </conditionalFormatting>
  <conditionalFormatting sqref="L21:L40">
    <cfRule type="cellIs" dxfId="418" priority="121" stopIfTrue="1" operator="between">
      <formula>3</formula>
      <formula>3.9</formula>
    </cfRule>
    <cfRule type="cellIs" dxfId="417" priority="120" stopIfTrue="1" operator="between">
      <formula>0.1</formula>
      <formula>1.5</formula>
    </cfRule>
    <cfRule type="cellIs" dxfId="416" priority="122" stopIfTrue="1" operator="between">
      <formula>4</formula>
      <formula>5</formula>
    </cfRule>
  </conditionalFormatting>
  <conditionalFormatting sqref="M5:M39">
    <cfRule type="cellIs" dxfId="415" priority="8" stopIfTrue="1" operator="between">
      <formula>"A-1"</formula>
      <formula>"A-2"</formula>
    </cfRule>
    <cfRule type="cellIs" dxfId="414" priority="7" stopIfTrue="1" operator="between">
      <formula>"B-2"</formula>
      <formula>"B-3"</formula>
    </cfRule>
    <cfRule type="cellIs" dxfId="413" priority="6" stopIfTrue="1" operator="between">
      <formula>"D-5"</formula>
      <formula>"E-5"</formula>
    </cfRule>
    <cfRule type="cellIs" dxfId="412" priority="3" operator="between">
      <formula>"C-4"</formula>
      <formula>"D-4"</formula>
    </cfRule>
  </conditionalFormatting>
  <conditionalFormatting sqref="M5:M40">
    <cfRule type="cellIs" dxfId="411" priority="5" operator="equal">
      <formula>"A-1+"</formula>
    </cfRule>
    <cfRule type="cellIs" dxfId="410" priority="4" operator="equal">
      <formula>"E-5-"</formula>
    </cfRule>
  </conditionalFormatting>
  <conditionalFormatting sqref="M40">
    <cfRule type="cellIs" dxfId="409" priority="13" stopIfTrue="1" operator="between">
      <formula>"A-1"</formula>
      <formula>"A-2"</formula>
    </cfRule>
    <cfRule type="cellIs" dxfId="408" priority="12" stopIfTrue="1" operator="between">
      <formula>"B-2"</formula>
      <formula>"B-3"</formula>
    </cfRule>
    <cfRule type="cellIs" dxfId="407" priority="11" stopIfTrue="1" operator="between">
      <formula>"D-3"</formula>
      <formula>"E-5"</formula>
    </cfRule>
  </conditionalFormatting>
  <conditionalFormatting sqref="N5:N40">
    <cfRule type="cellIs" dxfId="406" priority="107" operator="equal">
      <formula>"*"</formula>
    </cfRule>
    <cfRule type="cellIs" dxfId="405" priority="108" operator="equal">
      <formula>"!"</formula>
    </cfRule>
  </conditionalFormatting>
  <conditionalFormatting sqref="R6:R7">
    <cfRule type="cellIs" dxfId="404" priority="152" operator="equal">
      <formula>0</formula>
    </cfRule>
  </conditionalFormatting>
  <conditionalFormatting sqref="R9 R11">
    <cfRule type="cellIs" dxfId="403" priority="155" operator="equal">
      <formula>0</formula>
    </cfRule>
  </conditionalFormatting>
  <conditionalFormatting sqref="R13 R15">
    <cfRule type="cellIs" dxfId="402" priority="156" operator="equal">
      <formula>0</formula>
    </cfRule>
  </conditionalFormatting>
  <conditionalFormatting sqref="S7:U7 S9:U9 S11:U11">
    <cfRule type="cellIs" dxfId="401" priority="158" operator="equal">
      <formula>0</formula>
    </cfRule>
  </conditionalFormatting>
  <conditionalFormatting sqref="S13:U13 S15:U15">
    <cfRule type="cellIs" dxfId="400" priority="153" operator="equal">
      <formula>0</formula>
    </cfRule>
  </conditionalFormatting>
  <conditionalFormatting sqref="V6:V7">
    <cfRule type="cellIs" dxfId="399" priority="151" operator="equal">
      <formula>0</formula>
    </cfRule>
  </conditionalFormatting>
  <conditionalFormatting sqref="V9 V11">
    <cfRule type="cellIs" dxfId="398" priority="154" operator="equal">
      <formula>0</formula>
    </cfRule>
  </conditionalFormatting>
  <conditionalFormatting sqref="V13 V15">
    <cfRule type="cellIs" dxfId="397" priority="157" operator="equal">
      <formula>0</formula>
    </cfRule>
  </conditionalFormatting>
  <dataValidations count="10">
    <dataValidation allowBlank="1" showInputMessage="1" showErrorMessage="1" promptTitle="Nieuwe regel:" prompt="druk op Alt-Enter" sqref="P15 P28 P17 P26 P37 P39" xr:uid="{00000000-0002-0000-2900-000000000000}"/>
    <dataValidation allowBlank="1" showInputMessage="1" showErrorMessage="1" promptTitle="Pulldown menu" prompt="groeps  HP: -_x000a_indiv.    HP:#_x000a_hele groep: $" sqref="C18 C40" xr:uid="{00000000-0002-0000-2900-000001000000}"/>
    <dataValidation allowBlank="1" showInputMessage="1" showErrorMessage="1" promptTitle="Pulldown venster" prompt="groeps  HP: -_x000a_indiv.    HP:#_x000a_hele groep: $" sqref="C29:C39 C7:C17" xr:uid="{00000000-0002-0000-29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900-000003000000}">
      <formula1>2</formula1>
    </dataValidation>
    <dataValidation type="list" allowBlank="1" showInputMessage="1" showErrorMessage="1" sqref="B29:B40 B7:B18" xr:uid="{00000000-0002-0000-2900-000004000000}">
      <formula1>"3,4,5,6,7,8,"</formula1>
    </dataValidation>
    <dataValidation type="list" allowBlank="1" showInputMessage="1" showErrorMessage="1" sqref="C42 G42" xr:uid="{00000000-0002-0000-2900-000005000000}">
      <formula1>"maandag,"</formula1>
    </dataValidation>
    <dataValidation type="list" allowBlank="1" showInputMessage="1" showErrorMessage="1" sqref="C43 G43" xr:uid="{00000000-0002-0000-2900-000006000000}">
      <formula1>"dinsdag,"</formula1>
    </dataValidation>
    <dataValidation type="list" allowBlank="1" showInputMessage="1" showErrorMessage="1" sqref="C44 G44" xr:uid="{00000000-0002-0000-2900-000007000000}">
      <formula1>"woensdag,"</formula1>
    </dataValidation>
    <dataValidation type="list" allowBlank="1" showInputMessage="1" showErrorMessage="1" sqref="C45 G45" xr:uid="{00000000-0002-0000-2900-000008000000}">
      <formula1>"donderdag,"</formula1>
    </dataValidation>
    <dataValidation type="list" allowBlank="1" showInputMessage="1" showErrorMessage="1" sqref="C46 G46" xr:uid="{00000000-0002-0000-2900-000009000000}">
      <formula1>"vrijdag,"</formula1>
    </dataValidation>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CCCCFF"/>
    <pageSetUpPr fitToPage="1"/>
  </sheetPr>
  <dimension ref="A1:X85"/>
  <sheetViews>
    <sheetView showGridLines="0" showRowColHeaders="0" topLeftCell="A1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76" t="s">
        <v>442</v>
      </c>
      <c r="D1" s="1177"/>
      <c r="E1" s="1177"/>
      <c r="F1" s="1177"/>
      <c r="G1" s="1177"/>
      <c r="H1" s="1177"/>
      <c r="I1" s="1177"/>
      <c r="J1" s="1177"/>
      <c r="K1" s="1233" t="str">
        <f>BEGINBLAD!$I$2</f>
        <v>groep 6</v>
      </c>
      <c r="L1" s="1233"/>
      <c r="M1" s="1233"/>
      <c r="N1" s="1233"/>
      <c r="O1" s="1233"/>
      <c r="P1" s="49"/>
      <c r="X1" s="50"/>
    </row>
    <row r="2" spans="1:24" ht="24" customHeight="1" x14ac:dyDescent="0.25">
      <c r="C2" s="1178" t="str">
        <f>BEGINBLAD!$S$2</f>
        <v>mei.</v>
      </c>
      <c r="D2" s="1178"/>
      <c r="E2" s="175"/>
      <c r="F2" s="412" t="str">
        <f>BEGINBLAD!$T$2</f>
        <v>sep.</v>
      </c>
      <c r="G2" s="1178">
        <f>BEGINBLAD!$P$2</f>
        <v>2024</v>
      </c>
      <c r="H2" s="1178"/>
      <c r="I2" s="1178"/>
      <c r="M2" s="53"/>
      <c r="N2" s="53"/>
      <c r="O2" s="53"/>
    </row>
    <row r="3" spans="1:24" ht="13" thickBot="1" x14ac:dyDescent="0.3">
      <c r="M3" s="56"/>
      <c r="N3" s="56"/>
      <c r="O3" s="56"/>
      <c r="P3" s="56"/>
    </row>
    <row r="4" spans="1:24" ht="140.15" customHeight="1" x14ac:dyDescent="0.25">
      <c r="D4" s="57"/>
      <c r="E4" s="58"/>
      <c r="F4" s="59" t="s">
        <v>63</v>
      </c>
      <c r="G4" s="60" t="s">
        <v>429</v>
      </c>
      <c r="H4" s="61" t="s">
        <v>439</v>
      </c>
      <c r="I4" s="62" t="s">
        <v>407</v>
      </c>
      <c r="J4" s="170"/>
      <c r="K4" s="60" t="s">
        <v>429</v>
      </c>
      <c r="L4" s="64" t="s">
        <v>440</v>
      </c>
      <c r="M4" s="62" t="s">
        <v>407</v>
      </c>
      <c r="N4" s="170"/>
      <c r="O4" s="54"/>
    </row>
    <row r="5" spans="1:24" ht="19.5" customHeight="1" x14ac:dyDescent="0.25">
      <c r="B5" s="1164" t="s">
        <v>62</v>
      </c>
      <c r="C5" s="66" t="s">
        <v>273</v>
      </c>
      <c r="D5" s="67">
        <v>0</v>
      </c>
      <c r="E5" s="68">
        <v>1</v>
      </c>
      <c r="F5" s="120" t="str">
        <f>BEGINBLAD!C4</f>
        <v>leerling 1</v>
      </c>
      <c r="G5" s="70">
        <f>'NIVEAU WAARDE - 1e toetsperiode'!G9</f>
        <v>4.5999999999999996</v>
      </c>
      <c r="H5" s="71">
        <f>'NIVEAU WAARDE - 2e toetsperiode'!G9</f>
        <v>0</v>
      </c>
      <c r="I5" s="72" t="str">
        <f>IF(H5=0,"",IF(H5&gt;4.5,"A-1+",IF(H5&gt;4.2,"A-1",IF(H5&gt;=4,"A-2",IF(H5&gt;3.4,"B-2",IF(H5&gt;=3,"B-3",IF(H5&gt;2.5,"C-3",IF(H5&gt;=2,"C-4",IF(H5&gt;1.6,"D-4",IF(H5&gt;=1,"D-5",IF(H5&gt;0.5,"E-5",IF(H5&gt;=0,"E-5-"))))))))))))</f>
        <v/>
      </c>
      <c r="J5" s="171" t="str">
        <f>IF(H5=0,"",IF(G5-H5&gt;0.5,"!",IF(H5-G5&gt;0.5,"*",IF(H5-G5&lt;=0.5,""))))</f>
        <v/>
      </c>
      <c r="K5" s="90">
        <f>'NIVEAU WAARDE - 1e toetsperiode'!H9</f>
        <v>4.4000000000000004</v>
      </c>
      <c r="L5" s="73">
        <f>'NIVEAU WAARDE - 2e toetsperiode'!H9</f>
        <v>0</v>
      </c>
      <c r="M5" s="72" t="str">
        <f>IF(L5=0,"",IF(L5&gt;4.5,"A-1+",IF(L5&gt;4.2,"A-1",IF(L5&gt;=4,"A-2",IF(L5&gt;3.4,"B-2",IF(L5&gt;=3,"B-3",IF(L5&gt;2.5,"C-3",IF(L5&gt;=2,"C-4",IF(L5&gt;1.6,"D-4",IF(L5&gt;=1,"D-5",IF(L5&gt;0.5,"E-5",IF(L5&gt;=0,"E-5-"))))))))))))</f>
        <v/>
      </c>
      <c r="N5" s="171" t="str">
        <f>IF(L5=0,"",IF(K5-L5&gt;0.5,"!",IF(L5-K5&gt;0.5,"*",IF(L5-K5&lt;=0.5,""))))</f>
        <v/>
      </c>
      <c r="O5" s="75"/>
    </row>
    <row r="6" spans="1:24" ht="19.5" customHeight="1" x14ac:dyDescent="0.25">
      <c r="B6" s="1164"/>
      <c r="C6" s="76" t="s">
        <v>274</v>
      </c>
      <c r="D6" s="67">
        <v>0</v>
      </c>
      <c r="E6" s="68">
        <v>2</v>
      </c>
      <c r="F6" s="69" t="str">
        <f>BEGINBLAD!C5</f>
        <v>leerling 2</v>
      </c>
      <c r="G6" s="70">
        <f>'NIVEAU WAARDE - 1e toetsperiode'!G10</f>
        <v>4.2</v>
      </c>
      <c r="H6" s="71">
        <f>'NIVEAU WAARDE - 2e toetsperiode'!G10</f>
        <v>0</v>
      </c>
      <c r="I6" s="72" t="str">
        <f t="shared" ref="I6:I40" si="0">IF(H6=0,"",IF(H6&gt;4.5,"A-1+",IF(H6&gt;4.2,"A-1",IF(H6&gt;=4,"A-2",IF(H6&gt;3.4,"B-2",IF(H6&gt;=3,"B-3",IF(H6&gt;2.5,"C-3",IF(H6&gt;=2,"C-4",IF(H6&gt;1.6,"D-4",IF(H6&gt;=1,"D-5",IF(H6&gt;0.5,"E-5",IF(H6&gt;=0,"E-5-"))))))))))))</f>
        <v/>
      </c>
      <c r="J6" s="171" t="str">
        <f t="shared" ref="J6:J40" si="1">IF(H6=0,"",IF(G6-H6&gt;0.5,"!",IF(H6-G6&gt;0.5,"*",IF(H6-G6&lt;=0.5,""))))</f>
        <v/>
      </c>
      <c r="K6" s="90">
        <f>'NIVEAU WAARDE - 1e toetsperiode'!H10</f>
        <v>4.7</v>
      </c>
      <c r="L6" s="73">
        <f>'NIVEAU WAARDE - 2e toetsperiode'!H10</f>
        <v>0</v>
      </c>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t="str">
        <f>BEGINBLAD!C6</f>
        <v>leerling 3</v>
      </c>
      <c r="G7" s="70">
        <f>'NIVEAU WAARDE - 1e toetsperiode'!G11</f>
        <v>4.9000000000000004</v>
      </c>
      <c r="H7" s="71">
        <f>'NIVEAU WAARDE - 2e toetsperiode'!G11</f>
        <v>0</v>
      </c>
      <c r="I7" s="72" t="str">
        <f t="shared" si="0"/>
        <v/>
      </c>
      <c r="J7" s="171" t="str">
        <f t="shared" si="1"/>
        <v/>
      </c>
      <c r="K7" s="90">
        <f>'NIVEAU WAARDE - 1e toetsperiode'!H11</f>
        <v>4.5999999999999996</v>
      </c>
      <c r="L7" s="73">
        <f>'NIVEAU WAARDE - 2e toetsperiode'!H11</f>
        <v>0</v>
      </c>
      <c r="M7" s="72" t="str">
        <f t="shared" si="2"/>
        <v/>
      </c>
      <c r="N7" s="171" t="str">
        <f t="shared" si="3"/>
        <v/>
      </c>
      <c r="O7" s="75"/>
      <c r="R7" s="107"/>
      <c r="S7" s="107"/>
      <c r="T7" s="107"/>
      <c r="U7" s="107"/>
      <c r="V7" s="107"/>
    </row>
    <row r="8" spans="1:24" ht="19.5" customHeight="1" x14ac:dyDescent="0.25">
      <c r="A8" s="77"/>
      <c r="B8" s="257"/>
      <c r="C8" s="259"/>
      <c r="D8" s="80">
        <v>0</v>
      </c>
      <c r="E8" s="68">
        <v>4</v>
      </c>
      <c r="F8" s="69" t="str">
        <f>BEGINBLAD!C7</f>
        <v>leerling 4</v>
      </c>
      <c r="G8" s="70">
        <f>'NIVEAU WAARDE - 1e toetsperiode'!G12</f>
        <v>4.8</v>
      </c>
      <c r="H8" s="71">
        <f>'NIVEAU WAARDE - 2e toetsperiode'!G12</f>
        <v>0</v>
      </c>
      <c r="I8" s="72" t="str">
        <f t="shared" si="0"/>
        <v/>
      </c>
      <c r="J8" s="171" t="str">
        <f t="shared" si="1"/>
        <v/>
      </c>
      <c r="K8" s="90">
        <f>'NIVEAU WAARDE - 1e toetsperiode'!H12</f>
        <v>4.5999999999999996</v>
      </c>
      <c r="L8" s="81">
        <f>'NIVEAU WAARDE - 2e toetsperiode'!H12</f>
        <v>0</v>
      </c>
      <c r="M8" s="72" t="str">
        <f t="shared" si="2"/>
        <v/>
      </c>
      <c r="N8" s="171" t="str">
        <f t="shared" si="3"/>
        <v/>
      </c>
      <c r="O8" s="82"/>
      <c r="R8" s="107"/>
      <c r="S8" s="107"/>
      <c r="T8" s="107"/>
      <c r="U8" s="107"/>
      <c r="V8" s="107"/>
    </row>
    <row r="9" spans="1:24" ht="19.5" customHeight="1" x14ac:dyDescent="0.25">
      <c r="A9" s="77"/>
      <c r="B9" s="257"/>
      <c r="C9" s="259"/>
      <c r="D9" s="83">
        <v>0</v>
      </c>
      <c r="E9" s="68">
        <v>5</v>
      </c>
      <c r="F9" s="69" t="str">
        <f>BEGINBLAD!C8</f>
        <v>leerling 5</v>
      </c>
      <c r="G9" s="70">
        <f>'NIVEAU WAARDE - 1e toetsperiode'!G13</f>
        <v>4.9000000000000004</v>
      </c>
      <c r="H9" s="71">
        <f>'NIVEAU WAARDE - 2e toetsperiode'!G13</f>
        <v>0</v>
      </c>
      <c r="I9" s="72" t="str">
        <f t="shared" si="0"/>
        <v/>
      </c>
      <c r="J9" s="171" t="str">
        <f t="shared" si="1"/>
        <v/>
      </c>
      <c r="K9" s="90">
        <f>'NIVEAU WAARDE - 1e toetsperiode'!H13</f>
        <v>3</v>
      </c>
      <c r="L9" s="260">
        <f>'NIVEAU WAARDE - 2e toetsperiode'!H13</f>
        <v>0</v>
      </c>
      <c r="M9" s="72" t="str">
        <f t="shared" si="2"/>
        <v/>
      </c>
      <c r="N9" s="171" t="str">
        <f t="shared" si="3"/>
        <v/>
      </c>
      <c r="O9" s="84"/>
      <c r="R9" s="107"/>
      <c r="S9" s="107"/>
      <c r="T9" s="107"/>
      <c r="U9" s="107"/>
      <c r="V9" s="107"/>
    </row>
    <row r="10" spans="1:24" ht="19.5" customHeight="1" x14ac:dyDescent="0.25">
      <c r="A10" s="77"/>
      <c r="B10" s="257"/>
      <c r="C10" s="259"/>
      <c r="D10" s="85">
        <v>0</v>
      </c>
      <c r="E10" s="68">
        <v>6</v>
      </c>
      <c r="F10" s="69" t="str">
        <f>BEGINBLAD!C9</f>
        <v>leerling 6</v>
      </c>
      <c r="G10" s="70">
        <f>'NIVEAU WAARDE - 1e toetsperiode'!G14</f>
        <v>3.5</v>
      </c>
      <c r="H10" s="71">
        <f>'NIVEAU WAARDE - 2e toetsperiode'!G14</f>
        <v>0</v>
      </c>
      <c r="I10" s="72" t="str">
        <f t="shared" si="0"/>
        <v/>
      </c>
      <c r="J10" s="171" t="str">
        <f t="shared" si="1"/>
        <v/>
      </c>
      <c r="K10" s="90">
        <f>'NIVEAU WAARDE - 1e toetsperiode'!H14</f>
        <v>4.3</v>
      </c>
      <c r="L10" s="260">
        <f>'NIVEAU WAARDE - 2e toetsperiode'!H14</f>
        <v>0</v>
      </c>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t="str">
        <f>BEGINBLAD!C10</f>
        <v>leerling 7</v>
      </c>
      <c r="G11" s="70">
        <f>'NIVEAU WAARDE - 1e toetsperiode'!G15</f>
        <v>3.2</v>
      </c>
      <c r="H11" s="71">
        <f>'NIVEAU WAARDE - 2e toetsperiode'!G15</f>
        <v>0</v>
      </c>
      <c r="I11" s="72" t="str">
        <f t="shared" si="0"/>
        <v/>
      </c>
      <c r="J11" s="171" t="str">
        <f t="shared" si="1"/>
        <v/>
      </c>
      <c r="K11" s="90">
        <f>'NIVEAU WAARDE - 1e toetsperiode'!H15</f>
        <v>2.8</v>
      </c>
      <c r="L11" s="260">
        <f>'NIVEAU WAARDE - 2e toetsperiode'!H15</f>
        <v>0</v>
      </c>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t="str">
        <f>BEGINBLAD!C11</f>
        <v>leerling 8</v>
      </c>
      <c r="G12" s="70">
        <f>'NIVEAU WAARDE - 1e toetsperiode'!G16</f>
        <v>4.3</v>
      </c>
      <c r="H12" s="71">
        <f>'NIVEAU WAARDE - 2e toetsperiode'!G16</f>
        <v>0</v>
      </c>
      <c r="I12" s="72" t="str">
        <f t="shared" si="0"/>
        <v/>
      </c>
      <c r="J12" s="171" t="str">
        <f t="shared" si="1"/>
        <v/>
      </c>
      <c r="K12" s="90">
        <f>'NIVEAU WAARDE - 1e toetsperiode'!H16</f>
        <v>3.3</v>
      </c>
      <c r="L12" s="260">
        <f>'NIVEAU WAARDE - 2e toetsperiode'!H16</f>
        <v>0</v>
      </c>
      <c r="M12" s="72" t="str">
        <f t="shared" si="2"/>
        <v/>
      </c>
      <c r="N12" s="171" t="str">
        <f t="shared" si="3"/>
        <v/>
      </c>
      <c r="O12" s="54"/>
      <c r="R12" s="107"/>
      <c r="S12" s="107"/>
      <c r="T12" s="107"/>
      <c r="U12" s="107"/>
      <c r="V12" s="107"/>
    </row>
    <row r="13" spans="1:24" ht="19.5" customHeight="1" x14ac:dyDescent="0.25">
      <c r="A13" s="77"/>
      <c r="B13" s="78"/>
      <c r="C13" s="868"/>
      <c r="D13" s="67">
        <v>0</v>
      </c>
      <c r="E13" s="68">
        <v>9</v>
      </c>
      <c r="F13" s="69">
        <f>BEGINBLAD!C12</f>
        <v>0</v>
      </c>
      <c r="G13" s="70">
        <f>'NIVEAU WAARDE - 1e toetsperiode'!G17</f>
        <v>0</v>
      </c>
      <c r="H13" s="71">
        <f>'NIVEAU WAARDE - 2e toetsperiode'!G17</f>
        <v>0</v>
      </c>
      <c r="I13" s="72" t="str">
        <f t="shared" si="0"/>
        <v/>
      </c>
      <c r="J13" s="171" t="str">
        <f t="shared" si="1"/>
        <v/>
      </c>
      <c r="K13" s="90">
        <f>'NIVEAU WAARDE - 1e toetsperiode'!H17</f>
        <v>0</v>
      </c>
      <c r="L13" s="260">
        <f>'NIVEAU WAARDE - 2e toetsperiode'!H17</f>
        <v>0</v>
      </c>
      <c r="M13" s="72" t="str">
        <f t="shared" si="2"/>
        <v/>
      </c>
      <c r="N13" s="171" t="str">
        <f t="shared" si="3"/>
        <v/>
      </c>
      <c r="O13" s="75"/>
      <c r="R13" s="108"/>
      <c r="S13" s="108"/>
      <c r="T13" s="108"/>
      <c r="U13" s="108"/>
      <c r="V13" s="108"/>
    </row>
    <row r="14" spans="1:24" ht="19.5" customHeight="1" thickBot="1" x14ac:dyDescent="0.3">
      <c r="A14" s="77"/>
      <c r="B14" s="78"/>
      <c r="C14" s="868"/>
      <c r="D14" s="67">
        <v>0</v>
      </c>
      <c r="E14" s="68">
        <v>10</v>
      </c>
      <c r="F14" s="69">
        <f>BEGINBLAD!C13</f>
        <v>0</v>
      </c>
      <c r="G14" s="70">
        <f>'NIVEAU WAARDE - 1e toetsperiode'!G18</f>
        <v>0</v>
      </c>
      <c r="H14" s="71">
        <f>'NIVEAU WAARDE - 2e toetsperiode'!G18</f>
        <v>0</v>
      </c>
      <c r="I14" s="72" t="str">
        <f t="shared" si="0"/>
        <v/>
      </c>
      <c r="J14" s="171" t="str">
        <f t="shared" si="1"/>
        <v/>
      </c>
      <c r="K14" s="90">
        <f>'NIVEAU WAARDE - 1e toetsperiode'!H18</f>
        <v>0</v>
      </c>
      <c r="L14" s="260">
        <f>'NIVEAU WAARDE - 2e toetsperiode'!H18</f>
        <v>0</v>
      </c>
      <c r="M14" s="72" t="str">
        <f t="shared" si="2"/>
        <v/>
      </c>
      <c r="N14" s="171" t="str">
        <f t="shared" si="3"/>
        <v/>
      </c>
      <c r="O14" s="82"/>
      <c r="P14" s="54" t="s">
        <v>415</v>
      </c>
      <c r="R14" s="108"/>
      <c r="S14" s="108"/>
      <c r="T14" s="108"/>
      <c r="U14" s="108"/>
      <c r="V14" s="108"/>
    </row>
    <row r="15" spans="1:24" ht="19.5" customHeight="1" x14ac:dyDescent="0.25">
      <c r="A15" s="77"/>
      <c r="B15" s="78"/>
      <c r="C15" s="868"/>
      <c r="D15" s="67">
        <v>0</v>
      </c>
      <c r="E15" s="68">
        <v>11</v>
      </c>
      <c r="F15" s="69">
        <f>BEGINBLAD!C14</f>
        <v>0</v>
      </c>
      <c r="G15" s="70">
        <f>'NIVEAU WAARDE - 1e toetsperiode'!G19</f>
        <v>0</v>
      </c>
      <c r="H15" s="71">
        <f>'NIVEAU WAARDE - 2e toetsperiode'!G19</f>
        <v>0</v>
      </c>
      <c r="I15" s="72" t="str">
        <f t="shared" si="0"/>
        <v/>
      </c>
      <c r="J15" s="171" t="str">
        <f t="shared" si="1"/>
        <v/>
      </c>
      <c r="K15" s="90">
        <f>'NIVEAU WAARDE - 1e toetsperiode'!H19</f>
        <v>0</v>
      </c>
      <c r="L15" s="260">
        <f>'NIVEAU WAARDE - 2e toetsperiode'!H19</f>
        <v>0</v>
      </c>
      <c r="M15" s="72" t="str">
        <f t="shared" si="2"/>
        <v/>
      </c>
      <c r="N15" s="171" t="str">
        <f t="shared" si="3"/>
        <v/>
      </c>
      <c r="O15" s="1229" t="s">
        <v>208</v>
      </c>
      <c r="P15" s="1231">
        <f>'INTENSIEF - 2e periode'!F17</f>
        <v>0</v>
      </c>
      <c r="R15" s="108"/>
      <c r="S15" s="108"/>
      <c r="T15" s="108"/>
      <c r="U15" s="108"/>
      <c r="V15" s="108"/>
    </row>
    <row r="16" spans="1:24" ht="19.5" customHeight="1" x14ac:dyDescent="0.25">
      <c r="A16" s="77"/>
      <c r="B16" s="78"/>
      <c r="C16" s="868"/>
      <c r="D16" s="67">
        <v>0</v>
      </c>
      <c r="E16" s="68">
        <v>12</v>
      </c>
      <c r="F16" s="69">
        <f>BEGINBLAD!C15</f>
        <v>0</v>
      </c>
      <c r="G16" s="70">
        <f>'NIVEAU WAARDE - 1e toetsperiode'!G20</f>
        <v>0</v>
      </c>
      <c r="H16" s="71">
        <f>'NIVEAU WAARDE - 2e toetsperiode'!G20</f>
        <v>0</v>
      </c>
      <c r="I16" s="72" t="str">
        <f t="shared" si="0"/>
        <v/>
      </c>
      <c r="J16" s="171" t="str">
        <f t="shared" si="1"/>
        <v/>
      </c>
      <c r="K16" s="90">
        <f>'NIVEAU WAARDE - 1e toetsperiode'!H20</f>
        <v>0</v>
      </c>
      <c r="L16" s="260">
        <f>'NIVEAU WAARDE - 2e toetsperiode'!H20</f>
        <v>0</v>
      </c>
      <c r="M16" s="72" t="str">
        <f t="shared" si="2"/>
        <v/>
      </c>
      <c r="N16" s="171" t="str">
        <f t="shared" si="3"/>
        <v/>
      </c>
      <c r="O16" s="1230"/>
      <c r="P16" s="1232"/>
      <c r="R16" s="108"/>
      <c r="S16" s="108"/>
      <c r="T16" s="108"/>
      <c r="U16" s="108"/>
      <c r="V16" s="108"/>
    </row>
    <row r="17" spans="1:24" ht="19.5" customHeight="1" x14ac:dyDescent="0.25">
      <c r="A17" s="77"/>
      <c r="B17" s="78"/>
      <c r="C17" s="868"/>
      <c r="D17" s="80">
        <v>0</v>
      </c>
      <c r="E17" s="68">
        <v>13</v>
      </c>
      <c r="F17" s="69">
        <f>BEGINBLAD!C16</f>
        <v>0</v>
      </c>
      <c r="G17" s="70">
        <f>'NIVEAU WAARDE - 1e toetsperiode'!G21</f>
        <v>0</v>
      </c>
      <c r="H17" s="71">
        <f>'NIVEAU WAARDE - 2e toetsperiode'!G21</f>
        <v>0</v>
      </c>
      <c r="I17" s="72" t="str">
        <f t="shared" si="0"/>
        <v/>
      </c>
      <c r="J17" s="171" t="str">
        <f t="shared" si="1"/>
        <v/>
      </c>
      <c r="K17" s="90">
        <f>'NIVEAU WAARDE - 1e toetsperiode'!H21</f>
        <v>0</v>
      </c>
      <c r="L17" s="260">
        <f>'NIVEAU WAARDE - 2e toetsperiode'!H21</f>
        <v>0</v>
      </c>
      <c r="M17" s="72" t="str">
        <f t="shared" si="2"/>
        <v/>
      </c>
      <c r="N17" s="171" t="str">
        <f t="shared" si="3"/>
        <v/>
      </c>
      <c r="O17" s="1260" t="s">
        <v>210</v>
      </c>
      <c r="P17" s="1258">
        <f>'INTENSIEF - 2e periode'!F19</f>
        <v>0</v>
      </c>
    </row>
    <row r="18" spans="1:24" ht="19.5" customHeight="1" x14ac:dyDescent="0.25">
      <c r="A18" s="77"/>
      <c r="B18" s="78"/>
      <c r="C18" s="868"/>
      <c r="D18" s="85">
        <v>0</v>
      </c>
      <c r="E18" s="68">
        <v>14</v>
      </c>
      <c r="F18" s="69">
        <f>BEGINBLAD!C17</f>
        <v>0</v>
      </c>
      <c r="G18" s="70">
        <f>'NIVEAU WAARDE - 1e toetsperiode'!G22</f>
        <v>0</v>
      </c>
      <c r="H18" s="71">
        <f>'NIVEAU WAARDE - 2e toetsperiode'!G22</f>
        <v>0</v>
      </c>
      <c r="I18" s="72" t="str">
        <f t="shared" si="0"/>
        <v/>
      </c>
      <c r="J18" s="171" t="str">
        <f t="shared" si="1"/>
        <v/>
      </c>
      <c r="K18" s="90">
        <f>'NIVEAU WAARDE - 1e toetsperiode'!H22</f>
        <v>0</v>
      </c>
      <c r="L18" s="260">
        <f>'NIVEAU WAARDE - 2e toetsperiode'!H22</f>
        <v>0</v>
      </c>
      <c r="M18" s="72" t="str">
        <f t="shared" si="2"/>
        <v/>
      </c>
      <c r="N18" s="171" t="str">
        <f t="shared" si="3"/>
        <v/>
      </c>
      <c r="O18" s="1260"/>
      <c r="P18" s="1258"/>
    </row>
    <row r="19" spans="1:24" ht="19.5" customHeight="1" x14ac:dyDescent="0.3">
      <c r="D19" s="85">
        <v>0</v>
      </c>
      <c r="E19" s="68">
        <v>15</v>
      </c>
      <c r="F19" s="69">
        <f>BEGINBLAD!C18</f>
        <v>0</v>
      </c>
      <c r="G19" s="70">
        <f>'NIVEAU WAARDE - 1e toetsperiode'!G23</f>
        <v>0</v>
      </c>
      <c r="H19" s="71">
        <f>'NIVEAU WAARDE - 2e toetsperiode'!G23</f>
        <v>0</v>
      </c>
      <c r="I19" s="72" t="str">
        <f t="shared" si="0"/>
        <v/>
      </c>
      <c r="J19" s="171" t="str">
        <f t="shared" si="1"/>
        <v/>
      </c>
      <c r="K19" s="90">
        <f>'NIVEAU WAARDE - 1e toetsperiode'!H23</f>
        <v>0</v>
      </c>
      <c r="L19" s="81">
        <f>'NIVEAU WAARDE - 2e toetsperiode'!H23</f>
        <v>0</v>
      </c>
      <c r="M19" s="72" t="str">
        <f t="shared" si="2"/>
        <v/>
      </c>
      <c r="N19" s="171" t="str">
        <f t="shared" si="3"/>
        <v/>
      </c>
      <c r="O19" s="1260"/>
      <c r="P19" s="1258"/>
      <c r="U19" s="88"/>
      <c r="V19" s="88"/>
      <c r="W19" s="88"/>
      <c r="X19" s="88"/>
    </row>
    <row r="20" spans="1:24" ht="19.5" customHeight="1" x14ac:dyDescent="0.25">
      <c r="D20" s="85">
        <v>0</v>
      </c>
      <c r="E20" s="68">
        <v>16</v>
      </c>
      <c r="F20" s="69">
        <f>BEGINBLAD!C19</f>
        <v>0</v>
      </c>
      <c r="G20" s="70">
        <f>'NIVEAU WAARDE - 1e toetsperiode'!G24</f>
        <v>0</v>
      </c>
      <c r="H20" s="71">
        <f>'NIVEAU WAARDE - 2e toetsperiode'!G24</f>
        <v>0</v>
      </c>
      <c r="I20" s="72" t="str">
        <f t="shared" si="0"/>
        <v/>
      </c>
      <c r="J20" s="171" t="str">
        <f t="shared" si="1"/>
        <v/>
      </c>
      <c r="K20" s="90">
        <f>'NIVEAU WAARDE - 1e toetsperiode'!H24</f>
        <v>0</v>
      </c>
      <c r="L20" s="81">
        <f>'NIVEAU WAARDE - 2e toetsperiode'!H24</f>
        <v>0</v>
      </c>
      <c r="M20" s="72" t="str">
        <f t="shared" si="2"/>
        <v/>
      </c>
      <c r="N20" s="171" t="str">
        <f t="shared" si="3"/>
        <v/>
      </c>
      <c r="O20" s="1260"/>
      <c r="P20" s="1258"/>
    </row>
    <row r="21" spans="1:24" ht="19.5" customHeight="1" x14ac:dyDescent="0.25">
      <c r="D21" s="85">
        <v>0</v>
      </c>
      <c r="E21" s="68">
        <v>17</v>
      </c>
      <c r="F21" s="69">
        <f>BEGINBLAD!C20</f>
        <v>0</v>
      </c>
      <c r="G21" s="70">
        <f>'NIVEAU WAARDE - 1e toetsperiode'!G25</f>
        <v>0</v>
      </c>
      <c r="H21" s="71">
        <f>'NIVEAU WAARDE - 2e toetsperiode'!G25</f>
        <v>0</v>
      </c>
      <c r="I21" s="72" t="str">
        <f t="shared" si="0"/>
        <v/>
      </c>
      <c r="J21" s="171" t="str">
        <f t="shared" si="1"/>
        <v/>
      </c>
      <c r="K21" s="90">
        <f>'NIVEAU WAARDE - 1e toetsperiode'!H25</f>
        <v>0</v>
      </c>
      <c r="L21" s="73">
        <f>'NIVEAU WAARDE - 2e toetsperiode'!H25</f>
        <v>0</v>
      </c>
      <c r="M21" s="72" t="str">
        <f t="shared" si="2"/>
        <v/>
      </c>
      <c r="N21" s="171" t="str">
        <f t="shared" si="3"/>
        <v/>
      </c>
      <c r="O21" s="1260"/>
      <c r="P21" s="1258"/>
    </row>
    <row r="22" spans="1:24" ht="19.5" customHeight="1" x14ac:dyDescent="0.25">
      <c r="D22" s="85">
        <v>0</v>
      </c>
      <c r="E22" s="68">
        <v>18</v>
      </c>
      <c r="F22" s="69">
        <f>BEGINBLAD!C21</f>
        <v>0</v>
      </c>
      <c r="G22" s="70">
        <f>'NIVEAU WAARDE - 1e toetsperiode'!G26</f>
        <v>0</v>
      </c>
      <c r="H22" s="71">
        <f>'NIVEAU WAARDE - 2e toetsperiode'!G26</f>
        <v>0</v>
      </c>
      <c r="I22" s="72" t="str">
        <f t="shared" si="0"/>
        <v/>
      </c>
      <c r="J22" s="171" t="str">
        <f t="shared" si="1"/>
        <v/>
      </c>
      <c r="K22" s="90">
        <f>'NIVEAU WAARDE - 1e toetsperiode'!H26</f>
        <v>0</v>
      </c>
      <c r="L22" s="73">
        <f>'NIVEAU WAARDE - 2e toetsperiode'!H26</f>
        <v>0</v>
      </c>
      <c r="M22" s="72" t="str">
        <f t="shared" si="2"/>
        <v/>
      </c>
      <c r="N22" s="171" t="str">
        <f t="shared" si="3"/>
        <v/>
      </c>
      <c r="O22" s="1260"/>
      <c r="P22" s="1258"/>
    </row>
    <row r="23" spans="1:24" ht="19.5" customHeight="1" x14ac:dyDescent="0.25">
      <c r="B23" s="53"/>
      <c r="C23" s="53"/>
      <c r="D23" s="85">
        <v>0</v>
      </c>
      <c r="E23" s="68">
        <v>19</v>
      </c>
      <c r="F23" s="69">
        <f>BEGINBLAD!C22</f>
        <v>0</v>
      </c>
      <c r="G23" s="70">
        <f>'NIVEAU WAARDE - 1e toetsperiode'!G27</f>
        <v>0</v>
      </c>
      <c r="H23" s="71">
        <f>'NIVEAU WAARDE - 2e toetsperiode'!G27</f>
        <v>0</v>
      </c>
      <c r="I23" s="72" t="str">
        <f t="shared" si="0"/>
        <v/>
      </c>
      <c r="J23" s="171" t="str">
        <f t="shared" si="1"/>
        <v/>
      </c>
      <c r="K23" s="90">
        <f>'NIVEAU WAARDE - 1e toetsperiode'!H27</f>
        <v>0</v>
      </c>
      <c r="L23" s="73">
        <f>'NIVEAU WAARDE - 2e toetsperiode'!H27</f>
        <v>0</v>
      </c>
      <c r="M23" s="72" t="str">
        <f t="shared" si="2"/>
        <v/>
      </c>
      <c r="N23" s="171" t="str">
        <f t="shared" si="3"/>
        <v/>
      </c>
      <c r="O23" s="1260"/>
      <c r="P23" s="1258"/>
    </row>
    <row r="24" spans="1:24" ht="19.5" customHeight="1" thickBot="1" x14ac:dyDescent="0.3">
      <c r="B24" s="89"/>
      <c r="C24" s="53"/>
      <c r="D24" s="85">
        <v>0</v>
      </c>
      <c r="E24" s="68">
        <v>20</v>
      </c>
      <c r="F24" s="69">
        <f>BEGINBLAD!C23</f>
        <v>0</v>
      </c>
      <c r="G24" s="70">
        <f>'NIVEAU WAARDE - 1e toetsperiode'!G28</f>
        <v>0</v>
      </c>
      <c r="H24" s="71">
        <f>'NIVEAU WAARDE - 2e toetsperiode'!G28</f>
        <v>0</v>
      </c>
      <c r="I24" s="72" t="str">
        <f t="shared" si="0"/>
        <v/>
      </c>
      <c r="J24" s="171" t="str">
        <f t="shared" si="1"/>
        <v/>
      </c>
      <c r="K24" s="90">
        <f>'NIVEAU WAARDE - 1e toetsperiode'!H28</f>
        <v>0</v>
      </c>
      <c r="L24" s="73">
        <f>'NIVEAU WAARDE - 2e toetsperiode'!H28</f>
        <v>0</v>
      </c>
      <c r="M24" s="72" t="str">
        <f t="shared" si="2"/>
        <v/>
      </c>
      <c r="N24" s="171" t="str">
        <f t="shared" si="3"/>
        <v/>
      </c>
      <c r="O24" s="1261"/>
      <c r="P24" s="1259"/>
    </row>
    <row r="25" spans="1:24" ht="19.5" customHeight="1" thickBot="1" x14ac:dyDescent="0.3">
      <c r="B25" s="89"/>
      <c r="C25" s="53"/>
      <c r="D25" s="85">
        <v>0</v>
      </c>
      <c r="E25" s="68">
        <v>21</v>
      </c>
      <c r="F25" s="69">
        <f>BEGINBLAD!C24</f>
        <v>0</v>
      </c>
      <c r="G25" s="70">
        <f>'NIVEAU WAARDE - 1e toetsperiode'!G29</f>
        <v>0</v>
      </c>
      <c r="H25" s="71">
        <f>'NIVEAU WAARDE - 2e toetsperiode'!G29</f>
        <v>0</v>
      </c>
      <c r="I25" s="72" t="str">
        <f t="shared" si="0"/>
        <v/>
      </c>
      <c r="J25" s="171" t="str">
        <f t="shared" si="1"/>
        <v/>
      </c>
      <c r="K25" s="90">
        <f>'NIVEAU WAARDE - 1e toetsperiode'!H29</f>
        <v>0</v>
      </c>
      <c r="L25" s="73">
        <f>'NIVEAU WAARDE - 2e toetsperiode'!H29</f>
        <v>0</v>
      </c>
      <c r="M25" s="72" t="str">
        <f t="shared" si="2"/>
        <v/>
      </c>
      <c r="N25" s="171" t="str">
        <f t="shared" si="3"/>
        <v/>
      </c>
      <c r="O25" s="82"/>
      <c r="P25" s="54" t="s">
        <v>416</v>
      </c>
    </row>
    <row r="26" spans="1:24" ht="19.5" customHeight="1" x14ac:dyDescent="0.25">
      <c r="D26" s="85">
        <v>0</v>
      </c>
      <c r="E26" s="68">
        <v>22</v>
      </c>
      <c r="F26" s="69">
        <f>BEGINBLAD!C25</f>
        <v>0</v>
      </c>
      <c r="G26" s="70">
        <f>'NIVEAU WAARDE - 1e toetsperiode'!G30</f>
        <v>0</v>
      </c>
      <c r="H26" s="71">
        <f>'NIVEAU WAARDE - 2e toetsperiode'!G30</f>
        <v>0</v>
      </c>
      <c r="I26" s="72" t="str">
        <f t="shared" si="0"/>
        <v/>
      </c>
      <c r="J26" s="171" t="str">
        <f t="shared" si="1"/>
        <v/>
      </c>
      <c r="K26" s="90">
        <f>'NIVEAU WAARDE - 1e toetsperiode'!H30</f>
        <v>0</v>
      </c>
      <c r="L26" s="73">
        <f>'NIVEAU WAARDE - 2e toetsperiode'!H30</f>
        <v>0</v>
      </c>
      <c r="M26" s="72" t="str">
        <f t="shared" si="2"/>
        <v/>
      </c>
      <c r="N26" s="171" t="str">
        <f t="shared" si="3"/>
        <v/>
      </c>
      <c r="O26" s="1229" t="s">
        <v>208</v>
      </c>
      <c r="P26" s="1231">
        <f>'BASISAANPAK - 2e periode'!F17</f>
        <v>0</v>
      </c>
    </row>
    <row r="27" spans="1:24" s="92" customFormat="1" ht="19.5" customHeight="1" x14ac:dyDescent="0.55000000000000004">
      <c r="A27" s="51"/>
      <c r="B27" s="1164" t="s">
        <v>62</v>
      </c>
      <c r="C27" s="66" t="s">
        <v>275</v>
      </c>
      <c r="D27" s="80">
        <v>0</v>
      </c>
      <c r="E27" s="68">
        <v>23</v>
      </c>
      <c r="F27" s="69">
        <f>BEGINBLAD!C26</f>
        <v>0</v>
      </c>
      <c r="G27" s="70">
        <f>'NIVEAU WAARDE - 1e toetsperiode'!G31</f>
        <v>0</v>
      </c>
      <c r="H27" s="71">
        <f>'NIVEAU WAARDE - 2e toetsperiode'!G31</f>
        <v>0</v>
      </c>
      <c r="I27" s="72" t="str">
        <f t="shared" si="0"/>
        <v/>
      </c>
      <c r="J27" s="171" t="str">
        <f t="shared" si="1"/>
        <v/>
      </c>
      <c r="K27" s="90">
        <f>'NIVEAU WAARDE - 1e toetsperiode'!H31</f>
        <v>0</v>
      </c>
      <c r="L27" s="73">
        <f>'NIVEAU WAARDE - 2e toetsperiode'!H31</f>
        <v>0</v>
      </c>
      <c r="M27" s="72" t="str">
        <f t="shared" si="2"/>
        <v/>
      </c>
      <c r="N27" s="171" t="str">
        <f t="shared" si="3"/>
        <v/>
      </c>
      <c r="O27" s="1230"/>
      <c r="P27" s="1232"/>
      <c r="Q27" s="91"/>
      <c r="R27" s="91"/>
      <c r="S27" s="91"/>
      <c r="T27" s="91"/>
      <c r="U27" s="91"/>
      <c r="V27" s="91"/>
      <c r="W27" s="91"/>
    </row>
    <row r="28" spans="1:24" ht="19.5" customHeight="1" x14ac:dyDescent="0.6">
      <c r="B28" s="1164"/>
      <c r="C28" s="76" t="s">
        <v>274</v>
      </c>
      <c r="D28" s="80">
        <v>0</v>
      </c>
      <c r="E28" s="68">
        <v>24</v>
      </c>
      <c r="F28" s="69">
        <f>BEGINBLAD!C27</f>
        <v>0</v>
      </c>
      <c r="G28" s="70">
        <f>'NIVEAU WAARDE - 1e toetsperiode'!G32</f>
        <v>0</v>
      </c>
      <c r="H28" s="71">
        <f>'NIVEAU WAARDE - 2e toetsperiode'!G32</f>
        <v>0</v>
      </c>
      <c r="I28" s="72" t="str">
        <f t="shared" si="0"/>
        <v/>
      </c>
      <c r="J28" s="171" t="str">
        <f t="shared" si="1"/>
        <v/>
      </c>
      <c r="K28" s="90">
        <f>'NIVEAU WAARDE - 1e toetsperiode'!H32</f>
        <v>0</v>
      </c>
      <c r="L28" s="73">
        <f>'NIVEAU WAARDE - 2e toetsperiode'!H32</f>
        <v>0</v>
      </c>
      <c r="M28" s="72" t="str">
        <f t="shared" si="2"/>
        <v/>
      </c>
      <c r="N28" s="171" t="str">
        <f t="shared" si="3"/>
        <v/>
      </c>
      <c r="O28" s="1230" t="s">
        <v>210</v>
      </c>
      <c r="P28" s="1232">
        <f>'BASISAANPAK - 2e periode'!F19</f>
        <v>0</v>
      </c>
      <c r="Q28" s="56"/>
      <c r="R28" s="93"/>
      <c r="S28" s="54"/>
      <c r="T28" s="54"/>
      <c r="U28" s="54"/>
      <c r="V28" s="54"/>
      <c r="W28" s="54"/>
    </row>
    <row r="29" spans="1:24" ht="19.5" customHeight="1" x14ac:dyDescent="0.25">
      <c r="A29" s="77"/>
      <c r="B29" s="78"/>
      <c r="C29" s="868"/>
      <c r="D29" s="67">
        <v>0</v>
      </c>
      <c r="E29" s="68">
        <v>25</v>
      </c>
      <c r="F29" s="69">
        <f>BEGINBLAD!C28</f>
        <v>0</v>
      </c>
      <c r="G29" s="70">
        <f>'NIVEAU WAARDE - 1e toetsperiode'!G33</f>
        <v>0</v>
      </c>
      <c r="H29" s="71">
        <f>'NIVEAU WAARDE - 2e toetsperiode'!G33</f>
        <v>0</v>
      </c>
      <c r="I29" s="72" t="str">
        <f t="shared" si="0"/>
        <v/>
      </c>
      <c r="J29" s="171" t="str">
        <f t="shared" si="1"/>
        <v/>
      </c>
      <c r="K29" s="90">
        <f>'NIVEAU WAARDE - 1e toetsperiode'!H33</f>
        <v>0</v>
      </c>
      <c r="L29" s="73">
        <f>'NIVEAU WAARDE - 2e toetsperiode'!H33</f>
        <v>0</v>
      </c>
      <c r="M29" s="72" t="str">
        <f t="shared" si="2"/>
        <v/>
      </c>
      <c r="N29" s="171" t="str">
        <f t="shared" si="3"/>
        <v/>
      </c>
      <c r="O29" s="1230"/>
      <c r="P29" s="1232"/>
    </row>
    <row r="30" spans="1:24" ht="19.5" customHeight="1" x14ac:dyDescent="0.25">
      <c r="A30" s="77"/>
      <c r="B30" s="78"/>
      <c r="C30" s="868"/>
      <c r="D30" s="67">
        <v>0</v>
      </c>
      <c r="E30" s="68">
        <v>26</v>
      </c>
      <c r="F30" s="69">
        <f>BEGINBLAD!C29</f>
        <v>0</v>
      </c>
      <c r="G30" s="70">
        <f>'NIVEAU WAARDE - 1e toetsperiode'!G34</f>
        <v>0</v>
      </c>
      <c r="H30" s="71">
        <f>'NIVEAU WAARDE - 2e toetsperiode'!G34</f>
        <v>0</v>
      </c>
      <c r="I30" s="72" t="str">
        <f t="shared" si="0"/>
        <v/>
      </c>
      <c r="J30" s="171" t="str">
        <f t="shared" si="1"/>
        <v/>
      </c>
      <c r="K30" s="90">
        <f>'NIVEAU WAARDE - 1e toetsperiode'!H34</f>
        <v>0</v>
      </c>
      <c r="L30" s="73">
        <f>'NIVEAU WAARDE - 2e toetsperiode'!H34</f>
        <v>0</v>
      </c>
      <c r="M30" s="72" t="str">
        <f t="shared" si="2"/>
        <v/>
      </c>
      <c r="N30" s="171" t="str">
        <f t="shared" si="3"/>
        <v/>
      </c>
      <c r="O30" s="1230"/>
      <c r="P30" s="1232"/>
    </row>
    <row r="31" spans="1:24" ht="19.5" customHeight="1" x14ac:dyDescent="0.25">
      <c r="A31" s="77"/>
      <c r="B31" s="78"/>
      <c r="C31" s="868"/>
      <c r="D31" s="67">
        <v>0</v>
      </c>
      <c r="E31" s="68">
        <v>27</v>
      </c>
      <c r="F31" s="69">
        <f>BEGINBLAD!C30</f>
        <v>0</v>
      </c>
      <c r="G31" s="70">
        <f>'NIVEAU WAARDE - 1e toetsperiode'!G35</f>
        <v>0</v>
      </c>
      <c r="H31" s="71">
        <f>'NIVEAU WAARDE - 2e toetsperiode'!G35</f>
        <v>0</v>
      </c>
      <c r="I31" s="72" t="str">
        <f t="shared" si="0"/>
        <v/>
      </c>
      <c r="J31" s="171" t="str">
        <f t="shared" si="1"/>
        <v/>
      </c>
      <c r="K31" s="90">
        <f>'NIVEAU WAARDE - 1e toetsperiode'!H35</f>
        <v>0</v>
      </c>
      <c r="L31" s="73">
        <f>'NIVEAU WAARDE - 2e toetsperiode'!H35</f>
        <v>0</v>
      </c>
      <c r="M31" s="72" t="str">
        <f t="shared" si="2"/>
        <v/>
      </c>
      <c r="N31" s="171" t="str">
        <f t="shared" si="3"/>
        <v/>
      </c>
      <c r="O31" s="1230"/>
      <c r="P31" s="1232"/>
    </row>
    <row r="32" spans="1:24" ht="19.5" customHeight="1" x14ac:dyDescent="0.25">
      <c r="A32" s="77"/>
      <c r="B32" s="78"/>
      <c r="C32" s="868"/>
      <c r="D32" s="67">
        <v>0</v>
      </c>
      <c r="E32" s="68">
        <v>28</v>
      </c>
      <c r="F32" s="69">
        <f>BEGINBLAD!C31</f>
        <v>0</v>
      </c>
      <c r="G32" s="70">
        <f>'NIVEAU WAARDE - 1e toetsperiode'!G36</f>
        <v>0</v>
      </c>
      <c r="H32" s="71">
        <f>'NIVEAU WAARDE - 2e toetsperiode'!G36</f>
        <v>0</v>
      </c>
      <c r="I32" s="72" t="str">
        <f t="shared" si="0"/>
        <v/>
      </c>
      <c r="J32" s="171" t="str">
        <f t="shared" si="1"/>
        <v/>
      </c>
      <c r="K32" s="90">
        <f>'NIVEAU WAARDE - 1e toetsperiode'!H36</f>
        <v>0</v>
      </c>
      <c r="L32" s="73">
        <f>'NIVEAU WAARDE - 2e toetsperiode'!H36</f>
        <v>0</v>
      </c>
      <c r="M32" s="72" t="str">
        <f t="shared" si="2"/>
        <v/>
      </c>
      <c r="N32" s="171" t="str">
        <f t="shared" si="3"/>
        <v/>
      </c>
      <c r="O32" s="1230"/>
      <c r="P32" s="1232"/>
    </row>
    <row r="33" spans="1:23" ht="19.5" customHeight="1" x14ac:dyDescent="0.25">
      <c r="A33" s="77"/>
      <c r="B33" s="78"/>
      <c r="C33" s="868"/>
      <c r="D33" s="67">
        <v>0</v>
      </c>
      <c r="E33" s="68">
        <v>29</v>
      </c>
      <c r="F33" s="69">
        <f>BEGINBLAD!C32</f>
        <v>0</v>
      </c>
      <c r="G33" s="70">
        <f>'NIVEAU WAARDE - 1e toetsperiode'!G37</f>
        <v>0</v>
      </c>
      <c r="H33" s="71">
        <f>'NIVEAU WAARDE - 2e toetsperiode'!G37</f>
        <v>0</v>
      </c>
      <c r="I33" s="72" t="str">
        <f t="shared" si="0"/>
        <v/>
      </c>
      <c r="J33" s="171" t="str">
        <f t="shared" si="1"/>
        <v/>
      </c>
      <c r="K33" s="90">
        <f>'NIVEAU WAARDE - 1e toetsperiode'!H37</f>
        <v>0</v>
      </c>
      <c r="L33" s="73">
        <f>'NIVEAU WAARDE - 2e toetsperiode'!H37</f>
        <v>0</v>
      </c>
      <c r="M33" s="72" t="str">
        <f t="shared" si="2"/>
        <v/>
      </c>
      <c r="N33" s="171" t="str">
        <f t="shared" si="3"/>
        <v/>
      </c>
      <c r="O33" s="1230"/>
      <c r="P33" s="1232"/>
    </row>
    <row r="34" spans="1:23" ht="19.5" customHeight="1" x14ac:dyDescent="0.25">
      <c r="A34" s="77"/>
      <c r="B34" s="78"/>
      <c r="C34" s="868"/>
      <c r="D34" s="67">
        <v>0</v>
      </c>
      <c r="E34" s="68">
        <v>30</v>
      </c>
      <c r="F34" s="69">
        <f>BEGINBLAD!C33</f>
        <v>0</v>
      </c>
      <c r="G34" s="70">
        <f>'NIVEAU WAARDE - 1e toetsperiode'!G38</f>
        <v>0</v>
      </c>
      <c r="H34" s="71">
        <f>'NIVEAU WAARDE - 2e toetsperiode'!G38</f>
        <v>0</v>
      </c>
      <c r="I34" s="72" t="str">
        <f t="shared" si="0"/>
        <v/>
      </c>
      <c r="J34" s="171" t="str">
        <f t="shared" si="1"/>
        <v/>
      </c>
      <c r="K34" s="90">
        <f>'NIVEAU WAARDE - 1e toetsperiode'!H38</f>
        <v>0</v>
      </c>
      <c r="L34" s="73">
        <f>'NIVEAU WAARDE - 2e toetsperiode'!H38</f>
        <v>0</v>
      </c>
      <c r="M34" s="72" t="str">
        <f t="shared" si="2"/>
        <v/>
      </c>
      <c r="N34" s="171" t="str">
        <f t="shared" si="3"/>
        <v/>
      </c>
      <c r="O34" s="1230"/>
      <c r="P34" s="1232"/>
    </row>
    <row r="35" spans="1:23" ht="19.5" customHeight="1" thickBot="1" x14ac:dyDescent="0.3">
      <c r="A35" s="77"/>
      <c r="B35" s="78"/>
      <c r="C35" s="868"/>
      <c r="D35" s="67">
        <v>0</v>
      </c>
      <c r="E35" s="68">
        <v>31</v>
      </c>
      <c r="F35" s="69">
        <f>BEGINBLAD!C34</f>
        <v>0</v>
      </c>
      <c r="G35" s="70">
        <f>'NIVEAU WAARDE - 1e toetsperiode'!G39</f>
        <v>0</v>
      </c>
      <c r="H35" s="71">
        <f>'NIVEAU WAARDE - 2e toetsperiode'!G39</f>
        <v>0</v>
      </c>
      <c r="I35" s="72" t="str">
        <f t="shared" si="0"/>
        <v/>
      </c>
      <c r="J35" s="171" t="str">
        <f t="shared" si="1"/>
        <v/>
      </c>
      <c r="K35" s="90">
        <f>'NIVEAU WAARDE - 1e toetsperiode'!H39</f>
        <v>0</v>
      </c>
      <c r="L35" s="73">
        <f>'NIVEAU WAARDE - 2e toetsperiode'!H39</f>
        <v>0</v>
      </c>
      <c r="M35" s="72" t="str">
        <f t="shared" si="2"/>
        <v/>
      </c>
      <c r="N35" s="171" t="str">
        <f t="shared" si="3"/>
        <v/>
      </c>
      <c r="O35" s="1257"/>
      <c r="P35" s="1262"/>
    </row>
    <row r="36" spans="1:23" ht="19.5" customHeight="1" thickBot="1" x14ac:dyDescent="0.3">
      <c r="A36" s="77"/>
      <c r="B36" s="78"/>
      <c r="C36" s="868"/>
      <c r="D36" s="67">
        <v>0</v>
      </c>
      <c r="E36" s="68">
        <v>32</v>
      </c>
      <c r="F36" s="69">
        <f>BEGINBLAD!C35</f>
        <v>0</v>
      </c>
      <c r="G36" s="70">
        <f>'NIVEAU WAARDE - 1e toetsperiode'!G40</f>
        <v>0</v>
      </c>
      <c r="H36" s="71">
        <f>'NIVEAU WAARDE - 2e toetsperiode'!G40</f>
        <v>0</v>
      </c>
      <c r="I36" s="72" t="str">
        <f t="shared" si="0"/>
        <v/>
      </c>
      <c r="J36" s="171" t="str">
        <f t="shared" si="1"/>
        <v/>
      </c>
      <c r="K36" s="90">
        <f>'NIVEAU WAARDE - 1e toetsperiode'!H40</f>
        <v>0</v>
      </c>
      <c r="L36" s="73">
        <f>'NIVEAU WAARDE - 2e toetsperiode'!H40</f>
        <v>0</v>
      </c>
      <c r="M36" s="72" t="str">
        <f t="shared" si="2"/>
        <v/>
      </c>
      <c r="N36" s="171" t="str">
        <f t="shared" si="3"/>
        <v/>
      </c>
      <c r="O36" s="82"/>
      <c r="P36" s="54" t="s">
        <v>417</v>
      </c>
    </row>
    <row r="37" spans="1:23" ht="19.5" customHeight="1" x14ac:dyDescent="0.25">
      <c r="A37" s="77"/>
      <c r="B37" s="78"/>
      <c r="C37" s="868"/>
      <c r="D37" s="67">
        <v>0</v>
      </c>
      <c r="E37" s="68">
        <v>33</v>
      </c>
      <c r="F37" s="69">
        <f>BEGINBLAD!C36</f>
        <v>0</v>
      </c>
      <c r="G37" s="70">
        <f>'NIVEAU WAARDE - 1e toetsperiode'!G41</f>
        <v>0</v>
      </c>
      <c r="H37" s="71">
        <f>'NIVEAU WAARDE - 2e toetsperiode'!G41</f>
        <v>0</v>
      </c>
      <c r="I37" s="72" t="str">
        <f t="shared" si="0"/>
        <v/>
      </c>
      <c r="J37" s="171" t="str">
        <f t="shared" si="1"/>
        <v/>
      </c>
      <c r="K37" s="90">
        <f>'NIVEAU WAARDE - 1e toetsperiode'!H41</f>
        <v>0</v>
      </c>
      <c r="L37" s="73">
        <f>'NIVEAU WAARDE - 2e toetsperiode'!H41</f>
        <v>0</v>
      </c>
      <c r="M37" s="72" t="str">
        <f t="shared" si="2"/>
        <v/>
      </c>
      <c r="N37" s="171" t="str">
        <f t="shared" si="3"/>
        <v/>
      </c>
      <c r="O37" s="1229" t="s">
        <v>208</v>
      </c>
      <c r="P37" s="1231">
        <f>'VERRIJKT - 2e periode'!$F$17</f>
        <v>0</v>
      </c>
    </row>
    <row r="38" spans="1:23" ht="19.5" customHeight="1" x14ac:dyDescent="0.25">
      <c r="A38" s="77"/>
      <c r="B38" s="78"/>
      <c r="C38" s="868"/>
      <c r="D38" s="67">
        <v>0</v>
      </c>
      <c r="E38" s="68">
        <v>34</v>
      </c>
      <c r="F38" s="69">
        <f>BEGINBLAD!C37</f>
        <v>0</v>
      </c>
      <c r="G38" s="70">
        <f>'NIVEAU WAARDE - 1e toetsperiode'!G42</f>
        <v>0</v>
      </c>
      <c r="H38" s="71">
        <f>'NIVEAU WAARDE - 2e toetsperiode'!G42</f>
        <v>0</v>
      </c>
      <c r="I38" s="72" t="str">
        <f t="shared" si="0"/>
        <v/>
      </c>
      <c r="J38" s="171" t="str">
        <f t="shared" si="1"/>
        <v/>
      </c>
      <c r="K38" s="90">
        <f>'NIVEAU WAARDE - 1e toetsperiode'!H42</f>
        <v>0</v>
      </c>
      <c r="L38" s="73">
        <f>'NIVEAU WAARDE - 2e toetsperiode'!H42</f>
        <v>0</v>
      </c>
      <c r="M38" s="72" t="str">
        <f t="shared" si="2"/>
        <v/>
      </c>
      <c r="N38" s="171" t="str">
        <f t="shared" si="3"/>
        <v/>
      </c>
      <c r="O38" s="1230"/>
      <c r="P38" s="1232"/>
    </row>
    <row r="39" spans="1:23" ht="19.5" customHeight="1" x14ac:dyDescent="0.25">
      <c r="A39" s="77"/>
      <c r="B39" s="78"/>
      <c r="C39" s="868"/>
      <c r="D39" s="67">
        <v>0</v>
      </c>
      <c r="E39" s="68">
        <v>35</v>
      </c>
      <c r="F39" s="69">
        <f>BEGINBLAD!C38</f>
        <v>0</v>
      </c>
      <c r="G39" s="70">
        <f>'NIVEAU WAARDE - 1e toetsperiode'!G43</f>
        <v>0</v>
      </c>
      <c r="H39" s="71">
        <f>'NIVEAU WAARDE - 2e toetsperiode'!G43</f>
        <v>0</v>
      </c>
      <c r="I39" s="72" t="str">
        <f t="shared" si="0"/>
        <v/>
      </c>
      <c r="J39" s="171" t="str">
        <f t="shared" si="1"/>
        <v/>
      </c>
      <c r="K39" s="90">
        <f>'NIVEAU WAARDE - 1e toetsperiode'!H43</f>
        <v>0</v>
      </c>
      <c r="L39" s="73">
        <f>'NIVEAU WAARDE - 2e toetsperiode'!H43</f>
        <v>0</v>
      </c>
      <c r="M39" s="72" t="str">
        <f t="shared" si="2"/>
        <v/>
      </c>
      <c r="N39" s="171" t="str">
        <f t="shared" si="3"/>
        <v/>
      </c>
      <c r="O39" s="1230" t="s">
        <v>210</v>
      </c>
      <c r="P39" s="1255">
        <f>'VERRIJKT - 2e periode'!$F$19</f>
        <v>0</v>
      </c>
    </row>
    <row r="40" spans="1:23" ht="19.5" customHeight="1" thickBot="1" x14ac:dyDescent="0.3">
      <c r="A40" s="77"/>
      <c r="B40" s="78"/>
      <c r="C40" s="868"/>
      <c r="D40" s="67">
        <v>0</v>
      </c>
      <c r="E40" s="94">
        <v>36</v>
      </c>
      <c r="F40" s="95">
        <f>BEGINBLAD!C39</f>
        <v>0</v>
      </c>
      <c r="G40" s="96">
        <f>'NIVEAU WAARDE - 1e toetsperiode'!G44</f>
        <v>0</v>
      </c>
      <c r="H40" s="97">
        <f>'NIVEAU WAARDE - 2e toetsperiode'!G44</f>
        <v>0</v>
      </c>
      <c r="I40" s="98" t="str">
        <f t="shared" si="0"/>
        <v/>
      </c>
      <c r="J40" s="171" t="str">
        <f t="shared" si="1"/>
        <v/>
      </c>
      <c r="K40" s="177">
        <f>'NIVEAU WAARDE - 1e toetsperiode'!H44</f>
        <v>0</v>
      </c>
      <c r="L40" s="99">
        <f>'NIVEAU WAARDE - 2e toetsperiode'!H44</f>
        <v>0</v>
      </c>
      <c r="M40" s="98" t="str">
        <f t="shared" si="2"/>
        <v/>
      </c>
      <c r="N40" s="171" t="str">
        <f t="shared" si="3"/>
        <v/>
      </c>
      <c r="O40" s="1230"/>
      <c r="P40" s="1255"/>
    </row>
    <row r="41" spans="1:23" ht="19.5" customHeight="1" thickBot="1" x14ac:dyDescent="0.35">
      <c r="B41" s="100"/>
      <c r="C41" s="1263" t="s">
        <v>415</v>
      </c>
      <c r="D41" s="1263"/>
      <c r="E41" s="1263"/>
      <c r="F41" s="1263"/>
      <c r="G41" s="1059" t="s">
        <v>417</v>
      </c>
      <c r="H41" s="1059"/>
      <c r="I41" s="1059"/>
      <c r="J41" s="1059"/>
      <c r="K41" s="1059"/>
      <c r="L41" s="1059"/>
      <c r="M41" s="1059"/>
      <c r="O41" s="1230"/>
      <c r="P41" s="1255"/>
      <c r="R41" s="101"/>
      <c r="S41" s="101"/>
      <c r="T41" s="101"/>
      <c r="U41" s="101"/>
      <c r="V41" s="101"/>
      <c r="W41" s="101"/>
    </row>
    <row r="42" spans="1:23" ht="19.5" customHeight="1" x14ac:dyDescent="0.25">
      <c r="B42" s="51"/>
      <c r="C42" s="121" t="s">
        <v>279</v>
      </c>
      <c r="D42" s="1293"/>
      <c r="E42" s="1293"/>
      <c r="F42" s="1294"/>
      <c r="G42" s="1267" t="s">
        <v>279</v>
      </c>
      <c r="H42" s="1268"/>
      <c r="I42" s="1287"/>
      <c r="J42" s="1288"/>
      <c r="K42" s="1288"/>
      <c r="L42" s="1288"/>
      <c r="M42" s="1289"/>
      <c r="O42" s="1230"/>
      <c r="P42" s="1255"/>
      <c r="R42" s="101"/>
      <c r="S42" s="101"/>
      <c r="T42" s="101"/>
      <c r="U42" s="101"/>
      <c r="V42" s="101"/>
      <c r="W42" s="101"/>
    </row>
    <row r="43" spans="1:23" ht="19.5" customHeight="1" x14ac:dyDescent="0.25">
      <c r="B43" s="78"/>
      <c r="C43" s="122" t="s">
        <v>280</v>
      </c>
      <c r="D43" s="1291"/>
      <c r="E43" s="1291"/>
      <c r="F43" s="1292"/>
      <c r="G43" s="1249" t="s">
        <v>280</v>
      </c>
      <c r="H43" s="1250"/>
      <c r="I43" s="1278"/>
      <c r="J43" s="1279"/>
      <c r="K43" s="1279"/>
      <c r="L43" s="1279"/>
      <c r="M43" s="1280"/>
      <c r="O43" s="1230"/>
      <c r="P43" s="1255"/>
      <c r="R43" s="101"/>
      <c r="S43" s="101"/>
      <c r="T43" s="101"/>
      <c r="U43" s="101"/>
      <c r="V43" s="101"/>
      <c r="W43" s="101"/>
    </row>
    <row r="44" spans="1:23" ht="19.5" customHeight="1" x14ac:dyDescent="0.25">
      <c r="B44" s="78"/>
      <c r="C44" s="122" t="s">
        <v>281</v>
      </c>
      <c r="D44" s="1291"/>
      <c r="E44" s="1291"/>
      <c r="F44" s="1292"/>
      <c r="G44" s="1249" t="s">
        <v>281</v>
      </c>
      <c r="H44" s="1250"/>
      <c r="I44" s="1278"/>
      <c r="J44" s="1279"/>
      <c r="K44" s="1279"/>
      <c r="L44" s="1279"/>
      <c r="M44" s="1280"/>
      <c r="O44" s="1230"/>
      <c r="P44" s="1255"/>
      <c r="R44" s="101"/>
      <c r="S44" s="101"/>
      <c r="T44" s="101"/>
      <c r="U44" s="101"/>
      <c r="V44" s="101"/>
      <c r="W44" s="101"/>
    </row>
    <row r="45" spans="1:23" ht="19.5" customHeight="1" x14ac:dyDescent="0.25">
      <c r="B45" s="78"/>
      <c r="C45" s="122" t="s">
        <v>282</v>
      </c>
      <c r="D45" s="1291"/>
      <c r="E45" s="1291"/>
      <c r="F45" s="1292"/>
      <c r="G45" s="1249" t="s">
        <v>282</v>
      </c>
      <c r="H45" s="1250"/>
      <c r="I45" s="1278"/>
      <c r="J45" s="1279"/>
      <c r="K45" s="1279"/>
      <c r="L45" s="1279"/>
      <c r="M45" s="1280"/>
      <c r="O45" s="1230"/>
      <c r="P45" s="1255"/>
      <c r="R45" s="101"/>
      <c r="S45" s="101"/>
      <c r="T45" s="101"/>
      <c r="U45" s="101"/>
      <c r="V45" s="101"/>
      <c r="W45" s="101"/>
    </row>
    <row r="46" spans="1:23" ht="19.5" customHeight="1" thickBot="1" x14ac:dyDescent="0.3">
      <c r="B46" s="78"/>
      <c r="C46" s="123" t="s">
        <v>283</v>
      </c>
      <c r="D46" s="1272"/>
      <c r="E46" s="1272"/>
      <c r="F46" s="1273"/>
      <c r="G46" s="1240" t="s">
        <v>283</v>
      </c>
      <c r="H46" s="1241"/>
      <c r="I46" s="1282"/>
      <c r="J46" s="1283"/>
      <c r="K46" s="1283"/>
      <c r="L46" s="1283"/>
      <c r="M46" s="1284"/>
      <c r="O46" s="1257"/>
      <c r="P46" s="1256"/>
    </row>
    <row r="47" spans="1:23" x14ac:dyDescent="0.25">
      <c r="C47" s="104"/>
      <c r="D47" s="380"/>
      <c r="E47" s="131"/>
      <c r="F47" s="131"/>
      <c r="G47" s="131"/>
      <c r="H47" s="83"/>
      <c r="I47" s="103"/>
      <c r="J47" s="103"/>
      <c r="K47" s="1269" t="s">
        <v>278</v>
      </c>
      <c r="L47" s="1269"/>
      <c r="M47" s="1269"/>
      <c r="N47" s="102"/>
      <c r="O47" s="102"/>
      <c r="P47" s="102"/>
    </row>
    <row r="48" spans="1:23" x14ac:dyDescent="0.25">
      <c r="B48" s="116"/>
      <c r="C48" s="104"/>
      <c r="D48" s="83">
        <f>BEGINBLAD!$D$40</f>
        <v>8</v>
      </c>
      <c r="E48" s="142"/>
      <c r="F48" s="143" t="s">
        <v>418</v>
      </c>
      <c r="G48" s="150" t="e">
        <f>H48/$D$49</f>
        <v>#DIV/0!</v>
      </c>
      <c r="H48" s="85">
        <f>COUNTIF($I$5:$I$40,"A-1+")</f>
        <v>0</v>
      </c>
      <c r="I48" s="85"/>
      <c r="J48" s="141" t="s">
        <v>419</v>
      </c>
      <c r="K48" s="141"/>
      <c r="L48" s="141"/>
      <c r="M48" s="161" t="e">
        <f>G48+G49+G50+G51+G52</f>
        <v>#DIV/0!</v>
      </c>
      <c r="N48" s="161">
        <v>1</v>
      </c>
      <c r="O48" s="149"/>
      <c r="P48" s="102"/>
    </row>
    <row r="49" spans="2:16" x14ac:dyDescent="0.25">
      <c r="B49" s="116"/>
      <c r="C49" s="104"/>
      <c r="D49" s="148">
        <f>COUNTIF(H5:H40,"&gt;0")</f>
        <v>0</v>
      </c>
      <c r="E49" s="142"/>
      <c r="F49" s="143" t="s">
        <v>420</v>
      </c>
      <c r="G49" s="150" t="e">
        <f>H49/$D$49</f>
        <v>#DIV/0!</v>
      </c>
      <c r="H49" s="85">
        <f>COUNTIF($I$5:$I$40,"A-1")</f>
        <v>0</v>
      </c>
      <c r="I49" s="85"/>
      <c r="J49" s="141"/>
      <c r="K49" s="141"/>
      <c r="L49" s="141"/>
      <c r="M49" s="161"/>
      <c r="N49" s="161">
        <v>0.7</v>
      </c>
      <c r="O49" s="162"/>
      <c r="P49" s="111"/>
    </row>
    <row r="50" spans="2:16" x14ac:dyDescent="0.25">
      <c r="B50" s="116"/>
      <c r="C50" s="104"/>
      <c r="D50" s="144"/>
      <c r="E50" s="142"/>
      <c r="F50" s="145" t="s">
        <v>421</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422</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423</v>
      </c>
      <c r="G52" s="150" t="e">
        <f>H52/$D$49</f>
        <v>#DIV/0!</v>
      </c>
      <c r="H52" s="85">
        <f>COUNTIF($I$5:$I$40,"c-3")</f>
        <v>0</v>
      </c>
      <c r="I52" s="85"/>
      <c r="J52" s="141" t="s">
        <v>352</v>
      </c>
      <c r="K52" s="141"/>
      <c r="L52" s="141"/>
      <c r="M52" s="161" t="e">
        <f>G53+G54+G55+G57</f>
        <v>#DIV/0!</v>
      </c>
      <c r="N52" s="163"/>
      <c r="O52" s="162"/>
      <c r="P52" s="111"/>
    </row>
    <row r="53" spans="2:16" x14ac:dyDescent="0.25">
      <c r="B53" s="116"/>
      <c r="C53" s="104"/>
      <c r="D53" s="144"/>
      <c r="E53" s="142"/>
      <c r="F53" s="145" t="s">
        <v>424</v>
      </c>
      <c r="G53" s="150" t="e">
        <f>H53/$D$49</f>
        <v>#DIV/0!</v>
      </c>
      <c r="H53" s="85">
        <f>COUNTIF($I$5:$I$40,"c-4")</f>
        <v>0</v>
      </c>
      <c r="I53" s="83"/>
      <c r="J53" s="141"/>
      <c r="K53" s="141"/>
      <c r="L53" s="141"/>
      <c r="M53" s="161"/>
      <c r="N53" s="163"/>
      <c r="O53" s="162"/>
      <c r="P53" s="111"/>
    </row>
    <row r="54" spans="2:16" x14ac:dyDescent="0.25">
      <c r="B54" s="116"/>
      <c r="C54" s="104"/>
      <c r="D54" s="144"/>
      <c r="E54" s="142"/>
      <c r="F54" s="142" t="s">
        <v>425</v>
      </c>
      <c r="G54" s="150" t="e">
        <f>H54/$D$49</f>
        <v>#DIV/0!</v>
      </c>
      <c r="H54" s="85">
        <f>COUNTIF($I$5:$I$40,"d-4")</f>
        <v>0</v>
      </c>
      <c r="I54" s="83"/>
      <c r="J54" s="141"/>
      <c r="K54" s="141"/>
      <c r="L54" s="141"/>
      <c r="M54" s="161"/>
      <c r="N54" s="163"/>
      <c r="O54" s="162"/>
      <c r="P54" s="111"/>
    </row>
    <row r="55" spans="2:16" x14ac:dyDescent="0.25">
      <c r="B55" s="116"/>
      <c r="C55" s="104"/>
      <c r="D55" s="144"/>
      <c r="E55" s="142"/>
      <c r="F55" s="143" t="s">
        <v>426</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69</v>
      </c>
      <c r="K56" s="141"/>
      <c r="L56" s="141"/>
      <c r="M56" s="161" t="e">
        <f>M48+M52</f>
        <v>#DIV/0!</v>
      </c>
      <c r="N56" s="1245"/>
      <c r="O56" s="162"/>
      <c r="P56" s="111"/>
    </row>
    <row r="57" spans="2:16" x14ac:dyDescent="0.25">
      <c r="B57" s="116"/>
      <c r="C57" s="104"/>
      <c r="D57" s="144"/>
      <c r="E57" s="142"/>
      <c r="F57" s="146" t="s">
        <v>427</v>
      </c>
      <c r="G57" s="150" t="e">
        <f>H57/$D$49</f>
        <v>#DIV/0!</v>
      </c>
      <c r="H57" s="85">
        <f>COUNTIF($I$5:$I$40,"e-5-")</f>
        <v>0</v>
      </c>
      <c r="I57" s="85"/>
      <c r="J57" s="141"/>
      <c r="K57" s="141"/>
      <c r="L57" s="141"/>
      <c r="M57" s="161"/>
      <c r="N57" s="1245"/>
      <c r="O57" s="162"/>
      <c r="P57" s="111"/>
    </row>
    <row r="58" spans="2:16" x14ac:dyDescent="0.25">
      <c r="B58" s="116"/>
      <c r="C58" s="104"/>
      <c r="D58" s="144"/>
      <c r="E58" s="142"/>
      <c r="F58" s="143" t="s">
        <v>69</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396" priority="28" stopIfTrue="1">
      <formula>B7=6</formula>
    </cfRule>
    <cfRule type="expression" dxfId="395" priority="27" stopIfTrue="1">
      <formula>B7=7</formula>
    </cfRule>
    <cfRule type="expression" dxfId="394" priority="31" stopIfTrue="1">
      <formula>B7=5</formula>
    </cfRule>
    <cfRule type="expression" dxfId="393" priority="30" stopIfTrue="1">
      <formula>B7=4</formula>
    </cfRule>
    <cfRule type="expression" dxfId="392" priority="29" stopIfTrue="1">
      <formula>B7=3</formula>
    </cfRule>
    <cfRule type="cellIs" dxfId="391" priority="25" operator="equal">
      <formula>""</formula>
    </cfRule>
    <cfRule type="expression" dxfId="390" priority="26" stopIfTrue="1">
      <formula>B7=8</formula>
    </cfRule>
  </conditionalFormatting>
  <conditionalFormatting sqref="C29:C40">
    <cfRule type="expression" dxfId="389" priority="103" stopIfTrue="1">
      <formula>B29=5</formula>
    </cfRule>
    <cfRule type="expression" dxfId="388" priority="102" stopIfTrue="1">
      <formula>B29=4</formula>
    </cfRule>
    <cfRule type="expression" dxfId="387" priority="101" stopIfTrue="1">
      <formula>B29=3</formula>
    </cfRule>
    <cfRule type="expression" dxfId="386" priority="98" stopIfTrue="1">
      <formula>B29=8</formula>
    </cfRule>
    <cfRule type="expression" dxfId="385" priority="99" stopIfTrue="1">
      <formula>B29=7</formula>
    </cfRule>
    <cfRule type="expression" dxfId="384" priority="100" stopIfTrue="1">
      <formula>B29=6</formula>
    </cfRule>
    <cfRule type="cellIs" dxfId="383" priority="97" operator="equal">
      <formula>""</formula>
    </cfRule>
  </conditionalFormatting>
  <conditionalFormatting sqref="C42:C46">
    <cfRule type="cellIs" dxfId="382" priority="75" operator="notEqual">
      <formula>""</formula>
    </cfRule>
  </conditionalFormatting>
  <conditionalFormatting sqref="E5:E40">
    <cfRule type="expression" dxfId="381" priority="113">
      <formula>$D5=6</formula>
    </cfRule>
    <cfRule type="expression" dxfId="380" priority="111">
      <formula>$D5=8</formula>
    </cfRule>
    <cfRule type="expression" dxfId="379" priority="110">
      <formula>$D5=5</formula>
    </cfRule>
    <cfRule type="expression" dxfId="378" priority="109">
      <formula>$D5=4</formula>
    </cfRule>
    <cfRule type="expression" dxfId="377" priority="108">
      <formula>$D5=3</formula>
    </cfRule>
    <cfRule type="expression" dxfId="376" priority="112">
      <formula>$D5=7</formula>
    </cfRule>
  </conditionalFormatting>
  <conditionalFormatting sqref="F5:F40">
    <cfRule type="expression" dxfId="375" priority="114">
      <formula>$H5=0</formula>
    </cfRule>
    <cfRule type="expression" dxfId="374" priority="115">
      <formula>$H5&lt;#REF!</formula>
    </cfRule>
    <cfRule type="expression" dxfId="373" priority="116">
      <formula>$H5&gt;=#REF!</formula>
    </cfRule>
    <cfRule type="expression" dxfId="372" priority="117">
      <formula>$H5=0</formula>
    </cfRule>
  </conditionalFormatting>
  <conditionalFormatting sqref="G42:G46">
    <cfRule type="cellIs" dxfId="371" priority="96" operator="notEqual">
      <formula>""</formula>
    </cfRule>
  </conditionalFormatting>
  <conditionalFormatting sqref="H5:H40">
    <cfRule type="cellIs" dxfId="370" priority="123" stopIfTrue="1" operator="between">
      <formula>4</formula>
      <formula>5</formula>
    </cfRule>
    <cfRule type="cellIs" dxfId="369" priority="2" operator="between">
      <formula>1.6</formula>
      <formula>2.5</formula>
    </cfRule>
    <cfRule type="cellIs" dxfId="368" priority="121" stopIfTrue="1" operator="between">
      <formula>0.1</formula>
      <formula>1.5</formula>
    </cfRule>
    <cfRule type="cellIs" dxfId="367" priority="122" stopIfTrue="1" operator="between">
      <formula>3</formula>
      <formula>3.9</formula>
    </cfRule>
  </conditionalFormatting>
  <conditionalFormatting sqref="I5:I40">
    <cfRule type="cellIs" dxfId="366" priority="18" stopIfTrue="1" operator="between">
      <formula>"B-2"</formula>
      <formula>"B-3"</formula>
    </cfRule>
    <cfRule type="cellIs" dxfId="365" priority="17" stopIfTrue="1" operator="between">
      <formula>"D-5"</formula>
      <formula>"E-5"</formula>
    </cfRule>
    <cfRule type="cellIs" dxfId="364" priority="16" operator="equal">
      <formula>"A-1+"</formula>
    </cfRule>
    <cfRule type="cellIs" dxfId="363" priority="15" operator="equal">
      <formula>"E-5-"</formula>
    </cfRule>
    <cfRule type="cellIs" dxfId="362" priority="14" operator="between">
      <formula>"C-4"</formula>
      <formula>"D-4"</formula>
    </cfRule>
    <cfRule type="cellIs" dxfId="361" priority="19" stopIfTrue="1" operator="between">
      <formula>"A-1"</formula>
      <formula>"A-2"</formula>
    </cfRule>
  </conditionalFormatting>
  <conditionalFormatting sqref="J5:J40">
    <cfRule type="cellIs" dxfId="360" priority="46" operator="equal">
      <formula>"*"</formula>
    </cfRule>
    <cfRule type="cellIs" dxfId="359" priority="47" operator="equal">
      <formula>"!"</formula>
    </cfRule>
  </conditionalFormatting>
  <conditionalFormatting sqref="L5:L8">
    <cfRule type="cellIs" dxfId="358" priority="50" stopIfTrue="1" operator="between">
      <formula>4</formula>
      <formula>5</formula>
    </cfRule>
    <cfRule type="cellIs" dxfId="357" priority="48" stopIfTrue="1" operator="between">
      <formula>0.1</formula>
      <formula>1.5</formula>
    </cfRule>
    <cfRule type="cellIs" dxfId="356" priority="49" stopIfTrue="1" operator="between">
      <formula>3</formula>
      <formula>3.9</formula>
    </cfRule>
  </conditionalFormatting>
  <conditionalFormatting sqref="L5:L40">
    <cfRule type="cellIs" dxfId="355" priority="1" operator="between">
      <formula>1.6</formula>
      <formula>2.5</formula>
    </cfRule>
  </conditionalFormatting>
  <conditionalFormatting sqref="L19:L23">
    <cfRule type="cellIs" dxfId="354" priority="60" stopIfTrue="1" operator="between">
      <formula>0.1</formula>
      <formula>1.9</formula>
    </cfRule>
    <cfRule type="cellIs" dxfId="353" priority="61" stopIfTrue="1" operator="between">
      <formula>3</formula>
      <formula>3.9</formula>
    </cfRule>
    <cfRule type="cellIs" dxfId="352" priority="62" stopIfTrue="1" operator="between">
      <formula>4</formula>
      <formula>5</formula>
    </cfRule>
  </conditionalFormatting>
  <conditionalFormatting sqref="L19:L40">
    <cfRule type="cellIs" dxfId="351" priority="52" operator="equal">
      <formula>""</formula>
    </cfRule>
  </conditionalFormatting>
  <conditionalFormatting sqref="L21:L40">
    <cfRule type="cellIs" dxfId="350" priority="57" stopIfTrue="1" operator="between">
      <formula>0.1</formula>
      <formula>1.5</formula>
    </cfRule>
    <cfRule type="cellIs" dxfId="349" priority="59" stopIfTrue="1" operator="between">
      <formula>4</formula>
      <formula>5</formula>
    </cfRule>
    <cfRule type="cellIs" dxfId="348" priority="58" stopIfTrue="1" operator="between">
      <formula>3</formula>
      <formula>3.9</formula>
    </cfRule>
  </conditionalFormatting>
  <conditionalFormatting sqref="M5:M39">
    <cfRule type="cellIs" dxfId="347" priority="8" stopIfTrue="1" operator="between">
      <formula>"A-1"</formula>
      <formula>"A-2"</formula>
    </cfRule>
    <cfRule type="cellIs" dxfId="346" priority="7" stopIfTrue="1" operator="between">
      <formula>"B-2"</formula>
      <formula>"B-3"</formula>
    </cfRule>
    <cfRule type="cellIs" dxfId="345" priority="6" stopIfTrue="1" operator="between">
      <formula>"D-5"</formula>
      <formula>"E-5"</formula>
    </cfRule>
    <cfRule type="cellIs" dxfId="344" priority="3" operator="between">
      <formula>"C-4"</formula>
      <formula>"D-4"</formula>
    </cfRule>
  </conditionalFormatting>
  <conditionalFormatting sqref="M5:M40">
    <cfRule type="cellIs" dxfId="343" priority="5" operator="equal">
      <formula>"A-1+"</formula>
    </cfRule>
    <cfRule type="cellIs" dxfId="342" priority="4" operator="equal">
      <formula>"E-5-"</formula>
    </cfRule>
  </conditionalFormatting>
  <conditionalFormatting sqref="M40">
    <cfRule type="cellIs" dxfId="341" priority="11" stopIfTrue="1" operator="between">
      <formula>"D-3"</formula>
      <formula>"E-5"</formula>
    </cfRule>
    <cfRule type="cellIs" dxfId="340" priority="13" stopIfTrue="1" operator="between">
      <formula>"A-1"</formula>
      <formula>"A-2"</formula>
    </cfRule>
    <cfRule type="cellIs" dxfId="339" priority="12" stopIfTrue="1" operator="between">
      <formula>"B-2"</formula>
      <formula>"B-3"</formula>
    </cfRule>
  </conditionalFormatting>
  <conditionalFormatting sqref="N5:N40">
    <cfRule type="cellIs" dxfId="338" priority="45" operator="equal">
      <formula>"!"</formula>
    </cfRule>
    <cfRule type="cellIs" dxfId="337" priority="44" operator="equal">
      <formula>"*"</formula>
    </cfRule>
  </conditionalFormatting>
  <conditionalFormatting sqref="R6:R7">
    <cfRule type="cellIs" dxfId="336" priority="89" operator="equal">
      <formula>0</formula>
    </cfRule>
  </conditionalFormatting>
  <conditionalFormatting sqref="R9 R11">
    <cfRule type="cellIs" dxfId="335" priority="92" operator="equal">
      <formula>0</formula>
    </cfRule>
  </conditionalFormatting>
  <conditionalFormatting sqref="R13 R15">
    <cfRule type="cellIs" dxfId="334" priority="93" operator="equal">
      <formula>0</formula>
    </cfRule>
  </conditionalFormatting>
  <conditionalFormatting sqref="S7:U7 S9:U9 S11:U11">
    <cfRule type="cellIs" dxfId="333" priority="95" operator="equal">
      <formula>0</formula>
    </cfRule>
  </conditionalFormatting>
  <conditionalFormatting sqref="S13:U13 S15:U15">
    <cfRule type="cellIs" dxfId="332" priority="90" operator="equal">
      <formula>0</formula>
    </cfRule>
  </conditionalFormatting>
  <conditionalFormatting sqref="V6:V7">
    <cfRule type="cellIs" dxfId="331" priority="88" operator="equal">
      <formula>0</formula>
    </cfRule>
  </conditionalFormatting>
  <conditionalFormatting sqref="V9 V11">
    <cfRule type="cellIs" dxfId="330" priority="91" operator="equal">
      <formula>0</formula>
    </cfRule>
  </conditionalFormatting>
  <conditionalFormatting sqref="V13 V15">
    <cfRule type="cellIs" dxfId="329" priority="94" operator="equal">
      <formula>0</formula>
    </cfRule>
  </conditionalFormatting>
  <dataValidations count="10">
    <dataValidation type="list" allowBlank="1" showInputMessage="1" showErrorMessage="1" sqref="C46 G46" xr:uid="{00000000-0002-0000-2A00-000000000000}">
      <formula1>"vrijdag,"</formula1>
    </dataValidation>
    <dataValidation type="list" allowBlank="1" showInputMessage="1" showErrorMessage="1" sqref="C45 G45" xr:uid="{00000000-0002-0000-2A00-000001000000}">
      <formula1>"donderdag,"</formula1>
    </dataValidation>
    <dataValidation type="list" allowBlank="1" showInputMessage="1" showErrorMessage="1" sqref="C44 G44" xr:uid="{00000000-0002-0000-2A00-000002000000}">
      <formula1>"woensdag,"</formula1>
    </dataValidation>
    <dataValidation type="list" allowBlank="1" showInputMessage="1" showErrorMessage="1" sqref="C43 G43" xr:uid="{00000000-0002-0000-2A00-000003000000}">
      <formula1>"dinsdag,"</formula1>
    </dataValidation>
    <dataValidation type="list" allowBlank="1" showInputMessage="1" showErrorMessage="1" sqref="C42 G42" xr:uid="{00000000-0002-0000-2A00-000004000000}">
      <formula1>"maandag,"</formula1>
    </dataValidation>
    <dataValidation type="list" allowBlank="1" showInputMessage="1" showErrorMessage="1" sqref="B7:B18 B29:B40" xr:uid="{00000000-0002-0000-2A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A00-000006000000}">
      <formula1>2</formula1>
    </dataValidation>
    <dataValidation allowBlank="1" showInputMessage="1" showErrorMessage="1" promptTitle="Pulldown venster" prompt="groeps  HP: -_x000a_indiv.    HP:#_x000a_hele groep: $" sqref="C7:C17 C29:C39" xr:uid="{00000000-0002-0000-2A00-000007000000}"/>
    <dataValidation allowBlank="1" showInputMessage="1" showErrorMessage="1" promptTitle="Pulldown menu" prompt="groeps  HP: -_x000a_indiv.    HP:#_x000a_hele groep: $" sqref="C18 C40" xr:uid="{00000000-0002-0000-2A00-000008000000}"/>
    <dataValidation allowBlank="1" showInputMessage="1" showErrorMessage="1" promptTitle="Nieuwe regel:" prompt="druk op Alt-Enter" sqref="P15 P28 P17 P26 P37 P39" xr:uid="{00000000-0002-0000-2A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CCFFFF"/>
    <pageSetUpPr fitToPage="1"/>
  </sheetPr>
  <dimension ref="A1:AB85"/>
  <sheetViews>
    <sheetView showGridLines="0" showRowColHeaders="0" topLeftCell="A6" zoomScale="75" zoomScaleNormal="75" workbookViewId="0">
      <selection activeCell="X17" sqref="X17"/>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2.81640625" style="53" customWidth="1"/>
    <col min="12" max="16" width="2.81640625" style="54" customWidth="1"/>
    <col min="17" max="17" width="2.81640625" style="51" customWidth="1"/>
    <col min="18" max="18" width="3.1796875" style="51" customWidth="1"/>
    <col min="19" max="19" width="4.81640625" style="51" bestFit="1" customWidth="1"/>
    <col min="20" max="20" width="60.81640625" style="51" customWidth="1"/>
    <col min="21" max="21" width="6.81640625" style="51" customWidth="1"/>
    <col min="22" max="26" width="7.1796875" style="51" customWidth="1"/>
    <col min="27" max="29" width="6.81640625" style="51" customWidth="1"/>
    <col min="30" max="30" width="6.1796875" style="51" customWidth="1"/>
    <col min="31" max="16384" width="9.1796875" style="51"/>
  </cols>
  <sheetData>
    <row r="1" spans="1:28" s="48" customFormat="1" ht="30" customHeight="1" thickBot="1" x14ac:dyDescent="0.65">
      <c r="B1" s="128"/>
      <c r="C1" s="1176" t="s">
        <v>443</v>
      </c>
      <c r="D1" s="1177"/>
      <c r="E1" s="1177"/>
      <c r="F1" s="1177"/>
      <c r="G1" s="1177"/>
      <c r="H1" s="1177"/>
      <c r="I1" s="1177"/>
      <c r="J1" s="1177"/>
      <c r="K1" s="1233" t="str">
        <f>BEGINBLAD!$I$2</f>
        <v>groep 6</v>
      </c>
      <c r="L1" s="1233"/>
      <c r="M1" s="1233"/>
      <c r="N1" s="1233"/>
      <c r="O1" s="1233"/>
      <c r="P1" s="1233"/>
      <c r="Q1" s="1233"/>
      <c r="R1" s="1233"/>
      <c r="S1" s="1233"/>
      <c r="T1" s="173"/>
      <c r="AB1" s="50"/>
    </row>
    <row r="2" spans="1:28" ht="24" customHeight="1" x14ac:dyDescent="0.25">
      <c r="C2" s="1178" t="str">
        <f>BEGINBLAD!$N$2</f>
        <v>aug.</v>
      </c>
      <c r="D2" s="1178"/>
      <c r="E2" s="175"/>
      <c r="F2" s="412" t="str">
        <f>BEGINBLAD!$O$2</f>
        <v>apr.</v>
      </c>
      <c r="G2" s="1178">
        <f>BEGINBLAD!$P$2</f>
        <v>2024</v>
      </c>
      <c r="H2" s="1178"/>
      <c r="I2" s="1178"/>
      <c r="Q2" s="53"/>
      <c r="R2" s="53"/>
      <c r="S2" s="53"/>
    </row>
    <row r="3" spans="1:28" ht="13" thickBot="1" x14ac:dyDescent="0.3">
      <c r="Q3" s="56"/>
      <c r="R3" s="56"/>
      <c r="S3" s="56"/>
      <c r="T3" s="56"/>
    </row>
    <row r="4" spans="1:28" ht="140.15" customHeight="1" x14ac:dyDescent="0.25">
      <c r="D4" s="57"/>
      <c r="E4" s="58"/>
      <c r="F4" s="59" t="s">
        <v>63</v>
      </c>
      <c r="G4" s="60" t="s">
        <v>405</v>
      </c>
      <c r="H4" s="61" t="s">
        <v>444</v>
      </c>
      <c r="I4" s="62" t="s">
        <v>407</v>
      </c>
      <c r="J4" s="170"/>
      <c r="K4" s="478" t="s">
        <v>445</v>
      </c>
      <c r="L4" s="479" t="s">
        <v>446</v>
      </c>
      <c r="M4" s="480"/>
      <c r="N4" s="480" t="s">
        <v>447</v>
      </c>
      <c r="O4" s="480" t="s">
        <v>448</v>
      </c>
      <c r="P4" s="480" t="s">
        <v>449</v>
      </c>
      <c r="Q4" s="481" t="s">
        <v>450</v>
      </c>
      <c r="R4" s="182"/>
      <c r="S4" s="54"/>
    </row>
    <row r="5" spans="1:28" ht="19.5" customHeight="1" x14ac:dyDescent="0.25">
      <c r="B5" s="1164" t="s">
        <v>62</v>
      </c>
      <c r="C5" s="66" t="s">
        <v>273</v>
      </c>
      <c r="D5" s="67">
        <v>0</v>
      </c>
      <c r="E5" s="68">
        <v>1</v>
      </c>
      <c r="F5" s="120" t="str">
        <f>BEGINBLAD!C4</f>
        <v>leerling 1</v>
      </c>
      <c r="G5" s="70">
        <f>'NIVEAU WAARDE - vorig jaar'!H9</f>
        <v>4.2</v>
      </c>
      <c r="H5" s="71">
        <f>'NIVEAU WAARDE - 1e toetsperiode'!H9</f>
        <v>4.4000000000000004</v>
      </c>
      <c r="I5" s="72" t="str">
        <f>IF(H5=0,"",IF(H5&gt;4.5,"A-1+",IF(H5&gt;4.2,"A-1",IF(H5&gt;=4,"A-2",IF(H5&gt;3.4,"B-2",IF(H5&gt;=3,"B-3",IF(H5&gt;2.5,"C-3",IF(H5&gt;=2,"C-4",IF(H5&gt;1.6,"D-4",IF(H5&gt;=1,"D-5",IF(H5&gt;0.5,"E-5",IF(H5&gt;=0,"E-5-"))))))))))))</f>
        <v>A-1</v>
      </c>
      <c r="J5" s="171" t="str">
        <f>IF(H5=0,"",IF(G5-H5&gt;0.5,"!",IF(H5-G5&gt;0.5,"*",IF(H5-G5&lt;=0.5,""))))</f>
        <v/>
      </c>
      <c r="K5" s="262" t="s">
        <v>399</v>
      </c>
      <c r="L5" s="261" t="s">
        <v>386</v>
      </c>
      <c r="M5" s="261"/>
      <c r="N5" s="500" t="s">
        <v>399</v>
      </c>
      <c r="O5" s="500" t="s">
        <v>386</v>
      </c>
      <c r="P5" s="500" t="s">
        <v>386</v>
      </c>
      <c r="Q5" s="298"/>
      <c r="R5" s="171" t="b">
        <f>IF(K5="o","!",IF(L5="o","!",IF(M5="o","!",IF(N5="o","!",IF(O5="o","!",IF(P5="o","!",IF(Q5="o","!")))))))</f>
        <v>0</v>
      </c>
      <c r="S5" s="75"/>
    </row>
    <row r="6" spans="1:28" ht="19.5" customHeight="1" x14ac:dyDescent="0.25">
      <c r="B6" s="1164"/>
      <c r="C6" s="76" t="s">
        <v>274</v>
      </c>
      <c r="D6" s="67">
        <v>0</v>
      </c>
      <c r="E6" s="68">
        <v>2</v>
      </c>
      <c r="F6" s="69" t="str">
        <f>BEGINBLAD!C5</f>
        <v>leerling 2</v>
      </c>
      <c r="G6" s="70">
        <f>'NIVEAU WAARDE - vorig jaar'!H10</f>
        <v>4.8</v>
      </c>
      <c r="H6" s="71">
        <f>'NIVEAU WAARDE - 1e toetsperiode'!H10</f>
        <v>4.7</v>
      </c>
      <c r="I6" s="72" t="str">
        <f t="shared" ref="I6:I40" si="0">IF(H6=0,"",IF(H6&gt;4.5,"A-1+",IF(H6&gt;4.2,"A-1",IF(H6&gt;=4,"A-2",IF(H6&gt;3.4,"B-2",IF(H6&gt;=3,"B-3",IF(H6&gt;2.5,"C-3",IF(H6&gt;=2,"C-4",IF(H6&gt;1.6,"D-4",IF(H6&gt;=1,"D-5",IF(H6&gt;0.5,"E-5",IF(H6&gt;=0,"E-5-"))))))))))))</f>
        <v>A-1+</v>
      </c>
      <c r="J6" s="171" t="str">
        <f t="shared" ref="J6:J40" si="1">IF(H6=0,"",IF(G6-H6&gt;0.5,"!",IF(H6-G6&gt;0.5,"*",IF(H6-G6&lt;=0.5,""))))</f>
        <v/>
      </c>
      <c r="K6" s="262" t="s">
        <v>399</v>
      </c>
      <c r="L6" s="261" t="s">
        <v>390</v>
      </c>
      <c r="M6" s="261"/>
      <c r="N6" s="500" t="s">
        <v>399</v>
      </c>
      <c r="O6" s="500" t="s">
        <v>399</v>
      </c>
      <c r="P6" s="500" t="s">
        <v>399</v>
      </c>
      <c r="Q6" s="298"/>
      <c r="R6" s="171" t="b">
        <f t="shared" ref="R6:R40" si="2">IF(K6="o","!",IF(L6="o","!",IF(M6="o","!",IF(N6="o","!",IF(O6="o","!",IF(P6="o","!",IF(Q6="o","!")))))))</f>
        <v>0</v>
      </c>
      <c r="S6" s="75"/>
      <c r="V6" s="106"/>
      <c r="W6" s="106"/>
      <c r="X6" s="106"/>
      <c r="Y6" s="106"/>
      <c r="Z6" s="106"/>
    </row>
    <row r="7" spans="1:28" ht="19.5" customHeight="1" x14ac:dyDescent="0.25">
      <c r="A7" s="77"/>
      <c r="B7" s="257"/>
      <c r="C7" s="259"/>
      <c r="D7" s="67">
        <v>0</v>
      </c>
      <c r="E7" s="68">
        <v>3</v>
      </c>
      <c r="F7" s="69" t="str">
        <f>BEGINBLAD!C6</f>
        <v>leerling 3</v>
      </c>
      <c r="G7" s="70">
        <f>'NIVEAU WAARDE - vorig jaar'!H11</f>
        <v>4.9000000000000004</v>
      </c>
      <c r="H7" s="71">
        <f>'NIVEAU WAARDE - 1e toetsperiode'!H11</f>
        <v>4.5999999999999996</v>
      </c>
      <c r="I7" s="72" t="str">
        <f t="shared" si="0"/>
        <v>A-1+</v>
      </c>
      <c r="J7" s="171" t="str">
        <f t="shared" si="1"/>
        <v/>
      </c>
      <c r="K7" s="262" t="s">
        <v>399</v>
      </c>
      <c r="L7" s="261" t="s">
        <v>390</v>
      </c>
      <c r="M7" s="261"/>
      <c r="N7" s="500" t="s">
        <v>399</v>
      </c>
      <c r="O7" s="500" t="s">
        <v>399</v>
      </c>
      <c r="P7" s="500" t="s">
        <v>399</v>
      </c>
      <c r="Q7" s="298"/>
      <c r="R7" s="171" t="b">
        <f t="shared" si="2"/>
        <v>0</v>
      </c>
      <c r="S7" s="75"/>
      <c r="V7" s="107"/>
      <c r="W7" s="107"/>
      <c r="X7" s="107"/>
      <c r="Y7" s="107"/>
      <c r="Z7" s="107"/>
    </row>
    <row r="8" spans="1:28" ht="19.5" customHeight="1" x14ac:dyDescent="0.25">
      <c r="A8" s="77"/>
      <c r="B8" s="257"/>
      <c r="C8" s="259"/>
      <c r="D8" s="80">
        <v>0</v>
      </c>
      <c r="E8" s="68">
        <v>4</v>
      </c>
      <c r="F8" s="69" t="str">
        <f>BEGINBLAD!C7</f>
        <v>leerling 4</v>
      </c>
      <c r="G8" s="70">
        <f>'NIVEAU WAARDE - vorig jaar'!H12</f>
        <v>4.9000000000000004</v>
      </c>
      <c r="H8" s="71">
        <f>'NIVEAU WAARDE - 1e toetsperiode'!H12</f>
        <v>4.5999999999999996</v>
      </c>
      <c r="I8" s="72" t="str">
        <f t="shared" si="0"/>
        <v>A-1+</v>
      </c>
      <c r="J8" s="171" t="str">
        <f t="shared" si="1"/>
        <v/>
      </c>
      <c r="K8" s="262" t="s">
        <v>399</v>
      </c>
      <c r="L8" s="261" t="s">
        <v>399</v>
      </c>
      <c r="M8" s="261"/>
      <c r="N8" s="475" t="s">
        <v>399</v>
      </c>
      <c r="O8" s="475" t="s">
        <v>399</v>
      </c>
      <c r="P8" s="475" t="s">
        <v>399</v>
      </c>
      <c r="Q8" s="263"/>
      <c r="R8" s="171" t="b">
        <f t="shared" si="2"/>
        <v>0</v>
      </c>
      <c r="S8" s="82"/>
      <c r="V8" s="107"/>
      <c r="W8" s="107"/>
      <c r="X8" s="107"/>
      <c r="Y8" s="107"/>
      <c r="Z8" s="107"/>
    </row>
    <row r="9" spans="1:28" ht="19.5" customHeight="1" x14ac:dyDescent="0.25">
      <c r="A9" s="77"/>
      <c r="B9" s="257"/>
      <c r="C9" s="259"/>
      <c r="D9" s="83">
        <v>0</v>
      </c>
      <c r="E9" s="68">
        <v>5</v>
      </c>
      <c r="F9" s="69" t="str">
        <f>BEGINBLAD!C8</f>
        <v>leerling 5</v>
      </c>
      <c r="G9" s="70">
        <f>'NIVEAU WAARDE - vorig jaar'!H13</f>
        <v>4.4000000000000004</v>
      </c>
      <c r="H9" s="71">
        <f>'NIVEAU WAARDE - 1e toetsperiode'!H13</f>
        <v>3</v>
      </c>
      <c r="I9" s="72" t="str">
        <f t="shared" si="0"/>
        <v>B-3</v>
      </c>
      <c r="J9" s="171" t="str">
        <f t="shared" si="1"/>
        <v>!</v>
      </c>
      <c r="K9" s="262" t="s">
        <v>399</v>
      </c>
      <c r="L9" s="261" t="s">
        <v>390</v>
      </c>
      <c r="M9" s="261"/>
      <c r="N9" s="475" t="s">
        <v>399</v>
      </c>
      <c r="O9" s="475" t="s">
        <v>399</v>
      </c>
      <c r="P9" s="475" t="s">
        <v>399</v>
      </c>
      <c r="Q9" s="263"/>
      <c r="R9" s="171" t="b">
        <f t="shared" si="2"/>
        <v>0</v>
      </c>
      <c r="S9" s="84"/>
      <c r="V9" s="107"/>
      <c r="W9" s="107"/>
      <c r="X9" s="107"/>
      <c r="Y9" s="107"/>
      <c r="Z9" s="107"/>
    </row>
    <row r="10" spans="1:28" ht="19.5" customHeight="1" x14ac:dyDescent="0.25">
      <c r="A10" s="77"/>
      <c r="B10" s="257"/>
      <c r="C10" s="259"/>
      <c r="D10" s="85">
        <v>0</v>
      </c>
      <c r="E10" s="68">
        <v>6</v>
      </c>
      <c r="F10" s="69" t="str">
        <f>BEGINBLAD!C9</f>
        <v>leerling 6</v>
      </c>
      <c r="G10" s="70">
        <f>'NIVEAU WAARDE - vorig jaar'!H14</f>
        <v>4.5</v>
      </c>
      <c r="H10" s="71">
        <f>'NIVEAU WAARDE - 1e toetsperiode'!H14</f>
        <v>4.3</v>
      </c>
      <c r="I10" s="72" t="str">
        <f t="shared" si="0"/>
        <v>A-1</v>
      </c>
      <c r="J10" s="171" t="str">
        <f t="shared" si="1"/>
        <v/>
      </c>
      <c r="K10" s="262" t="s">
        <v>399</v>
      </c>
      <c r="L10" s="261" t="s">
        <v>399</v>
      </c>
      <c r="M10" s="261"/>
      <c r="N10" s="475" t="s">
        <v>399</v>
      </c>
      <c r="O10" s="475" t="s">
        <v>390</v>
      </c>
      <c r="P10" s="475" t="s">
        <v>399</v>
      </c>
      <c r="Q10" s="263"/>
      <c r="R10" s="171" t="b">
        <f t="shared" si="2"/>
        <v>0</v>
      </c>
      <c r="S10" s="86"/>
      <c r="V10" s="107"/>
      <c r="W10" s="107"/>
      <c r="X10" s="107"/>
      <c r="Y10" s="107"/>
      <c r="Z10" s="107"/>
    </row>
    <row r="11" spans="1:28" ht="19.5" customHeight="1" x14ac:dyDescent="0.25">
      <c r="A11" s="77"/>
      <c r="B11" s="257"/>
      <c r="C11" s="259"/>
      <c r="D11" s="85">
        <v>0</v>
      </c>
      <c r="E11" s="68">
        <v>7</v>
      </c>
      <c r="F11" s="69" t="str">
        <f>BEGINBLAD!C10</f>
        <v>leerling 7</v>
      </c>
      <c r="G11" s="70">
        <f>'NIVEAU WAARDE - vorig jaar'!H15</f>
        <v>2.5</v>
      </c>
      <c r="H11" s="71">
        <f>'NIVEAU WAARDE - 1e toetsperiode'!H15</f>
        <v>2.8</v>
      </c>
      <c r="I11" s="72" t="str">
        <f t="shared" si="0"/>
        <v>C-3</v>
      </c>
      <c r="J11" s="171" t="str">
        <f t="shared" si="1"/>
        <v/>
      </c>
      <c r="K11" s="262" t="s">
        <v>390</v>
      </c>
      <c r="L11" s="261" t="s">
        <v>370</v>
      </c>
      <c r="M11" s="261"/>
      <c r="N11" s="475" t="s">
        <v>399</v>
      </c>
      <c r="O11" s="475" t="s">
        <v>386</v>
      </c>
      <c r="P11" s="475" t="s">
        <v>370</v>
      </c>
      <c r="Q11" s="263"/>
      <c r="R11" s="171" t="str">
        <f t="shared" si="2"/>
        <v>!</v>
      </c>
      <c r="S11" s="56"/>
      <c r="V11" s="107"/>
      <c r="W11" s="107"/>
      <c r="X11" s="107"/>
      <c r="Y11" s="107"/>
      <c r="Z11" s="107"/>
    </row>
    <row r="12" spans="1:28" ht="19.5" customHeight="1" x14ac:dyDescent="0.25">
      <c r="A12" s="77"/>
      <c r="B12" s="257"/>
      <c r="C12" s="259"/>
      <c r="D12" s="67">
        <v>0</v>
      </c>
      <c r="E12" s="68">
        <v>8</v>
      </c>
      <c r="F12" s="69" t="str">
        <f>BEGINBLAD!C11</f>
        <v>leerling 8</v>
      </c>
      <c r="G12" s="70">
        <f>'NIVEAU WAARDE - vorig jaar'!H16</f>
        <v>3.2</v>
      </c>
      <c r="H12" s="71">
        <f>'NIVEAU WAARDE - 1e toetsperiode'!H16</f>
        <v>3.3</v>
      </c>
      <c r="I12" s="72" t="str">
        <f t="shared" si="0"/>
        <v>B-3</v>
      </c>
      <c r="J12" s="171" t="str">
        <f t="shared" si="1"/>
        <v/>
      </c>
      <c r="K12" s="262" t="s">
        <v>399</v>
      </c>
      <c r="L12" s="261" t="s">
        <v>399</v>
      </c>
      <c r="M12" s="261"/>
      <c r="N12" s="475" t="s">
        <v>390</v>
      </c>
      <c r="O12" s="475" t="s">
        <v>399</v>
      </c>
      <c r="P12" s="475" t="s">
        <v>390</v>
      </c>
      <c r="Q12" s="263"/>
      <c r="R12" s="171" t="b">
        <f t="shared" si="2"/>
        <v>0</v>
      </c>
      <c r="S12" s="54"/>
      <c r="V12" s="107"/>
      <c r="W12" s="107"/>
      <c r="X12" s="107"/>
      <c r="Y12" s="107"/>
      <c r="Z12" s="107"/>
    </row>
    <row r="13" spans="1:28" ht="19.5" customHeight="1" x14ac:dyDescent="0.25">
      <c r="A13" s="77"/>
      <c r="B13" s="257"/>
      <c r="C13" s="259"/>
      <c r="D13" s="67">
        <v>0</v>
      </c>
      <c r="E13" s="68">
        <v>9</v>
      </c>
      <c r="F13" s="69">
        <f>BEGINBLAD!C12</f>
        <v>0</v>
      </c>
      <c r="G13" s="70">
        <f>'NIVEAU WAARDE - vorig jaar'!H17</f>
        <v>0</v>
      </c>
      <c r="H13" s="71">
        <f>'NIVEAU WAARDE - 1e toetsperiode'!H17</f>
        <v>0</v>
      </c>
      <c r="I13" s="72" t="str">
        <f t="shared" si="0"/>
        <v/>
      </c>
      <c r="J13" s="171" t="str">
        <f t="shared" si="1"/>
        <v/>
      </c>
      <c r="K13" s="262"/>
      <c r="L13" s="261"/>
      <c r="M13" s="261"/>
      <c r="N13" s="475"/>
      <c r="O13" s="475"/>
      <c r="P13" s="475"/>
      <c r="Q13" s="263"/>
      <c r="R13" s="171" t="b">
        <f t="shared" si="2"/>
        <v>0</v>
      </c>
      <c r="S13" s="75"/>
      <c r="V13" s="108"/>
      <c r="W13" s="108"/>
      <c r="X13" s="108"/>
      <c r="Y13" s="108"/>
      <c r="Z13" s="108"/>
    </row>
    <row r="14" spans="1:28" ht="19.5" customHeight="1" thickBot="1" x14ac:dyDescent="0.3">
      <c r="A14" s="77"/>
      <c r="B14" s="257"/>
      <c r="C14" s="259"/>
      <c r="D14" s="67">
        <v>0</v>
      </c>
      <c r="E14" s="68">
        <v>10</v>
      </c>
      <c r="F14" s="69">
        <f>BEGINBLAD!C13</f>
        <v>0</v>
      </c>
      <c r="G14" s="70">
        <f>'NIVEAU WAARDE - vorig jaar'!H18</f>
        <v>0</v>
      </c>
      <c r="H14" s="71">
        <f>'NIVEAU WAARDE - 1e toetsperiode'!H18</f>
        <v>0</v>
      </c>
      <c r="I14" s="72" t="str">
        <f t="shared" si="0"/>
        <v/>
      </c>
      <c r="J14" s="171" t="str">
        <f t="shared" si="1"/>
        <v/>
      </c>
      <c r="K14" s="262"/>
      <c r="L14" s="261"/>
      <c r="M14" s="261"/>
      <c r="N14" s="475"/>
      <c r="O14" s="475"/>
      <c r="P14" s="475"/>
      <c r="Q14" s="263"/>
      <c r="R14" s="171" t="b">
        <f t="shared" si="2"/>
        <v>0</v>
      </c>
      <c r="S14" s="82"/>
      <c r="T14" s="54" t="s">
        <v>415</v>
      </c>
      <c r="V14" s="108"/>
      <c r="W14" s="108"/>
      <c r="X14" s="108"/>
      <c r="Y14" s="108"/>
      <c r="Z14" s="108"/>
    </row>
    <row r="15" spans="1:28" ht="19.5" customHeight="1" x14ac:dyDescent="0.25">
      <c r="A15" s="77"/>
      <c r="B15" s="78"/>
      <c r="C15" s="868"/>
      <c r="D15" s="67">
        <v>0</v>
      </c>
      <c r="E15" s="68">
        <v>11</v>
      </c>
      <c r="F15" s="69">
        <f>BEGINBLAD!C14</f>
        <v>0</v>
      </c>
      <c r="G15" s="70">
        <f>'NIVEAU WAARDE - vorig jaar'!H19</f>
        <v>0</v>
      </c>
      <c r="H15" s="71">
        <f>'NIVEAU WAARDE - 1e toetsperiode'!H19</f>
        <v>0</v>
      </c>
      <c r="I15" s="72" t="str">
        <f t="shared" si="0"/>
        <v/>
      </c>
      <c r="J15" s="171" t="str">
        <f t="shared" si="1"/>
        <v/>
      </c>
      <c r="K15" s="262"/>
      <c r="L15" s="261"/>
      <c r="M15" s="261"/>
      <c r="N15" s="475"/>
      <c r="O15" s="475"/>
      <c r="P15" s="475"/>
      <c r="Q15" s="263"/>
      <c r="R15" s="171" t="b">
        <f t="shared" si="2"/>
        <v>0</v>
      </c>
      <c r="S15" s="1229" t="s">
        <v>208</v>
      </c>
      <c r="T15" s="1231">
        <f>'INTENSIEF - 1e periode'!I6</f>
        <v>0</v>
      </c>
      <c r="V15" s="108"/>
      <c r="W15" s="108"/>
      <c r="X15" s="108"/>
      <c r="Y15" s="108"/>
      <c r="Z15" s="108"/>
    </row>
    <row r="16" spans="1:28" ht="19.5" customHeight="1" x14ac:dyDescent="0.25">
      <c r="A16" s="77"/>
      <c r="B16" s="78"/>
      <c r="C16" s="868"/>
      <c r="D16" s="67">
        <v>0</v>
      </c>
      <c r="E16" s="68">
        <v>12</v>
      </c>
      <c r="F16" s="69">
        <f>BEGINBLAD!C15</f>
        <v>0</v>
      </c>
      <c r="G16" s="70">
        <f>'NIVEAU WAARDE - vorig jaar'!H20</f>
        <v>0</v>
      </c>
      <c r="H16" s="71">
        <f>'NIVEAU WAARDE - 1e toetsperiode'!H20</f>
        <v>0</v>
      </c>
      <c r="I16" s="72" t="str">
        <f t="shared" si="0"/>
        <v/>
      </c>
      <c r="J16" s="171" t="str">
        <f t="shared" si="1"/>
        <v/>
      </c>
      <c r="K16" s="262"/>
      <c r="L16" s="261"/>
      <c r="M16" s="261"/>
      <c r="N16" s="475"/>
      <c r="O16" s="475"/>
      <c r="P16" s="475"/>
      <c r="Q16" s="263"/>
      <c r="R16" s="171" t="b">
        <f t="shared" si="2"/>
        <v>0</v>
      </c>
      <c r="S16" s="1230"/>
      <c r="T16" s="1232"/>
      <c r="V16" s="108"/>
      <c r="W16" s="108"/>
      <c r="X16" s="108"/>
      <c r="Y16" s="108"/>
      <c r="Z16" s="108"/>
    </row>
    <row r="17" spans="1:28" ht="19.5" customHeight="1" x14ac:dyDescent="0.25">
      <c r="A17" s="77"/>
      <c r="B17" s="78"/>
      <c r="C17" s="868"/>
      <c r="D17" s="80">
        <v>0</v>
      </c>
      <c r="E17" s="68">
        <v>13</v>
      </c>
      <c r="F17" s="69">
        <f>BEGINBLAD!C16</f>
        <v>0</v>
      </c>
      <c r="G17" s="70">
        <f>'NIVEAU WAARDE - vorig jaar'!H21</f>
        <v>0</v>
      </c>
      <c r="H17" s="71">
        <f>'NIVEAU WAARDE - 1e toetsperiode'!H21</f>
        <v>0</v>
      </c>
      <c r="I17" s="72" t="str">
        <f t="shared" si="0"/>
        <v/>
      </c>
      <c r="J17" s="171" t="str">
        <f t="shared" si="1"/>
        <v/>
      </c>
      <c r="K17" s="262"/>
      <c r="L17" s="261"/>
      <c r="M17" s="261"/>
      <c r="N17" s="475"/>
      <c r="O17" s="475"/>
      <c r="P17" s="475"/>
      <c r="Q17" s="263"/>
      <c r="R17" s="171" t="b">
        <f t="shared" si="2"/>
        <v>0</v>
      </c>
      <c r="S17" s="1260" t="s">
        <v>210</v>
      </c>
      <c r="T17" s="1258">
        <f>'INTENSIEF - 1e periode'!I8</f>
        <v>0</v>
      </c>
    </row>
    <row r="18" spans="1:28" ht="19.5" customHeight="1" x14ac:dyDescent="0.25">
      <c r="A18" s="77"/>
      <c r="B18" s="78"/>
      <c r="C18" s="868"/>
      <c r="D18" s="85">
        <v>0</v>
      </c>
      <c r="E18" s="68">
        <v>14</v>
      </c>
      <c r="F18" s="69">
        <f>BEGINBLAD!C17</f>
        <v>0</v>
      </c>
      <c r="G18" s="70">
        <f>'NIVEAU WAARDE - vorig jaar'!H22</f>
        <v>0</v>
      </c>
      <c r="H18" s="71">
        <f>'NIVEAU WAARDE - 1e toetsperiode'!H22</f>
        <v>0</v>
      </c>
      <c r="I18" s="72" t="str">
        <f t="shared" si="0"/>
        <v/>
      </c>
      <c r="J18" s="171" t="str">
        <f t="shared" si="1"/>
        <v/>
      </c>
      <c r="K18" s="262"/>
      <c r="L18" s="261"/>
      <c r="M18" s="261"/>
      <c r="N18" s="475"/>
      <c r="O18" s="475"/>
      <c r="P18" s="475"/>
      <c r="Q18" s="263"/>
      <c r="R18" s="171" t="b">
        <f t="shared" si="2"/>
        <v>0</v>
      </c>
      <c r="S18" s="1260"/>
      <c r="T18" s="1258"/>
    </row>
    <row r="19" spans="1:28" ht="19.5" customHeight="1" x14ac:dyDescent="0.3">
      <c r="D19" s="85">
        <v>0</v>
      </c>
      <c r="E19" s="68">
        <v>15</v>
      </c>
      <c r="F19" s="69">
        <f>BEGINBLAD!C18</f>
        <v>0</v>
      </c>
      <c r="G19" s="70">
        <f>'NIVEAU WAARDE - vorig jaar'!H23</f>
        <v>0</v>
      </c>
      <c r="H19" s="71">
        <f>'NIVEAU WAARDE - 1e toetsperiode'!H23</f>
        <v>0</v>
      </c>
      <c r="I19" s="72" t="str">
        <f t="shared" si="0"/>
        <v/>
      </c>
      <c r="J19" s="171" t="str">
        <f t="shared" si="1"/>
        <v/>
      </c>
      <c r="K19" s="262"/>
      <c r="L19" s="261"/>
      <c r="M19" s="261"/>
      <c r="N19" s="475"/>
      <c r="O19" s="475"/>
      <c r="P19" s="475"/>
      <c r="Q19" s="263"/>
      <c r="R19" s="171" t="b">
        <f t="shared" si="2"/>
        <v>0</v>
      </c>
      <c r="S19" s="1260"/>
      <c r="T19" s="1258"/>
      <c r="Y19" s="88"/>
      <c r="Z19" s="88"/>
      <c r="AA19" s="88"/>
      <c r="AB19" s="88"/>
    </row>
    <row r="20" spans="1:28" ht="19.5" customHeight="1" x14ac:dyDescent="0.25">
      <c r="D20" s="85">
        <v>0</v>
      </c>
      <c r="E20" s="68">
        <v>16</v>
      </c>
      <c r="F20" s="69">
        <f>BEGINBLAD!C19</f>
        <v>0</v>
      </c>
      <c r="G20" s="70">
        <f>'NIVEAU WAARDE - vorig jaar'!H24</f>
        <v>0</v>
      </c>
      <c r="H20" s="71">
        <f>'NIVEAU WAARDE - 1e toetsperiode'!H24</f>
        <v>0</v>
      </c>
      <c r="I20" s="72" t="str">
        <f t="shared" si="0"/>
        <v/>
      </c>
      <c r="J20" s="171" t="str">
        <f t="shared" si="1"/>
        <v/>
      </c>
      <c r="K20" s="262"/>
      <c r="L20" s="261"/>
      <c r="M20" s="261"/>
      <c r="N20" s="475"/>
      <c r="O20" s="475"/>
      <c r="P20" s="475"/>
      <c r="Q20" s="263"/>
      <c r="R20" s="171" t="b">
        <f t="shared" si="2"/>
        <v>0</v>
      </c>
      <c r="S20" s="1260"/>
      <c r="T20" s="1258"/>
    </row>
    <row r="21" spans="1:28" ht="19.5" customHeight="1" x14ac:dyDescent="0.25">
      <c r="D21" s="85">
        <v>0</v>
      </c>
      <c r="E21" s="68">
        <v>17</v>
      </c>
      <c r="F21" s="69">
        <f>BEGINBLAD!C20</f>
        <v>0</v>
      </c>
      <c r="G21" s="70">
        <f>'NIVEAU WAARDE - vorig jaar'!H25</f>
        <v>0</v>
      </c>
      <c r="H21" s="71">
        <f>'NIVEAU WAARDE - 1e toetsperiode'!H25</f>
        <v>0</v>
      </c>
      <c r="I21" s="72" t="str">
        <f t="shared" si="0"/>
        <v/>
      </c>
      <c r="J21" s="171" t="str">
        <f t="shared" si="1"/>
        <v/>
      </c>
      <c r="K21" s="262"/>
      <c r="L21" s="261"/>
      <c r="M21" s="261"/>
      <c r="N21" s="475"/>
      <c r="O21" s="475"/>
      <c r="P21" s="475"/>
      <c r="Q21" s="263"/>
      <c r="R21" s="171" t="b">
        <f t="shared" si="2"/>
        <v>0</v>
      </c>
      <c r="S21" s="1260"/>
      <c r="T21" s="1258"/>
    </row>
    <row r="22" spans="1:28" ht="19.5" customHeight="1" x14ac:dyDescent="0.25">
      <c r="D22" s="85">
        <v>0</v>
      </c>
      <c r="E22" s="68">
        <v>18</v>
      </c>
      <c r="F22" s="69">
        <f>BEGINBLAD!C21</f>
        <v>0</v>
      </c>
      <c r="G22" s="70">
        <f>'NIVEAU WAARDE - vorig jaar'!H26</f>
        <v>0</v>
      </c>
      <c r="H22" s="71">
        <f>'NIVEAU WAARDE - 1e toetsperiode'!H26</f>
        <v>0</v>
      </c>
      <c r="I22" s="72" t="str">
        <f t="shared" si="0"/>
        <v/>
      </c>
      <c r="J22" s="171" t="str">
        <f t="shared" si="1"/>
        <v/>
      </c>
      <c r="K22" s="262"/>
      <c r="L22" s="261"/>
      <c r="M22" s="261"/>
      <c r="N22" s="475"/>
      <c r="O22" s="475"/>
      <c r="P22" s="475"/>
      <c r="Q22" s="263"/>
      <c r="R22" s="171" t="b">
        <f t="shared" si="2"/>
        <v>0</v>
      </c>
      <c r="S22" s="1260"/>
      <c r="T22" s="1258"/>
    </row>
    <row r="23" spans="1:28" ht="19.5" customHeight="1" x14ac:dyDescent="0.25">
      <c r="B23" s="53"/>
      <c r="C23" s="53"/>
      <c r="D23" s="85">
        <v>0</v>
      </c>
      <c r="E23" s="68">
        <v>19</v>
      </c>
      <c r="F23" s="69">
        <f>BEGINBLAD!C22</f>
        <v>0</v>
      </c>
      <c r="G23" s="70">
        <f>'NIVEAU WAARDE - vorig jaar'!H27</f>
        <v>0</v>
      </c>
      <c r="H23" s="71">
        <f>'NIVEAU WAARDE - 1e toetsperiode'!H27</f>
        <v>0</v>
      </c>
      <c r="I23" s="72" t="str">
        <f t="shared" si="0"/>
        <v/>
      </c>
      <c r="J23" s="171" t="str">
        <f t="shared" si="1"/>
        <v/>
      </c>
      <c r="K23" s="262"/>
      <c r="L23" s="261"/>
      <c r="M23" s="261"/>
      <c r="N23" s="475"/>
      <c r="O23" s="475"/>
      <c r="P23" s="475"/>
      <c r="Q23" s="263"/>
      <c r="R23" s="171" t="b">
        <f t="shared" si="2"/>
        <v>0</v>
      </c>
      <c r="S23" s="1260"/>
      <c r="T23" s="1258"/>
    </row>
    <row r="24" spans="1:28" ht="19.5" customHeight="1" thickBot="1" x14ac:dyDescent="0.3">
      <c r="B24" s="89"/>
      <c r="C24" s="53"/>
      <c r="D24" s="85">
        <v>0</v>
      </c>
      <c r="E24" s="68">
        <v>20</v>
      </c>
      <c r="F24" s="69">
        <f>BEGINBLAD!C23</f>
        <v>0</v>
      </c>
      <c r="G24" s="70">
        <f>'NIVEAU WAARDE - vorig jaar'!H28</f>
        <v>0</v>
      </c>
      <c r="H24" s="71">
        <f>'NIVEAU WAARDE - 1e toetsperiode'!H28</f>
        <v>0</v>
      </c>
      <c r="I24" s="72" t="str">
        <f t="shared" si="0"/>
        <v/>
      </c>
      <c r="J24" s="171" t="str">
        <f t="shared" si="1"/>
        <v/>
      </c>
      <c r="K24" s="262"/>
      <c r="L24" s="261"/>
      <c r="M24" s="261"/>
      <c r="N24" s="475"/>
      <c r="O24" s="475"/>
      <c r="P24" s="475"/>
      <c r="Q24" s="263"/>
      <c r="R24" s="171" t="b">
        <f t="shared" si="2"/>
        <v>0</v>
      </c>
      <c r="S24" s="1261"/>
      <c r="T24" s="1259"/>
    </row>
    <row r="25" spans="1:28" ht="19.5" customHeight="1" thickBot="1" x14ac:dyDescent="0.3">
      <c r="B25" s="89"/>
      <c r="C25" s="53"/>
      <c r="D25" s="85">
        <v>0</v>
      </c>
      <c r="E25" s="68">
        <v>21</v>
      </c>
      <c r="F25" s="69">
        <f>BEGINBLAD!C24</f>
        <v>0</v>
      </c>
      <c r="G25" s="70">
        <f>'NIVEAU WAARDE - vorig jaar'!H29</f>
        <v>0</v>
      </c>
      <c r="H25" s="71">
        <f>'NIVEAU WAARDE - 1e toetsperiode'!H29</f>
        <v>0</v>
      </c>
      <c r="I25" s="72" t="str">
        <f t="shared" si="0"/>
        <v/>
      </c>
      <c r="J25" s="171" t="str">
        <f t="shared" si="1"/>
        <v/>
      </c>
      <c r="K25" s="262"/>
      <c r="L25" s="261"/>
      <c r="M25" s="261"/>
      <c r="N25" s="475"/>
      <c r="O25" s="475"/>
      <c r="P25" s="475"/>
      <c r="Q25" s="263"/>
      <c r="R25" s="171" t="b">
        <f t="shared" si="2"/>
        <v>0</v>
      </c>
      <c r="S25" s="82"/>
      <c r="T25" s="54" t="s">
        <v>416</v>
      </c>
    </row>
    <row r="26" spans="1:28" ht="19.5" customHeight="1" x14ac:dyDescent="0.25">
      <c r="D26" s="85">
        <v>0</v>
      </c>
      <c r="E26" s="68">
        <v>22</v>
      </c>
      <c r="F26" s="69">
        <f>BEGINBLAD!C25</f>
        <v>0</v>
      </c>
      <c r="G26" s="70">
        <f>'NIVEAU WAARDE - vorig jaar'!H30</f>
        <v>0</v>
      </c>
      <c r="H26" s="71">
        <f>'NIVEAU WAARDE - 1e toetsperiode'!H30</f>
        <v>0</v>
      </c>
      <c r="I26" s="72" t="str">
        <f t="shared" si="0"/>
        <v/>
      </c>
      <c r="J26" s="171" t="str">
        <f t="shared" si="1"/>
        <v/>
      </c>
      <c r="K26" s="262"/>
      <c r="L26" s="261"/>
      <c r="M26" s="261"/>
      <c r="N26" s="475"/>
      <c r="O26" s="475"/>
      <c r="P26" s="475"/>
      <c r="Q26" s="263"/>
      <c r="R26" s="171" t="b">
        <f t="shared" si="2"/>
        <v>0</v>
      </c>
      <c r="S26" s="1229" t="s">
        <v>208</v>
      </c>
      <c r="T26" s="1231" t="str">
        <f>'BASISAANPAK - 1e periode'!I6</f>
        <v>niveau DLE-rekenen moet voldoende scoren (C-niveau = onvoldoende)</v>
      </c>
    </row>
    <row r="27" spans="1:28" s="92" customFormat="1" ht="19.5" customHeight="1" x14ac:dyDescent="0.55000000000000004">
      <c r="A27" s="51"/>
      <c r="B27" s="1164" t="s">
        <v>62</v>
      </c>
      <c r="C27" s="66" t="s">
        <v>275</v>
      </c>
      <c r="D27" s="80">
        <v>0</v>
      </c>
      <c r="E27" s="68">
        <v>23</v>
      </c>
      <c r="F27" s="69">
        <f>BEGINBLAD!C26</f>
        <v>0</v>
      </c>
      <c r="G27" s="70">
        <f>'NIVEAU WAARDE - vorig jaar'!H31</f>
        <v>0</v>
      </c>
      <c r="H27" s="71">
        <f>'NIVEAU WAARDE - 1e toetsperiode'!H31</f>
        <v>0</v>
      </c>
      <c r="I27" s="72" t="str">
        <f t="shared" si="0"/>
        <v/>
      </c>
      <c r="J27" s="171" t="str">
        <f t="shared" si="1"/>
        <v/>
      </c>
      <c r="K27" s="262"/>
      <c r="L27" s="261"/>
      <c r="M27" s="261"/>
      <c r="N27" s="475"/>
      <c r="O27" s="475"/>
      <c r="P27" s="475"/>
      <c r="Q27" s="263"/>
      <c r="R27" s="171" t="b">
        <f t="shared" si="2"/>
        <v>0</v>
      </c>
      <c r="S27" s="1230"/>
      <c r="T27" s="1232"/>
      <c r="U27" s="91"/>
      <c r="V27" s="91"/>
      <c r="W27" s="91"/>
      <c r="X27" s="91"/>
      <c r="Y27" s="91"/>
      <c r="Z27" s="91"/>
      <c r="AA27" s="91"/>
    </row>
    <row r="28" spans="1:28" ht="19.5" customHeight="1" x14ac:dyDescent="0.6">
      <c r="B28" s="1164"/>
      <c r="C28" s="76" t="s">
        <v>274</v>
      </c>
      <c r="D28" s="80">
        <v>0</v>
      </c>
      <c r="E28" s="68">
        <v>24</v>
      </c>
      <c r="F28" s="69">
        <f>BEGINBLAD!C27</f>
        <v>0</v>
      </c>
      <c r="G28" s="70">
        <f>'NIVEAU WAARDE - vorig jaar'!H32</f>
        <v>0</v>
      </c>
      <c r="H28" s="71">
        <f>'NIVEAU WAARDE - 1e toetsperiode'!H32</f>
        <v>0</v>
      </c>
      <c r="I28" s="72" t="str">
        <f t="shared" si="0"/>
        <v/>
      </c>
      <c r="J28" s="171" t="str">
        <f t="shared" si="1"/>
        <v/>
      </c>
      <c r="K28" s="262"/>
      <c r="L28" s="261"/>
      <c r="M28" s="261"/>
      <c r="N28" s="475"/>
      <c r="O28" s="475"/>
      <c r="P28" s="475"/>
      <c r="Q28" s="263"/>
      <c r="R28" s="171" t="b">
        <f t="shared" si="2"/>
        <v>0</v>
      </c>
      <c r="S28" s="1230" t="s">
        <v>210</v>
      </c>
      <c r="T28" s="1232" t="str">
        <f>'BASISAANPAK - 1e periode'!I8</f>
        <v>ma en/of  do: dit doen we met bewegend leren
Ook  zetten we  de rekenspellen van met sprongen vooruit in om te automatiseren. Groep 6/7/8 oefent dagelijks rekenen op junior Einstein. De lessen die worden aangeboden zijn afhankelijk van wat er in de les wordt aangeboden.</v>
      </c>
      <c r="U28" s="56"/>
      <c r="V28" s="93"/>
      <c r="W28" s="54"/>
      <c r="X28" s="54"/>
      <c r="Y28" s="54"/>
      <c r="Z28" s="54"/>
      <c r="AA28" s="54"/>
    </row>
    <row r="29" spans="1:28" ht="19.5" customHeight="1" x14ac:dyDescent="0.25">
      <c r="A29" s="77"/>
      <c r="B29" s="257"/>
      <c r="C29" s="259"/>
      <c r="D29" s="67">
        <v>0</v>
      </c>
      <c r="E29" s="68">
        <v>25</v>
      </c>
      <c r="F29" s="69">
        <f>BEGINBLAD!C28</f>
        <v>0</v>
      </c>
      <c r="G29" s="70">
        <f>'NIVEAU WAARDE - vorig jaar'!H33</f>
        <v>0</v>
      </c>
      <c r="H29" s="71">
        <f>'NIVEAU WAARDE - 1e toetsperiode'!H33</f>
        <v>0</v>
      </c>
      <c r="I29" s="72" t="str">
        <f t="shared" si="0"/>
        <v/>
      </c>
      <c r="J29" s="171" t="str">
        <f t="shared" si="1"/>
        <v/>
      </c>
      <c r="K29" s="262"/>
      <c r="L29" s="261"/>
      <c r="M29" s="261"/>
      <c r="N29" s="475"/>
      <c r="O29" s="475"/>
      <c r="P29" s="475"/>
      <c r="Q29" s="263"/>
      <c r="R29" s="171" t="b">
        <f t="shared" si="2"/>
        <v>0</v>
      </c>
      <c r="S29" s="1230"/>
      <c r="T29" s="1232"/>
    </row>
    <row r="30" spans="1:28" ht="19.5" customHeight="1" x14ac:dyDescent="0.25">
      <c r="A30" s="77"/>
      <c r="B30" s="257"/>
      <c r="C30" s="259"/>
      <c r="D30" s="67">
        <v>0</v>
      </c>
      <c r="E30" s="68">
        <v>26</v>
      </c>
      <c r="F30" s="69">
        <f>BEGINBLAD!C29</f>
        <v>0</v>
      </c>
      <c r="G30" s="70">
        <f>'NIVEAU WAARDE - vorig jaar'!H34</f>
        <v>0</v>
      </c>
      <c r="H30" s="71">
        <f>'NIVEAU WAARDE - 1e toetsperiode'!H34</f>
        <v>0</v>
      </c>
      <c r="I30" s="72" t="str">
        <f t="shared" si="0"/>
        <v/>
      </c>
      <c r="J30" s="171" t="str">
        <f t="shared" si="1"/>
        <v/>
      </c>
      <c r="K30" s="262"/>
      <c r="L30" s="261"/>
      <c r="M30" s="261"/>
      <c r="N30" s="475"/>
      <c r="O30" s="475"/>
      <c r="P30" s="475"/>
      <c r="Q30" s="263"/>
      <c r="R30" s="171" t="b">
        <f t="shared" si="2"/>
        <v>0</v>
      </c>
      <c r="S30" s="1230"/>
      <c r="T30" s="1232"/>
    </row>
    <row r="31" spans="1:28" ht="19.5" customHeight="1" x14ac:dyDescent="0.25">
      <c r="A31" s="77"/>
      <c r="B31" s="257"/>
      <c r="C31" s="259"/>
      <c r="D31" s="67">
        <v>0</v>
      </c>
      <c r="E31" s="68">
        <v>27</v>
      </c>
      <c r="F31" s="69">
        <f>BEGINBLAD!C30</f>
        <v>0</v>
      </c>
      <c r="G31" s="70">
        <f>'NIVEAU WAARDE - vorig jaar'!H35</f>
        <v>0</v>
      </c>
      <c r="H31" s="71">
        <f>'NIVEAU WAARDE - 1e toetsperiode'!H35</f>
        <v>0</v>
      </c>
      <c r="I31" s="72" t="str">
        <f t="shared" si="0"/>
        <v/>
      </c>
      <c r="J31" s="171" t="str">
        <f t="shared" si="1"/>
        <v/>
      </c>
      <c r="K31" s="262"/>
      <c r="L31" s="261"/>
      <c r="M31" s="261"/>
      <c r="N31" s="475"/>
      <c r="O31" s="475"/>
      <c r="P31" s="475"/>
      <c r="Q31" s="263"/>
      <c r="R31" s="171" t="b">
        <f t="shared" si="2"/>
        <v>0</v>
      </c>
      <c r="S31" s="1230"/>
      <c r="T31" s="1232"/>
    </row>
    <row r="32" spans="1:28" ht="19.5" customHeight="1" x14ac:dyDescent="0.25">
      <c r="A32" s="77"/>
      <c r="B32" s="257"/>
      <c r="C32" s="259"/>
      <c r="D32" s="67">
        <v>0</v>
      </c>
      <c r="E32" s="68">
        <v>28</v>
      </c>
      <c r="F32" s="69">
        <f>BEGINBLAD!C31</f>
        <v>0</v>
      </c>
      <c r="G32" s="70">
        <f>'NIVEAU WAARDE - vorig jaar'!H36</f>
        <v>0</v>
      </c>
      <c r="H32" s="71">
        <f>'NIVEAU WAARDE - 1e toetsperiode'!H36</f>
        <v>0</v>
      </c>
      <c r="I32" s="72" t="str">
        <f t="shared" si="0"/>
        <v/>
      </c>
      <c r="J32" s="171" t="str">
        <f t="shared" si="1"/>
        <v/>
      </c>
      <c r="K32" s="262"/>
      <c r="L32" s="261"/>
      <c r="M32" s="475"/>
      <c r="N32" s="475"/>
      <c r="O32" s="475"/>
      <c r="P32" s="475"/>
      <c r="Q32" s="263"/>
      <c r="R32" s="171" t="b">
        <f t="shared" si="2"/>
        <v>0</v>
      </c>
      <c r="S32" s="1230"/>
      <c r="T32" s="1232"/>
    </row>
    <row r="33" spans="1:27" ht="19.5" customHeight="1" x14ac:dyDescent="0.25">
      <c r="A33" s="77"/>
      <c r="B33" s="257"/>
      <c r="C33" s="259"/>
      <c r="D33" s="67">
        <v>0</v>
      </c>
      <c r="E33" s="68">
        <v>29</v>
      </c>
      <c r="F33" s="69">
        <f>BEGINBLAD!C32</f>
        <v>0</v>
      </c>
      <c r="G33" s="70">
        <f>'NIVEAU WAARDE - vorig jaar'!H37</f>
        <v>0</v>
      </c>
      <c r="H33" s="71">
        <f>'NIVEAU WAARDE - 1e toetsperiode'!H37</f>
        <v>0</v>
      </c>
      <c r="I33" s="72" t="str">
        <f t="shared" si="0"/>
        <v/>
      </c>
      <c r="J33" s="171" t="str">
        <f t="shared" si="1"/>
        <v/>
      </c>
      <c r="K33" s="262"/>
      <c r="L33" s="261"/>
      <c r="M33" s="475"/>
      <c r="N33" s="475"/>
      <c r="O33" s="475"/>
      <c r="P33" s="475"/>
      <c r="Q33" s="263"/>
      <c r="R33" s="171" t="b">
        <f t="shared" si="2"/>
        <v>0</v>
      </c>
      <c r="S33" s="1230"/>
      <c r="T33" s="1232"/>
    </row>
    <row r="34" spans="1:27" ht="19.5" customHeight="1" x14ac:dyDescent="0.25">
      <c r="A34" s="77"/>
      <c r="B34" s="257"/>
      <c r="C34" s="259"/>
      <c r="D34" s="67">
        <v>0</v>
      </c>
      <c r="E34" s="68">
        <v>30</v>
      </c>
      <c r="F34" s="69">
        <f>BEGINBLAD!C33</f>
        <v>0</v>
      </c>
      <c r="G34" s="70">
        <f>'NIVEAU WAARDE - vorig jaar'!H38</f>
        <v>0</v>
      </c>
      <c r="H34" s="71">
        <f>'NIVEAU WAARDE - 1e toetsperiode'!H38</f>
        <v>0</v>
      </c>
      <c r="I34" s="72" t="str">
        <f t="shared" si="0"/>
        <v/>
      </c>
      <c r="J34" s="171" t="str">
        <f t="shared" si="1"/>
        <v/>
      </c>
      <c r="K34" s="179"/>
      <c r="L34" s="180"/>
      <c r="M34" s="476"/>
      <c r="N34" s="476"/>
      <c r="O34" s="476"/>
      <c r="P34" s="476"/>
      <c r="Q34" s="181"/>
      <c r="R34" s="171" t="b">
        <f t="shared" si="2"/>
        <v>0</v>
      </c>
      <c r="S34" s="1230"/>
      <c r="T34" s="1232"/>
    </row>
    <row r="35" spans="1:27" ht="19.5" customHeight="1" thickBot="1" x14ac:dyDescent="0.3">
      <c r="A35" s="77"/>
      <c r="B35" s="78"/>
      <c r="C35" s="868"/>
      <c r="D35" s="67">
        <v>0</v>
      </c>
      <c r="E35" s="68">
        <v>31</v>
      </c>
      <c r="F35" s="69">
        <f>BEGINBLAD!C34</f>
        <v>0</v>
      </c>
      <c r="G35" s="70">
        <f>'NIVEAU WAARDE - vorig jaar'!H39</f>
        <v>0</v>
      </c>
      <c r="H35" s="71">
        <f>'NIVEAU WAARDE - 1e toetsperiode'!H39</f>
        <v>0</v>
      </c>
      <c r="I35" s="72" t="str">
        <f t="shared" si="0"/>
        <v/>
      </c>
      <c r="J35" s="171" t="str">
        <f t="shared" si="1"/>
        <v/>
      </c>
      <c r="K35" s="179"/>
      <c r="L35" s="180"/>
      <c r="M35" s="476"/>
      <c r="N35" s="476"/>
      <c r="O35" s="476"/>
      <c r="P35" s="476"/>
      <c r="Q35" s="181"/>
      <c r="R35" s="171" t="b">
        <f t="shared" si="2"/>
        <v>0</v>
      </c>
      <c r="S35" s="1257"/>
      <c r="T35" s="1262"/>
    </row>
    <row r="36" spans="1:27" ht="19.5" customHeight="1" thickBot="1" x14ac:dyDescent="0.3">
      <c r="A36" s="77"/>
      <c r="B36" s="78"/>
      <c r="C36" s="868"/>
      <c r="D36" s="67">
        <v>0</v>
      </c>
      <c r="E36" s="68">
        <v>32</v>
      </c>
      <c r="F36" s="69">
        <f>BEGINBLAD!C35</f>
        <v>0</v>
      </c>
      <c r="G36" s="70">
        <f>'NIVEAU WAARDE - vorig jaar'!H40</f>
        <v>0</v>
      </c>
      <c r="H36" s="71">
        <f>'NIVEAU WAARDE - 1e toetsperiode'!H40</f>
        <v>0</v>
      </c>
      <c r="I36" s="72" t="str">
        <f t="shared" si="0"/>
        <v/>
      </c>
      <c r="J36" s="171" t="str">
        <f t="shared" si="1"/>
        <v/>
      </c>
      <c r="K36" s="179"/>
      <c r="L36" s="180"/>
      <c r="M36" s="476"/>
      <c r="N36" s="476"/>
      <c r="O36" s="476"/>
      <c r="P36" s="476"/>
      <c r="Q36" s="181"/>
      <c r="R36" s="171" t="b">
        <f t="shared" si="2"/>
        <v>0</v>
      </c>
      <c r="S36" s="82"/>
      <c r="T36" s="54" t="s">
        <v>417</v>
      </c>
    </row>
    <row r="37" spans="1:27" ht="19.5" customHeight="1" x14ac:dyDescent="0.25">
      <c r="A37" s="77"/>
      <c r="B37" s="78"/>
      <c r="C37" s="868"/>
      <c r="D37" s="67">
        <v>0</v>
      </c>
      <c r="E37" s="68">
        <v>33</v>
      </c>
      <c r="F37" s="69">
        <f>BEGINBLAD!C36</f>
        <v>0</v>
      </c>
      <c r="G37" s="70">
        <f>'NIVEAU WAARDE - vorig jaar'!H41</f>
        <v>0</v>
      </c>
      <c r="H37" s="71">
        <f>'NIVEAU WAARDE - 1e toetsperiode'!H41</f>
        <v>0</v>
      </c>
      <c r="I37" s="72" t="str">
        <f t="shared" si="0"/>
        <v/>
      </c>
      <c r="J37" s="171" t="str">
        <f t="shared" si="1"/>
        <v/>
      </c>
      <c r="K37" s="179"/>
      <c r="L37" s="180"/>
      <c r="M37" s="476"/>
      <c r="N37" s="476"/>
      <c r="O37" s="476"/>
      <c r="P37" s="476"/>
      <c r="Q37" s="181"/>
      <c r="R37" s="171" t="b">
        <f t="shared" si="2"/>
        <v>0</v>
      </c>
      <c r="S37" s="1229" t="s">
        <v>208</v>
      </c>
      <c r="T37" s="1231">
        <f>'VERRIJKT - 1e periode'!I6</f>
        <v>0</v>
      </c>
    </row>
    <row r="38" spans="1:27" ht="19.5" customHeight="1" x14ac:dyDescent="0.25">
      <c r="A38" s="77"/>
      <c r="B38" s="78"/>
      <c r="C38" s="868"/>
      <c r="D38" s="67">
        <v>0</v>
      </c>
      <c r="E38" s="68">
        <v>34</v>
      </c>
      <c r="F38" s="69">
        <f>BEGINBLAD!C37</f>
        <v>0</v>
      </c>
      <c r="G38" s="70">
        <f>'NIVEAU WAARDE - vorig jaar'!H42</f>
        <v>0</v>
      </c>
      <c r="H38" s="71">
        <f>'NIVEAU WAARDE - 1e toetsperiode'!H42</f>
        <v>0</v>
      </c>
      <c r="I38" s="72" t="str">
        <f t="shared" si="0"/>
        <v/>
      </c>
      <c r="J38" s="171" t="str">
        <f t="shared" si="1"/>
        <v/>
      </c>
      <c r="K38" s="179"/>
      <c r="L38" s="180"/>
      <c r="M38" s="476"/>
      <c r="N38" s="476"/>
      <c r="O38" s="476"/>
      <c r="P38" s="476"/>
      <c r="Q38" s="181"/>
      <c r="R38" s="171" t="b">
        <f t="shared" si="2"/>
        <v>0</v>
      </c>
      <c r="S38" s="1230"/>
      <c r="T38" s="1232"/>
    </row>
    <row r="39" spans="1:27" ht="19.5" customHeight="1" x14ac:dyDescent="0.25">
      <c r="A39" s="77"/>
      <c r="B39" s="78"/>
      <c r="C39" s="868"/>
      <c r="D39" s="67">
        <v>0</v>
      </c>
      <c r="E39" s="68">
        <v>35</v>
      </c>
      <c r="F39" s="69">
        <f>BEGINBLAD!C38</f>
        <v>0</v>
      </c>
      <c r="G39" s="70">
        <f>'NIVEAU WAARDE - vorig jaar'!H43</f>
        <v>0</v>
      </c>
      <c r="H39" s="71">
        <f>'NIVEAU WAARDE - 1e toetsperiode'!H43</f>
        <v>0</v>
      </c>
      <c r="I39" s="72" t="str">
        <f t="shared" si="0"/>
        <v/>
      </c>
      <c r="J39" s="171" t="str">
        <f t="shared" si="1"/>
        <v/>
      </c>
      <c r="K39" s="179"/>
      <c r="L39" s="180"/>
      <c r="M39" s="476"/>
      <c r="N39" s="476"/>
      <c r="O39" s="476"/>
      <c r="P39" s="476"/>
      <c r="Q39" s="181"/>
      <c r="R39" s="171" t="b">
        <f t="shared" si="2"/>
        <v>0</v>
      </c>
      <c r="S39" s="1230" t="s">
        <v>210</v>
      </c>
      <c r="T39" s="1255">
        <f>'VERRIJKT - 1e periode'!I8</f>
        <v>0</v>
      </c>
    </row>
    <row r="40" spans="1:27" ht="19.5" customHeight="1" thickBot="1" x14ac:dyDescent="0.3">
      <c r="A40" s="77"/>
      <c r="B40" s="78"/>
      <c r="C40" s="868"/>
      <c r="D40" s="67">
        <v>0</v>
      </c>
      <c r="E40" s="94">
        <v>36</v>
      </c>
      <c r="F40" s="95">
        <f>BEGINBLAD!C39</f>
        <v>0</v>
      </c>
      <c r="G40" s="96">
        <f>'NIVEAU WAARDE - vorig jaar'!H44</f>
        <v>0</v>
      </c>
      <c r="H40" s="97">
        <f>'NIVEAU WAARDE - 1e toetsperiode'!H44</f>
        <v>0</v>
      </c>
      <c r="I40" s="98" t="str">
        <f t="shared" si="0"/>
        <v/>
      </c>
      <c r="J40" s="171" t="str">
        <f t="shared" si="1"/>
        <v/>
      </c>
      <c r="K40" s="264"/>
      <c r="L40" s="184"/>
      <c r="M40" s="477"/>
      <c r="N40" s="477"/>
      <c r="O40" s="477"/>
      <c r="P40" s="477"/>
      <c r="Q40" s="185"/>
      <c r="R40" s="171" t="b">
        <f t="shared" si="2"/>
        <v>0</v>
      </c>
      <c r="S40" s="1230"/>
      <c r="T40" s="1255"/>
    </row>
    <row r="41" spans="1:27" ht="19.5" customHeight="1" thickBot="1" x14ac:dyDescent="0.35">
      <c r="B41" s="100"/>
      <c r="C41" s="1263" t="s">
        <v>415</v>
      </c>
      <c r="D41" s="1263"/>
      <c r="E41" s="1263"/>
      <c r="F41" s="1263"/>
      <c r="G41" s="1059" t="s">
        <v>417</v>
      </c>
      <c r="H41" s="1059"/>
      <c r="I41" s="1059"/>
      <c r="J41" s="1059"/>
      <c r="K41" s="1059"/>
      <c r="L41" s="1059"/>
      <c r="M41" s="1059"/>
      <c r="N41" s="1059"/>
      <c r="O41" s="1059"/>
      <c r="P41" s="1059"/>
      <c r="Q41" s="1059"/>
      <c r="S41" s="1230"/>
      <c r="T41" s="1255"/>
      <c r="V41" s="101"/>
      <c r="W41" s="101"/>
      <c r="X41" s="101"/>
      <c r="Y41" s="101"/>
      <c r="Z41" s="101"/>
      <c r="AA41" s="101"/>
    </row>
    <row r="42" spans="1:27" ht="19.5" customHeight="1" x14ac:dyDescent="0.25">
      <c r="B42" s="51"/>
      <c r="C42" s="121" t="s">
        <v>279</v>
      </c>
      <c r="D42" s="1264"/>
      <c r="E42" s="1265"/>
      <c r="F42" s="1266"/>
      <c r="G42" s="1267" t="s">
        <v>279</v>
      </c>
      <c r="H42" s="1268"/>
      <c r="I42" s="1234"/>
      <c r="J42" s="1235"/>
      <c r="K42" s="1235"/>
      <c r="L42" s="1235"/>
      <c r="M42" s="1235"/>
      <c r="N42" s="1235"/>
      <c r="O42" s="1235"/>
      <c r="P42" s="1235"/>
      <c r="Q42" s="1236"/>
      <c r="S42" s="1230"/>
      <c r="T42" s="1255"/>
      <c r="V42" s="101"/>
      <c r="W42" s="101"/>
      <c r="X42" s="101"/>
      <c r="Y42" s="101"/>
      <c r="Z42" s="101"/>
      <c r="AA42" s="101"/>
    </row>
    <row r="43" spans="1:27" ht="19.5" customHeight="1" x14ac:dyDescent="0.25">
      <c r="B43" s="78"/>
      <c r="C43" s="122" t="s">
        <v>280</v>
      </c>
      <c r="D43" s="1246"/>
      <c r="E43" s="1247"/>
      <c r="F43" s="1248"/>
      <c r="G43" s="1249" t="s">
        <v>280</v>
      </c>
      <c r="H43" s="1250"/>
      <c r="I43" s="1251"/>
      <c r="J43" s="1252"/>
      <c r="K43" s="1252"/>
      <c r="L43" s="1252"/>
      <c r="M43" s="1252"/>
      <c r="N43" s="1252"/>
      <c r="O43" s="1252"/>
      <c r="P43" s="1252"/>
      <c r="Q43" s="1253"/>
      <c r="S43" s="1230"/>
      <c r="T43" s="1255"/>
      <c r="V43" s="101"/>
      <c r="W43" s="101"/>
      <c r="X43" s="101"/>
      <c r="Y43" s="101"/>
      <c r="Z43" s="101"/>
      <c r="AA43" s="101"/>
    </row>
    <row r="44" spans="1:27" ht="19.5" customHeight="1" x14ac:dyDescent="0.25">
      <c r="B44" s="78"/>
      <c r="C44" s="122" t="s">
        <v>281</v>
      </c>
      <c r="D44" s="1246"/>
      <c r="E44" s="1247"/>
      <c r="F44" s="1248"/>
      <c r="G44" s="1249" t="s">
        <v>281</v>
      </c>
      <c r="H44" s="1250"/>
      <c r="I44" s="1251"/>
      <c r="J44" s="1252"/>
      <c r="K44" s="1252"/>
      <c r="L44" s="1252"/>
      <c r="M44" s="1252"/>
      <c r="N44" s="1252"/>
      <c r="O44" s="1252"/>
      <c r="P44" s="1252"/>
      <c r="Q44" s="1253"/>
      <c r="S44" s="1230"/>
      <c r="T44" s="1255"/>
      <c r="V44" s="101"/>
      <c r="W44" s="101"/>
      <c r="X44" s="101"/>
      <c r="Y44" s="101"/>
      <c r="Z44" s="101"/>
      <c r="AA44" s="101"/>
    </row>
    <row r="45" spans="1:27" ht="19.5" customHeight="1" x14ac:dyDescent="0.25">
      <c r="B45" s="78"/>
      <c r="C45" s="122" t="s">
        <v>282</v>
      </c>
      <c r="D45" s="1246"/>
      <c r="E45" s="1247"/>
      <c r="F45" s="1248"/>
      <c r="G45" s="1249" t="s">
        <v>282</v>
      </c>
      <c r="H45" s="1250"/>
      <c r="I45" s="1251"/>
      <c r="J45" s="1252"/>
      <c r="K45" s="1252"/>
      <c r="L45" s="1252"/>
      <c r="M45" s="1252"/>
      <c r="N45" s="1252"/>
      <c r="O45" s="1252"/>
      <c r="P45" s="1252"/>
      <c r="Q45" s="1253"/>
      <c r="S45" s="1230"/>
      <c r="T45" s="1255"/>
      <c r="V45" s="101"/>
      <c r="W45" s="101"/>
      <c r="X45" s="101"/>
      <c r="Y45" s="101"/>
      <c r="Z45" s="101"/>
      <c r="AA45" s="101"/>
    </row>
    <row r="46" spans="1:27" ht="19.5" customHeight="1" thickBot="1" x14ac:dyDescent="0.3">
      <c r="B46" s="78"/>
      <c r="C46" s="123" t="s">
        <v>283</v>
      </c>
      <c r="D46" s="1237"/>
      <c r="E46" s="1238"/>
      <c r="F46" s="1239"/>
      <c r="G46" s="1240" t="s">
        <v>283</v>
      </c>
      <c r="H46" s="1241"/>
      <c r="I46" s="1242"/>
      <c r="J46" s="1243"/>
      <c r="K46" s="1243"/>
      <c r="L46" s="1243"/>
      <c r="M46" s="1243"/>
      <c r="N46" s="1243"/>
      <c r="O46" s="1243"/>
      <c r="P46" s="1243"/>
      <c r="Q46" s="1244"/>
      <c r="S46" s="1257"/>
      <c r="T46" s="1256"/>
    </row>
    <row r="47" spans="1:27" x14ac:dyDescent="0.25">
      <c r="C47" s="104"/>
      <c r="D47" s="380"/>
      <c r="E47" s="131"/>
      <c r="F47" s="131"/>
      <c r="G47" s="131"/>
      <c r="H47" s="83"/>
      <c r="I47" s="103"/>
      <c r="J47" s="103"/>
      <c r="K47" s="1269" t="s">
        <v>278</v>
      </c>
      <c r="L47" s="1269"/>
      <c r="M47" s="1269"/>
      <c r="N47" s="1269"/>
      <c r="O47" s="1269"/>
      <c r="P47" s="1269"/>
      <c r="Q47" s="1269"/>
      <c r="R47" s="102"/>
      <c r="S47" s="102"/>
      <c r="T47" s="102"/>
    </row>
    <row r="48" spans="1:27" x14ac:dyDescent="0.25">
      <c r="B48" s="116"/>
      <c r="C48" s="104"/>
      <c r="D48" s="83">
        <f>BEGINBLAD!$D$40</f>
        <v>8</v>
      </c>
      <c r="E48" s="142"/>
      <c r="F48" s="143" t="s">
        <v>418</v>
      </c>
      <c r="G48" s="150">
        <f>H48/$D$49</f>
        <v>0.375</v>
      </c>
      <c r="H48" s="85">
        <f>COUNTIF($I$5:$I$40,"A-1+")</f>
        <v>3</v>
      </c>
      <c r="I48" s="85"/>
      <c r="J48" s="141" t="s">
        <v>419</v>
      </c>
      <c r="K48" s="141"/>
      <c r="L48" s="141"/>
      <c r="M48" s="141"/>
      <c r="N48" s="141"/>
      <c r="O48" s="141"/>
      <c r="P48" s="141"/>
      <c r="Q48" s="161">
        <f>G48+G49+G50+G51+G52</f>
        <v>1</v>
      </c>
      <c r="R48" s="161">
        <v>1</v>
      </c>
      <c r="S48" s="149"/>
      <c r="T48" s="102"/>
    </row>
    <row r="49" spans="2:20" x14ac:dyDescent="0.25">
      <c r="B49" s="116"/>
      <c r="C49" s="104"/>
      <c r="D49" s="148">
        <f>COUNTIF(H5:H40,"&gt;0")</f>
        <v>8</v>
      </c>
      <c r="E49" s="142"/>
      <c r="F49" s="143" t="s">
        <v>420</v>
      </c>
      <c r="G49" s="150">
        <f>H49/$D$49</f>
        <v>0.25</v>
      </c>
      <c r="H49" s="85">
        <f>COUNTIF($I$5:$I$40,"A-1")</f>
        <v>2</v>
      </c>
      <c r="I49" s="85"/>
      <c r="J49" s="141"/>
      <c r="K49" s="141"/>
      <c r="L49" s="141"/>
      <c r="M49" s="141"/>
      <c r="N49" s="141"/>
      <c r="O49" s="141"/>
      <c r="P49" s="141"/>
      <c r="Q49" s="161"/>
      <c r="R49" s="161">
        <v>0.7</v>
      </c>
      <c r="S49" s="162"/>
      <c r="T49" s="111"/>
    </row>
    <row r="50" spans="2:20" x14ac:dyDescent="0.25">
      <c r="B50" s="116"/>
      <c r="C50" s="104"/>
      <c r="D50" s="144"/>
      <c r="E50" s="142"/>
      <c r="F50" s="145" t="s">
        <v>421</v>
      </c>
      <c r="G50" s="150">
        <f>(H50+I50)/$D$49</f>
        <v>0</v>
      </c>
      <c r="H50" s="85">
        <f>COUNTIF($I$5:$I$40,"A-2")</f>
        <v>0</v>
      </c>
      <c r="I50" s="85">
        <f>COUNTIF($I$5:$I$40,"B-2")</f>
        <v>0</v>
      </c>
      <c r="J50" s="141"/>
      <c r="K50" s="141"/>
      <c r="L50" s="141"/>
      <c r="M50" s="141"/>
      <c r="N50" s="141"/>
      <c r="O50" s="141"/>
      <c r="P50" s="141"/>
      <c r="Q50" s="161"/>
      <c r="R50" s="161">
        <v>0.6</v>
      </c>
      <c r="S50" s="162"/>
      <c r="T50" s="111"/>
    </row>
    <row r="51" spans="2:20" x14ac:dyDescent="0.25">
      <c r="B51" s="116"/>
      <c r="C51" s="104"/>
      <c r="D51" s="144"/>
      <c r="E51" s="142"/>
      <c r="F51" s="143" t="s">
        <v>422</v>
      </c>
      <c r="G51" s="150">
        <f>H51/$D$49</f>
        <v>0.25</v>
      </c>
      <c r="H51" s="85">
        <f>COUNTIF($I$5:$I$40,"B-3")</f>
        <v>2</v>
      </c>
      <c r="I51" s="85"/>
      <c r="J51" s="141"/>
      <c r="K51" s="141"/>
      <c r="L51" s="141"/>
      <c r="M51" s="141"/>
      <c r="N51" s="141"/>
      <c r="O51" s="141"/>
      <c r="P51" s="141"/>
      <c r="Q51" s="161"/>
      <c r="R51" s="161">
        <f>$Q$48</f>
        <v>1</v>
      </c>
      <c r="S51" s="162"/>
      <c r="T51" s="111"/>
    </row>
    <row r="52" spans="2:20" x14ac:dyDescent="0.25">
      <c r="B52" s="116"/>
      <c r="C52" s="104"/>
      <c r="D52" s="144"/>
      <c r="E52" s="142"/>
      <c r="F52" s="143" t="s">
        <v>423</v>
      </c>
      <c r="G52" s="150">
        <f>H52/$D$49</f>
        <v>0.125</v>
      </c>
      <c r="H52" s="85">
        <f>COUNTIF($I$5:$I$40,"c-3")</f>
        <v>1</v>
      </c>
      <c r="I52" s="85"/>
      <c r="J52" s="141" t="s">
        <v>352</v>
      </c>
      <c r="K52" s="141"/>
      <c r="L52" s="141"/>
      <c r="M52" s="141"/>
      <c r="N52" s="141"/>
      <c r="O52" s="141"/>
      <c r="P52" s="141"/>
      <c r="Q52" s="161">
        <f>G53+G54+G55+G57</f>
        <v>0</v>
      </c>
      <c r="R52" s="163"/>
      <c r="S52" s="162"/>
      <c r="T52" s="111"/>
    </row>
    <row r="53" spans="2:20" x14ac:dyDescent="0.25">
      <c r="B53" s="116"/>
      <c r="C53" s="104"/>
      <c r="D53" s="144"/>
      <c r="E53" s="142"/>
      <c r="F53" s="145" t="s">
        <v>424</v>
      </c>
      <c r="G53" s="150">
        <f>H53/$D$49</f>
        <v>0</v>
      </c>
      <c r="H53" s="85">
        <f>COUNTIF($I$5:$I$40,"c-4")</f>
        <v>0</v>
      </c>
      <c r="I53" s="83"/>
      <c r="J53" s="141"/>
      <c r="K53" s="141"/>
      <c r="L53" s="141"/>
      <c r="M53" s="141"/>
      <c r="N53" s="141"/>
      <c r="O53" s="141"/>
      <c r="P53" s="141"/>
      <c r="Q53" s="161"/>
      <c r="R53" s="163"/>
      <c r="S53" s="162"/>
      <c r="T53" s="111"/>
    </row>
    <row r="54" spans="2:20" x14ac:dyDescent="0.25">
      <c r="B54" s="116"/>
      <c r="C54" s="104"/>
      <c r="D54" s="144"/>
      <c r="E54" s="142"/>
      <c r="F54" s="142" t="s">
        <v>425</v>
      </c>
      <c r="G54" s="150">
        <f>H54/$D$49</f>
        <v>0</v>
      </c>
      <c r="H54" s="85">
        <f>COUNTIF($I$5:$I$40,"d-4")</f>
        <v>0</v>
      </c>
      <c r="I54" s="83"/>
      <c r="J54" s="141"/>
      <c r="K54" s="141"/>
      <c r="L54" s="141"/>
      <c r="M54" s="141"/>
      <c r="N54" s="141"/>
      <c r="O54" s="141"/>
      <c r="P54" s="141"/>
      <c r="Q54" s="161"/>
      <c r="R54" s="163"/>
      <c r="S54" s="162"/>
      <c r="T54" s="111"/>
    </row>
    <row r="55" spans="2:20" x14ac:dyDescent="0.25">
      <c r="B55" s="116"/>
      <c r="C55" s="104"/>
      <c r="D55" s="144"/>
      <c r="E55" s="142"/>
      <c r="F55" s="143" t="s">
        <v>426</v>
      </c>
      <c r="G55" s="150">
        <f>(H55+I55)/$D$49</f>
        <v>0</v>
      </c>
      <c r="H55" s="85">
        <f>COUNTIF($I$5:$I$40,"d-5")</f>
        <v>0</v>
      </c>
      <c r="I55" s="85">
        <f>COUNTIF($I$5:$I$40,"e-5")</f>
        <v>0</v>
      </c>
      <c r="J55" s="141"/>
      <c r="K55" s="141"/>
      <c r="L55" s="141"/>
      <c r="M55" s="141"/>
      <c r="N55" s="141"/>
      <c r="O55" s="141"/>
      <c r="P55" s="141"/>
      <c r="Q55" s="161"/>
      <c r="R55" s="163"/>
      <c r="S55" s="162"/>
      <c r="T55" s="111"/>
    </row>
    <row r="56" spans="2:20" x14ac:dyDescent="0.25">
      <c r="B56" s="116"/>
      <c r="C56" s="104"/>
      <c r="D56" s="144"/>
      <c r="E56" s="142"/>
      <c r="F56" s="143"/>
      <c r="G56" s="150"/>
      <c r="H56" s="85"/>
      <c r="I56" s="85"/>
      <c r="J56" s="141" t="s">
        <v>69</v>
      </c>
      <c r="K56" s="141"/>
      <c r="L56" s="141"/>
      <c r="M56" s="141"/>
      <c r="N56" s="141"/>
      <c r="O56" s="141"/>
      <c r="P56" s="141"/>
      <c r="Q56" s="161">
        <f>Q48+Q52</f>
        <v>1</v>
      </c>
      <c r="R56" s="1245"/>
      <c r="S56" s="162"/>
      <c r="T56" s="111"/>
    </row>
    <row r="57" spans="2:20" x14ac:dyDescent="0.25">
      <c r="B57" s="116"/>
      <c r="C57" s="104"/>
      <c r="D57" s="144"/>
      <c r="E57" s="142"/>
      <c r="F57" s="146" t="s">
        <v>427</v>
      </c>
      <c r="G57" s="150">
        <f>H57/$D$49</f>
        <v>0</v>
      </c>
      <c r="H57" s="85">
        <f>COUNTIF($I$5:$I$40,"e-5-")</f>
        <v>0</v>
      </c>
      <c r="I57" s="85"/>
      <c r="J57" s="141"/>
      <c r="K57" s="141"/>
      <c r="L57" s="141"/>
      <c r="M57" s="141"/>
      <c r="N57" s="141"/>
      <c r="O57" s="141"/>
      <c r="P57" s="141"/>
      <c r="Q57" s="161"/>
      <c r="R57" s="1245"/>
      <c r="S57" s="162"/>
      <c r="T57" s="111"/>
    </row>
    <row r="58" spans="2:20" x14ac:dyDescent="0.25">
      <c r="B58" s="116"/>
      <c r="C58" s="104"/>
      <c r="D58" s="144"/>
      <c r="E58" s="142"/>
      <c r="F58" s="143" t="s">
        <v>69</v>
      </c>
      <c r="G58" s="147">
        <f>SUM(G48:G57)</f>
        <v>1</v>
      </c>
      <c r="H58" s="131">
        <f>SUM(H48:H57)</f>
        <v>8</v>
      </c>
      <c r="I58" s="131">
        <f>SUM(I48:I57)</f>
        <v>0</v>
      </c>
      <c r="J58" s="83"/>
      <c r="K58" s="83"/>
      <c r="L58" s="149"/>
      <c r="M58" s="149"/>
      <c r="N58" s="149"/>
      <c r="O58" s="149"/>
      <c r="P58" s="149"/>
      <c r="Q58" s="149"/>
      <c r="R58" s="149"/>
      <c r="S58" s="149"/>
      <c r="T58" s="102"/>
    </row>
    <row r="59" spans="2:20" x14ac:dyDescent="0.25">
      <c r="B59" s="116"/>
      <c r="C59" s="104"/>
      <c r="D59" s="144"/>
      <c r="E59" s="142"/>
      <c r="F59" s="131"/>
      <c r="G59" s="131"/>
      <c r="H59" s="83">
        <f>SUM(H58+I58)</f>
        <v>8</v>
      </c>
      <c r="I59" s="83"/>
      <c r="J59" s="83"/>
      <c r="K59" s="83"/>
      <c r="L59" s="149"/>
      <c r="M59" s="149"/>
      <c r="N59" s="149"/>
      <c r="O59" s="149"/>
      <c r="P59" s="149"/>
      <c r="Q59" s="149"/>
      <c r="R59" s="149"/>
      <c r="S59" s="149"/>
      <c r="T59" s="102"/>
    </row>
    <row r="60" spans="2:20" x14ac:dyDescent="0.25">
      <c r="B60" s="116"/>
      <c r="C60" s="104"/>
      <c r="D60" s="148"/>
      <c r="E60" s="131"/>
      <c r="F60" s="142"/>
      <c r="G60" s="150"/>
      <c r="H60" s="83"/>
      <c r="I60" s="83"/>
      <c r="J60" s="83"/>
      <c r="K60" s="83"/>
      <c r="L60" s="149"/>
      <c r="M60" s="149"/>
      <c r="N60" s="149"/>
      <c r="O60" s="149"/>
      <c r="P60" s="149"/>
      <c r="Q60" s="149"/>
      <c r="R60" s="149"/>
      <c r="S60" s="149"/>
      <c r="T60" s="102"/>
    </row>
    <row r="61" spans="2:20" x14ac:dyDescent="0.25">
      <c r="B61" s="116"/>
      <c r="C61" s="104"/>
      <c r="D61" s="148"/>
      <c r="E61" s="131"/>
      <c r="F61" s="149"/>
      <c r="G61" s="150"/>
      <c r="H61" s="83"/>
      <c r="I61" s="83"/>
      <c r="J61" s="83"/>
      <c r="K61" s="83"/>
      <c r="L61" s="149"/>
      <c r="M61" s="149"/>
      <c r="N61" s="149"/>
      <c r="O61" s="149"/>
      <c r="P61" s="149"/>
      <c r="Q61" s="149"/>
      <c r="R61" s="149"/>
      <c r="S61" s="149"/>
      <c r="T61" s="102"/>
    </row>
    <row r="62" spans="2:20" x14ac:dyDescent="0.25">
      <c r="B62" s="117"/>
      <c r="C62" s="114"/>
      <c r="D62" s="105"/>
      <c r="E62" s="104"/>
      <c r="F62" s="102"/>
      <c r="G62" s="124"/>
      <c r="H62" s="103"/>
      <c r="I62" s="103"/>
      <c r="J62" s="103"/>
      <c r="K62" s="103"/>
      <c r="L62" s="102"/>
      <c r="M62" s="102"/>
      <c r="N62" s="102"/>
      <c r="O62" s="102"/>
      <c r="P62" s="102"/>
      <c r="Q62" s="102"/>
      <c r="R62" s="102"/>
      <c r="S62" s="102"/>
      <c r="T62" s="102"/>
    </row>
    <row r="63" spans="2:20" x14ac:dyDescent="0.25">
      <c r="B63" s="116"/>
      <c r="C63" s="104"/>
      <c r="D63" s="105"/>
      <c r="E63" s="104"/>
      <c r="F63" s="104"/>
      <c r="G63" s="104"/>
      <c r="H63" s="103"/>
      <c r="I63" s="103"/>
      <c r="J63" s="103"/>
      <c r="K63" s="103"/>
      <c r="L63" s="102"/>
      <c r="M63" s="102"/>
      <c r="N63" s="102"/>
      <c r="O63" s="102"/>
      <c r="P63" s="102"/>
      <c r="Q63" s="102"/>
      <c r="R63" s="102"/>
      <c r="S63" s="102"/>
      <c r="T63" s="102"/>
    </row>
    <row r="64" spans="2:20" x14ac:dyDescent="0.25">
      <c r="B64" s="116"/>
      <c r="C64" s="104"/>
      <c r="D64" s="105"/>
      <c r="E64" s="104"/>
      <c r="F64" s="104"/>
      <c r="G64" s="104"/>
      <c r="H64" s="103"/>
      <c r="I64" s="103"/>
      <c r="J64" s="103"/>
      <c r="K64" s="103"/>
      <c r="L64" s="104"/>
      <c r="M64" s="104"/>
      <c r="N64" s="104"/>
      <c r="O64" s="104"/>
      <c r="P64" s="104"/>
      <c r="Q64" s="102"/>
      <c r="R64" s="102"/>
      <c r="S64" s="102"/>
      <c r="T64" s="102"/>
    </row>
    <row r="65" spans="3:28" x14ac:dyDescent="0.25">
      <c r="C65" s="104"/>
      <c r="D65" s="105"/>
      <c r="E65" s="104"/>
      <c r="F65" s="104"/>
      <c r="G65" s="104"/>
      <c r="H65" s="103"/>
      <c r="I65" s="103"/>
      <c r="J65" s="103"/>
      <c r="K65" s="103"/>
      <c r="L65" s="104"/>
      <c r="M65" s="104"/>
      <c r="N65" s="104"/>
      <c r="O65" s="104"/>
      <c r="P65" s="104"/>
      <c r="Q65" s="102"/>
      <c r="R65" s="102"/>
      <c r="S65" s="102"/>
      <c r="T65" s="102"/>
    </row>
    <row r="66" spans="3:28" x14ac:dyDescent="0.25">
      <c r="C66" s="104"/>
      <c r="D66" s="105"/>
      <c r="E66" s="104"/>
      <c r="F66" s="104"/>
      <c r="G66" s="104"/>
      <c r="H66" s="103"/>
      <c r="I66" s="103"/>
      <c r="J66" s="103"/>
      <c r="K66" s="103"/>
      <c r="L66" s="104"/>
      <c r="M66" s="104"/>
      <c r="N66" s="104"/>
      <c r="O66" s="104"/>
      <c r="P66" s="104"/>
      <c r="Q66" s="102"/>
      <c r="R66" s="112"/>
      <c r="S66" s="102"/>
      <c r="T66" s="102"/>
    </row>
    <row r="67" spans="3:28" ht="20" x14ac:dyDescent="0.3">
      <c r="C67" s="104"/>
      <c r="D67" s="104"/>
      <c r="E67" s="104"/>
      <c r="F67" s="104"/>
      <c r="G67" s="104"/>
      <c r="H67" s="103"/>
      <c r="I67" s="103"/>
      <c r="J67" s="113"/>
      <c r="K67" s="103"/>
      <c r="L67" s="104"/>
      <c r="M67" s="104"/>
      <c r="N67" s="104"/>
      <c r="O67" s="104"/>
      <c r="P67" s="104"/>
      <c r="Q67" s="102"/>
      <c r="R67" s="102"/>
      <c r="S67" s="112"/>
      <c r="T67" s="112"/>
      <c r="Y67" s="88"/>
      <c r="Z67" s="88"/>
      <c r="AA67" s="88"/>
      <c r="AB67" s="88"/>
    </row>
    <row r="68" spans="3:28" ht="20" x14ac:dyDescent="0.25">
      <c r="C68" s="104"/>
      <c r="D68" s="104"/>
      <c r="E68" s="104"/>
      <c r="F68" s="104"/>
      <c r="G68" s="104"/>
      <c r="H68" s="103"/>
      <c r="I68" s="103"/>
      <c r="J68" s="113"/>
      <c r="K68" s="103"/>
      <c r="L68" s="104"/>
      <c r="M68" s="104"/>
      <c r="N68" s="104"/>
      <c r="O68" s="104"/>
      <c r="P68" s="104"/>
      <c r="Q68" s="102"/>
      <c r="R68" s="102"/>
      <c r="S68" s="102"/>
      <c r="T68" s="102"/>
    </row>
    <row r="69" spans="3:28" ht="20" x14ac:dyDescent="0.25">
      <c r="C69" s="104"/>
      <c r="D69" s="104"/>
      <c r="E69" s="104"/>
      <c r="F69" s="104"/>
      <c r="G69" s="104"/>
      <c r="H69" s="103"/>
      <c r="I69" s="103"/>
      <c r="J69" s="113"/>
      <c r="K69" s="103"/>
      <c r="L69" s="104"/>
      <c r="M69" s="104"/>
      <c r="N69" s="104"/>
      <c r="O69" s="104"/>
      <c r="P69" s="104"/>
      <c r="Q69" s="102"/>
      <c r="R69" s="102"/>
      <c r="S69" s="102"/>
      <c r="T69" s="102"/>
    </row>
    <row r="70" spans="3:28" ht="20" x14ac:dyDescent="0.25">
      <c r="C70" s="104"/>
      <c r="D70" s="104"/>
      <c r="E70" s="104"/>
      <c r="F70" s="104"/>
      <c r="G70" s="104"/>
      <c r="H70" s="103"/>
      <c r="I70" s="103"/>
      <c r="J70" s="113"/>
      <c r="K70" s="103"/>
      <c r="L70" s="104"/>
      <c r="M70" s="104"/>
      <c r="N70" s="104"/>
      <c r="O70" s="104"/>
      <c r="P70" s="104"/>
      <c r="Q70" s="102"/>
      <c r="R70" s="102"/>
      <c r="S70" s="102"/>
      <c r="T70" s="102"/>
    </row>
    <row r="71" spans="3:28" ht="20" x14ac:dyDescent="0.25">
      <c r="C71" s="104"/>
      <c r="D71" s="104"/>
      <c r="E71" s="104"/>
      <c r="F71" s="104"/>
      <c r="G71" s="104"/>
      <c r="H71" s="103"/>
      <c r="I71" s="103"/>
      <c r="J71" s="113"/>
      <c r="K71" s="103"/>
      <c r="L71" s="104"/>
      <c r="M71" s="104"/>
      <c r="N71" s="104"/>
      <c r="O71" s="104"/>
      <c r="P71" s="104"/>
      <c r="Q71" s="102"/>
      <c r="R71" s="102"/>
      <c r="S71" s="102"/>
      <c r="T71" s="102"/>
    </row>
    <row r="72" spans="3:28" x14ac:dyDescent="0.25">
      <c r="C72" s="104"/>
      <c r="D72" s="105"/>
      <c r="E72" s="104"/>
      <c r="F72" s="104"/>
      <c r="G72" s="104"/>
      <c r="H72" s="103"/>
      <c r="I72" s="103"/>
      <c r="J72" s="103"/>
      <c r="K72" s="103"/>
      <c r="L72" s="104"/>
      <c r="M72" s="104"/>
      <c r="N72" s="104"/>
      <c r="O72" s="104"/>
      <c r="P72" s="104"/>
      <c r="Q72" s="102"/>
      <c r="R72" s="102"/>
      <c r="S72" s="102"/>
      <c r="T72" s="102"/>
    </row>
    <row r="73" spans="3:28" x14ac:dyDescent="0.25">
      <c r="C73" s="104"/>
      <c r="D73" s="105"/>
      <c r="E73" s="104"/>
      <c r="F73" s="104"/>
      <c r="G73" s="104"/>
      <c r="H73" s="103"/>
      <c r="I73" s="103"/>
      <c r="J73" s="103"/>
      <c r="K73" s="103"/>
      <c r="L73" s="104"/>
      <c r="M73" s="104"/>
      <c r="N73" s="104"/>
      <c r="O73" s="104"/>
      <c r="P73" s="104"/>
      <c r="Q73" s="102"/>
      <c r="R73" s="102"/>
      <c r="S73" s="102"/>
      <c r="T73" s="102"/>
    </row>
    <row r="74" spans="3:28" x14ac:dyDescent="0.25">
      <c r="C74" s="104"/>
      <c r="D74" s="105"/>
      <c r="E74" s="104"/>
      <c r="F74" s="104"/>
      <c r="G74" s="104"/>
      <c r="H74" s="103"/>
      <c r="I74" s="103"/>
      <c r="J74" s="103"/>
      <c r="K74" s="103"/>
      <c r="L74" s="104"/>
      <c r="M74" s="104"/>
      <c r="N74" s="104"/>
      <c r="O74" s="104"/>
      <c r="P74" s="104"/>
      <c r="Q74" s="102"/>
      <c r="R74" s="102"/>
      <c r="S74" s="102"/>
      <c r="T74" s="102"/>
    </row>
    <row r="75" spans="3:28" x14ac:dyDescent="0.25">
      <c r="C75" s="104"/>
      <c r="D75" s="105"/>
      <c r="E75" s="104"/>
      <c r="F75" s="104"/>
      <c r="G75" s="104"/>
      <c r="H75" s="103"/>
      <c r="I75" s="103"/>
      <c r="J75" s="103"/>
      <c r="K75" s="103"/>
      <c r="L75" s="104"/>
      <c r="M75" s="104"/>
      <c r="N75" s="104"/>
      <c r="O75" s="104"/>
      <c r="P75" s="104"/>
      <c r="Q75" s="102"/>
      <c r="R75" s="102"/>
      <c r="S75" s="102"/>
      <c r="T75" s="102"/>
    </row>
    <row r="76" spans="3:28" x14ac:dyDescent="0.25">
      <c r="C76" s="104"/>
      <c r="D76" s="105"/>
      <c r="E76" s="104"/>
      <c r="F76" s="104"/>
      <c r="G76" s="104"/>
      <c r="H76" s="103"/>
      <c r="I76" s="103"/>
      <c r="J76" s="103"/>
      <c r="K76" s="103"/>
      <c r="L76" s="104"/>
      <c r="M76" s="104"/>
      <c r="N76" s="104"/>
      <c r="O76" s="104"/>
      <c r="P76" s="104"/>
      <c r="Q76" s="102"/>
      <c r="R76" s="102"/>
      <c r="S76" s="102"/>
      <c r="T76" s="102"/>
    </row>
    <row r="77" spans="3:28" x14ac:dyDescent="0.25">
      <c r="C77" s="104"/>
      <c r="D77" s="105"/>
      <c r="E77" s="104"/>
      <c r="F77" s="104"/>
      <c r="G77" s="104"/>
      <c r="H77" s="103"/>
      <c r="I77" s="103"/>
      <c r="J77" s="103"/>
      <c r="K77" s="103"/>
      <c r="L77" s="104"/>
      <c r="M77" s="104"/>
      <c r="N77" s="104"/>
      <c r="O77" s="104"/>
      <c r="P77" s="104"/>
      <c r="Q77" s="102"/>
      <c r="R77" s="102"/>
      <c r="S77" s="102"/>
      <c r="T77" s="102"/>
    </row>
    <row r="78" spans="3:28" x14ac:dyDescent="0.25">
      <c r="C78" s="104"/>
      <c r="D78" s="105"/>
      <c r="E78" s="104"/>
      <c r="F78" s="104"/>
      <c r="G78" s="104"/>
      <c r="H78" s="103"/>
      <c r="I78" s="103"/>
      <c r="J78" s="103"/>
      <c r="K78" s="103"/>
      <c r="L78" s="104"/>
      <c r="M78" s="104"/>
      <c r="N78" s="104"/>
      <c r="O78" s="104"/>
      <c r="P78" s="104"/>
      <c r="Q78" s="102"/>
      <c r="R78" s="102"/>
      <c r="S78" s="102"/>
      <c r="T78" s="102"/>
    </row>
    <row r="79" spans="3:28" x14ac:dyDescent="0.25">
      <c r="C79" s="104"/>
      <c r="D79" s="105"/>
      <c r="E79" s="104"/>
      <c r="F79" s="104"/>
      <c r="G79" s="104"/>
      <c r="H79" s="103"/>
      <c r="I79" s="103"/>
      <c r="J79" s="103"/>
      <c r="K79" s="103"/>
      <c r="L79" s="104"/>
      <c r="M79" s="104"/>
      <c r="N79" s="104"/>
      <c r="O79" s="104"/>
      <c r="P79" s="104"/>
      <c r="Q79" s="102"/>
      <c r="R79" s="102"/>
      <c r="S79" s="102"/>
      <c r="T79" s="102"/>
    </row>
    <row r="80" spans="3:28" x14ac:dyDescent="0.25">
      <c r="C80" s="104"/>
      <c r="D80" s="105"/>
      <c r="E80" s="104"/>
      <c r="F80" s="104"/>
      <c r="G80" s="104"/>
      <c r="H80" s="103"/>
      <c r="I80" s="103"/>
      <c r="J80" s="103"/>
      <c r="K80" s="103"/>
      <c r="L80" s="104"/>
      <c r="M80" s="104"/>
      <c r="N80" s="104"/>
      <c r="O80" s="104"/>
      <c r="P80" s="104"/>
      <c r="Q80" s="102"/>
      <c r="R80" s="102"/>
      <c r="S80" s="102"/>
      <c r="T80" s="102"/>
    </row>
    <row r="81" spans="3:20" x14ac:dyDescent="0.25">
      <c r="C81" s="104"/>
      <c r="D81" s="105"/>
      <c r="E81" s="104"/>
      <c r="F81" s="104"/>
      <c r="G81" s="104"/>
      <c r="H81" s="103"/>
      <c r="I81" s="103"/>
      <c r="J81" s="103"/>
      <c r="K81" s="103"/>
      <c r="L81" s="104"/>
      <c r="M81" s="104"/>
      <c r="N81" s="104"/>
      <c r="O81" s="104"/>
      <c r="P81" s="104"/>
      <c r="Q81" s="102"/>
      <c r="R81" s="102"/>
      <c r="S81" s="102"/>
      <c r="T81" s="102"/>
    </row>
    <row r="82" spans="3:20" x14ac:dyDescent="0.25">
      <c r="C82" s="104"/>
      <c r="D82" s="105"/>
      <c r="E82" s="104"/>
      <c r="F82" s="104"/>
      <c r="G82" s="104"/>
      <c r="H82" s="103"/>
      <c r="I82" s="103"/>
      <c r="J82" s="103"/>
      <c r="K82" s="103"/>
      <c r="L82" s="104"/>
      <c r="M82" s="104"/>
      <c r="N82" s="104"/>
      <c r="O82" s="104"/>
      <c r="P82" s="104"/>
      <c r="Q82" s="102"/>
      <c r="R82" s="102"/>
      <c r="S82" s="102"/>
      <c r="T82" s="102"/>
    </row>
    <row r="83" spans="3:20" x14ac:dyDescent="0.25">
      <c r="C83" s="104"/>
      <c r="D83" s="105"/>
      <c r="E83" s="104"/>
      <c r="F83" s="104"/>
      <c r="G83" s="104"/>
      <c r="H83" s="103"/>
      <c r="I83" s="103"/>
      <c r="J83" s="103"/>
      <c r="K83" s="103"/>
      <c r="L83" s="104"/>
      <c r="M83" s="104"/>
      <c r="N83" s="104"/>
      <c r="O83" s="104"/>
      <c r="P83" s="104"/>
      <c r="Q83" s="102"/>
      <c r="R83" s="102"/>
      <c r="S83" s="102"/>
      <c r="T83" s="102"/>
    </row>
    <row r="84" spans="3:20" x14ac:dyDescent="0.25">
      <c r="C84" s="104"/>
      <c r="D84" s="105"/>
      <c r="E84" s="104"/>
      <c r="F84" s="104"/>
      <c r="G84" s="104"/>
      <c r="H84" s="103"/>
      <c r="I84" s="103"/>
      <c r="J84" s="103"/>
      <c r="K84" s="103"/>
      <c r="L84" s="104"/>
      <c r="M84" s="104"/>
      <c r="N84" s="104"/>
      <c r="O84" s="104"/>
      <c r="P84" s="104"/>
      <c r="Q84" s="102"/>
      <c r="R84" s="102"/>
      <c r="S84" s="102"/>
      <c r="T84" s="102"/>
    </row>
    <row r="85" spans="3:20" x14ac:dyDescent="0.25">
      <c r="C85" s="104"/>
      <c r="D85" s="110"/>
      <c r="E85" s="114"/>
      <c r="F85" s="114"/>
      <c r="G85" s="114"/>
      <c r="H85" s="115"/>
      <c r="I85" s="115"/>
      <c r="J85" s="115"/>
      <c r="K85" s="115"/>
      <c r="L85" s="104"/>
      <c r="M85" s="104"/>
      <c r="N85" s="104"/>
      <c r="O85" s="104"/>
      <c r="P85" s="104"/>
      <c r="Q85" s="102"/>
      <c r="R85" s="102"/>
      <c r="S85" s="102"/>
      <c r="T85" s="102"/>
    </row>
  </sheetData>
  <sheetProtection sheet="1" objects="1" scenarios="1"/>
  <dataConsolidate link="1"/>
  <mergeCells count="37">
    <mergeCell ref="B27:B28"/>
    <mergeCell ref="S28:S35"/>
    <mergeCell ref="T28:T35"/>
    <mergeCell ref="C1:J1"/>
    <mergeCell ref="K1:S1"/>
    <mergeCell ref="C2:D2"/>
    <mergeCell ref="G2:I2"/>
    <mergeCell ref="B5:B6"/>
    <mergeCell ref="S15:S16"/>
    <mergeCell ref="T15:T16"/>
    <mergeCell ref="S17:S24"/>
    <mergeCell ref="T17:T24"/>
    <mergeCell ref="S26:S27"/>
    <mergeCell ref="T26:T27"/>
    <mergeCell ref="S37:S38"/>
    <mergeCell ref="T37:T38"/>
    <mergeCell ref="S39:S46"/>
    <mergeCell ref="T39:T46"/>
    <mergeCell ref="C41:F41"/>
    <mergeCell ref="G41:Q41"/>
    <mergeCell ref="D42:F42"/>
    <mergeCell ref="G42:H42"/>
    <mergeCell ref="I42:Q42"/>
    <mergeCell ref="D43:F43"/>
    <mergeCell ref="G43:H43"/>
    <mergeCell ref="I43:Q43"/>
    <mergeCell ref="D44:F44"/>
    <mergeCell ref="K47:Q47"/>
    <mergeCell ref="R56:R57"/>
    <mergeCell ref="G44:H44"/>
    <mergeCell ref="I44:Q44"/>
    <mergeCell ref="D46:F46"/>
    <mergeCell ref="G46:H46"/>
    <mergeCell ref="I46:Q46"/>
    <mergeCell ref="D45:F45"/>
    <mergeCell ref="G45:H45"/>
    <mergeCell ref="I45:Q45"/>
  </mergeCells>
  <conditionalFormatting sqref="C7:C18">
    <cfRule type="expression" dxfId="328" priority="145" stopIfTrue="1">
      <formula>B7=5</formula>
    </cfRule>
    <cfRule type="expression" dxfId="327" priority="142" stopIfTrue="1">
      <formula>B7=6</formula>
    </cfRule>
    <cfRule type="expression" dxfId="326" priority="143" stopIfTrue="1">
      <formula>B7=3</formula>
    </cfRule>
    <cfRule type="expression" dxfId="325" priority="144" stopIfTrue="1">
      <formula>B7=4</formula>
    </cfRule>
    <cfRule type="expression" dxfId="324" priority="141" stopIfTrue="1">
      <formula>B7=7</formula>
    </cfRule>
    <cfRule type="cellIs" dxfId="323" priority="139" operator="equal">
      <formula>""</formula>
    </cfRule>
    <cfRule type="expression" dxfId="322" priority="140" stopIfTrue="1">
      <formula>B7=8</formula>
    </cfRule>
  </conditionalFormatting>
  <conditionalFormatting sqref="C29:C40">
    <cfRule type="cellIs" dxfId="321" priority="146" operator="equal">
      <formula>""</formula>
    </cfRule>
    <cfRule type="expression" dxfId="320" priority="147" stopIfTrue="1">
      <formula>B29=8</formula>
    </cfRule>
    <cfRule type="expression" dxfId="319" priority="149" stopIfTrue="1">
      <formula>B29=6</formula>
    </cfRule>
    <cfRule type="expression" dxfId="318" priority="150" stopIfTrue="1">
      <formula>B29=3</formula>
    </cfRule>
    <cfRule type="expression" dxfId="317" priority="151" stopIfTrue="1">
      <formula>B29=4</formula>
    </cfRule>
    <cfRule type="expression" dxfId="316" priority="152" stopIfTrue="1">
      <formula>B29=5</formula>
    </cfRule>
    <cfRule type="expression" dxfId="315" priority="148" stopIfTrue="1">
      <formula>B29=7</formula>
    </cfRule>
  </conditionalFormatting>
  <conditionalFormatting sqref="C42:C46">
    <cfRule type="cellIs" dxfId="314" priority="343" operator="notEqual">
      <formula>""</formula>
    </cfRule>
  </conditionalFormatting>
  <conditionalFormatting sqref="E5:E40">
    <cfRule type="expression" dxfId="313" priority="381">
      <formula>$D5=6</formula>
    </cfRule>
    <cfRule type="expression" dxfId="312" priority="380">
      <formula>$D5=7</formula>
    </cfRule>
    <cfRule type="expression" dxfId="311" priority="378">
      <formula>$D5=5</formula>
    </cfRule>
    <cfRule type="expression" dxfId="310" priority="377">
      <formula>$D5=4</formula>
    </cfRule>
    <cfRule type="expression" dxfId="309" priority="376">
      <formula>$D5=3</formula>
    </cfRule>
    <cfRule type="expression" dxfId="308" priority="379">
      <formula>$D5=8</formula>
    </cfRule>
  </conditionalFormatting>
  <conditionalFormatting sqref="F5:F40">
    <cfRule type="expression" dxfId="307" priority="385">
      <formula>$H5=0</formula>
    </cfRule>
    <cfRule type="expression" dxfId="306" priority="384">
      <formula>$H5&gt;=#REF!</formula>
    </cfRule>
    <cfRule type="expression" dxfId="305" priority="383">
      <formula>$H5&lt;#REF!</formula>
    </cfRule>
    <cfRule type="expression" dxfId="304" priority="382">
      <formula>$H5=0</formula>
    </cfRule>
  </conditionalFormatting>
  <conditionalFormatting sqref="G42:G46">
    <cfRule type="cellIs" dxfId="303" priority="364" operator="notEqual">
      <formula>""</formula>
    </cfRule>
  </conditionalFormatting>
  <conditionalFormatting sqref="H5:H40">
    <cfRule type="cellIs" dxfId="302" priority="1" operator="between">
      <formula>1.6</formula>
      <formula>2.5</formula>
    </cfRule>
    <cfRule type="cellIs" dxfId="301" priority="390" stopIfTrue="1" operator="between">
      <formula>3</formula>
      <formula>3.9</formula>
    </cfRule>
    <cfRule type="cellIs" dxfId="300" priority="389" stopIfTrue="1" operator="between">
      <formula>0.1</formula>
      <formula>1.5</formula>
    </cfRule>
    <cfRule type="cellIs" dxfId="299" priority="391" stopIfTrue="1" operator="between">
      <formula>4</formula>
      <formula>5</formula>
    </cfRule>
  </conditionalFormatting>
  <conditionalFormatting sqref="I5:I39">
    <cfRule type="cellIs" dxfId="298" priority="7" stopIfTrue="1" operator="between">
      <formula>"A-1"</formula>
      <formula>"A-2"</formula>
    </cfRule>
    <cfRule type="cellIs" dxfId="297" priority="6" stopIfTrue="1" operator="between">
      <formula>"B-2"</formula>
      <formula>"B-3"</formula>
    </cfRule>
    <cfRule type="cellIs" dxfId="296" priority="5" stopIfTrue="1" operator="between">
      <formula>"D-5"</formula>
      <formula>"E-5"</formula>
    </cfRule>
    <cfRule type="cellIs" dxfId="295" priority="2" operator="between">
      <formula>"C-4"</formula>
      <formula>"D-4"</formula>
    </cfRule>
  </conditionalFormatting>
  <conditionalFormatting sqref="I5:I40">
    <cfRule type="cellIs" dxfId="294" priority="4" operator="equal">
      <formula>"A-1+"</formula>
    </cfRule>
    <cfRule type="cellIs" dxfId="293" priority="3" operator="equal">
      <formula>"E-5-"</formula>
    </cfRule>
  </conditionalFormatting>
  <conditionalFormatting sqref="I40">
    <cfRule type="cellIs" dxfId="292" priority="10" stopIfTrue="1" operator="between">
      <formula>"D-3"</formula>
      <formula>"E-5"</formula>
    </cfRule>
    <cfRule type="cellIs" dxfId="291" priority="12" stopIfTrue="1" operator="between">
      <formula>"A-1"</formula>
      <formula>"A-2"</formula>
    </cfRule>
    <cfRule type="cellIs" dxfId="290" priority="11" stopIfTrue="1" operator="between">
      <formula>"B-2"</formula>
      <formula>"B-3"</formula>
    </cfRule>
  </conditionalFormatting>
  <conditionalFormatting sqref="J5:J40">
    <cfRule type="cellIs" dxfId="289" priority="320" operator="equal">
      <formula>"!"</formula>
    </cfRule>
    <cfRule type="cellIs" dxfId="288" priority="319" operator="equal">
      <formula>"*"</formula>
    </cfRule>
  </conditionalFormatting>
  <conditionalFormatting sqref="K16:K23">
    <cfRule type="cellIs" dxfId="287" priority="76" stopIfTrue="1" operator="equal">
      <formula>"G"</formula>
    </cfRule>
    <cfRule type="cellIs" dxfId="286" priority="77" stopIfTrue="1" operator="equal">
      <formula>"M"</formula>
    </cfRule>
    <cfRule type="cellIs" dxfId="285" priority="78" stopIfTrue="1" operator="equal">
      <formula>"O"</formula>
    </cfRule>
  </conditionalFormatting>
  <conditionalFormatting sqref="K5:M17">
    <cfRule type="cellIs" dxfId="284" priority="84" stopIfTrue="1" operator="equal">
      <formula>"O"</formula>
    </cfRule>
    <cfRule type="cellIs" dxfId="283" priority="83" stopIfTrue="1" operator="equal">
      <formula>"M"</formula>
    </cfRule>
    <cfRule type="cellIs" dxfId="282" priority="82" stopIfTrue="1" operator="equal">
      <formula>"G"</formula>
    </cfRule>
  </conditionalFormatting>
  <conditionalFormatting sqref="K15:M15">
    <cfRule type="cellIs" dxfId="281" priority="85" stopIfTrue="1" operator="equal">
      <formula>"G"</formula>
    </cfRule>
    <cfRule type="cellIs" dxfId="280" priority="86" stopIfTrue="1" operator="equal">
      <formula>"M"</formula>
    </cfRule>
    <cfRule type="cellIs" dxfId="279" priority="87" stopIfTrue="1" operator="equal">
      <formula>"O"</formula>
    </cfRule>
  </conditionalFormatting>
  <conditionalFormatting sqref="K16:M16">
    <cfRule type="cellIs" dxfId="278" priority="64" stopIfTrue="1" operator="equal">
      <formula>"G"</formula>
    </cfRule>
    <cfRule type="cellIs" dxfId="277" priority="65" stopIfTrue="1" operator="equal">
      <formula>"M"</formula>
    </cfRule>
    <cfRule type="cellIs" dxfId="276" priority="66" stopIfTrue="1" operator="equal">
      <formula>"O"</formula>
    </cfRule>
  </conditionalFormatting>
  <conditionalFormatting sqref="K16:M17">
    <cfRule type="cellIs" dxfId="275" priority="48" stopIfTrue="1" operator="equal">
      <formula>"O"</formula>
    </cfRule>
    <cfRule type="cellIs" dxfId="274" priority="47" stopIfTrue="1" operator="equal">
      <formula>"M"</formula>
    </cfRule>
    <cfRule type="cellIs" dxfId="273" priority="46" stopIfTrue="1" operator="equal">
      <formula>"G"</formula>
    </cfRule>
  </conditionalFormatting>
  <conditionalFormatting sqref="K21:M21">
    <cfRule type="cellIs" dxfId="272" priority="80" stopIfTrue="1" operator="equal">
      <formula>"M"</formula>
    </cfRule>
    <cfRule type="cellIs" dxfId="271" priority="81" stopIfTrue="1" operator="equal">
      <formula>"O"</formula>
    </cfRule>
    <cfRule type="cellIs" dxfId="270" priority="79" stopIfTrue="1" operator="equal">
      <formula>"G"</formula>
    </cfRule>
  </conditionalFormatting>
  <conditionalFormatting sqref="K21:M22">
    <cfRule type="cellIs" dxfId="269" priority="57" stopIfTrue="1" operator="equal">
      <formula>"O"</formula>
    </cfRule>
    <cfRule type="cellIs" dxfId="268" priority="56" stopIfTrue="1" operator="equal">
      <formula>"M"</formula>
    </cfRule>
    <cfRule type="cellIs" dxfId="267" priority="55" stopIfTrue="1" operator="equal">
      <formula>"G"</formula>
    </cfRule>
  </conditionalFormatting>
  <conditionalFormatting sqref="K21:M23">
    <cfRule type="cellIs" dxfId="266" priority="28" stopIfTrue="1" operator="equal">
      <formula>"G"</formula>
    </cfRule>
    <cfRule type="cellIs" dxfId="265" priority="42" stopIfTrue="1" operator="equal">
      <formula>"O"</formula>
    </cfRule>
    <cfRule type="cellIs" dxfId="264" priority="41" stopIfTrue="1" operator="equal">
      <formula>"M"</formula>
    </cfRule>
    <cfRule type="cellIs" dxfId="263" priority="40" stopIfTrue="1" operator="equal">
      <formula>"G"</formula>
    </cfRule>
    <cfRule type="cellIs" dxfId="262" priority="30" stopIfTrue="1" operator="equal">
      <formula>"O"</formula>
    </cfRule>
    <cfRule type="cellIs" dxfId="261" priority="29" stopIfTrue="1" operator="equal">
      <formula>"M"</formula>
    </cfRule>
  </conditionalFormatting>
  <conditionalFormatting sqref="K21:M29">
    <cfRule type="cellIs" dxfId="260" priority="69" stopIfTrue="1" operator="equal">
      <formula>"O"</formula>
    </cfRule>
    <cfRule type="cellIs" dxfId="259" priority="68" stopIfTrue="1" operator="equal">
      <formula>"M"</formula>
    </cfRule>
    <cfRule type="cellIs" dxfId="258" priority="67" stopIfTrue="1" operator="equal">
      <formula>"G"</formula>
    </cfRule>
  </conditionalFormatting>
  <conditionalFormatting sqref="K22:M22">
    <cfRule type="cellIs" dxfId="257" priority="39" stopIfTrue="1" operator="equal">
      <formula>"O"</formula>
    </cfRule>
    <cfRule type="cellIs" dxfId="256" priority="38" stopIfTrue="1" operator="equal">
      <formula>"M"</formula>
    </cfRule>
    <cfRule type="cellIs" dxfId="255" priority="37" stopIfTrue="1" operator="equal">
      <formula>"G"</formula>
    </cfRule>
  </conditionalFormatting>
  <conditionalFormatting sqref="K22:M23">
    <cfRule type="cellIs" dxfId="254" priority="14" stopIfTrue="1" operator="equal">
      <formula>"M"</formula>
    </cfRule>
    <cfRule type="cellIs" dxfId="253" priority="13" stopIfTrue="1" operator="equal">
      <formula>"G"</formula>
    </cfRule>
    <cfRule type="cellIs" dxfId="252" priority="15" stopIfTrue="1" operator="equal">
      <formula>"O"</formula>
    </cfRule>
  </conditionalFormatting>
  <conditionalFormatting sqref="K22:M24">
    <cfRule type="cellIs" dxfId="251" priority="21" stopIfTrue="1" operator="equal">
      <formula>"O"</formula>
    </cfRule>
    <cfRule type="cellIs" dxfId="250" priority="19" stopIfTrue="1" operator="equal">
      <formula>"G"</formula>
    </cfRule>
    <cfRule type="cellIs" dxfId="249" priority="20" stopIfTrue="1" operator="equal">
      <formula>"M"</formula>
    </cfRule>
  </conditionalFormatting>
  <conditionalFormatting sqref="K27:M30">
    <cfRule type="cellIs" dxfId="248" priority="88" stopIfTrue="1" operator="equal">
      <formula>"G"</formula>
    </cfRule>
    <cfRule type="cellIs" dxfId="247" priority="89" stopIfTrue="1" operator="equal">
      <formula>"M"</formula>
    </cfRule>
    <cfRule type="cellIs" dxfId="246" priority="90" stopIfTrue="1" operator="equal">
      <formula>"O"</formula>
    </cfRule>
  </conditionalFormatting>
  <conditionalFormatting sqref="K29:M30">
    <cfRule type="cellIs" dxfId="245" priority="95" stopIfTrue="1" operator="equal">
      <formula>"M"</formula>
    </cfRule>
    <cfRule type="cellIs" dxfId="244" priority="96" stopIfTrue="1" operator="equal">
      <formula>"O"</formula>
    </cfRule>
    <cfRule type="cellIs" dxfId="243" priority="94" stopIfTrue="1" operator="equal">
      <formula>"G"</formula>
    </cfRule>
  </conditionalFormatting>
  <conditionalFormatting sqref="K31:M33">
    <cfRule type="cellIs" dxfId="242" priority="102" stopIfTrue="1" operator="equal">
      <formula>"O"</formula>
    </cfRule>
    <cfRule type="cellIs" dxfId="241" priority="101" stopIfTrue="1" operator="equal">
      <formula>"M"</formula>
    </cfRule>
    <cfRule type="cellIs" dxfId="240" priority="100" stopIfTrue="1" operator="equal">
      <formula>"G"</formula>
    </cfRule>
  </conditionalFormatting>
  <conditionalFormatting sqref="K32:M32">
    <cfRule type="cellIs" dxfId="239" priority="104" stopIfTrue="1" operator="equal">
      <formula>"M"</formula>
    </cfRule>
    <cfRule type="cellIs" dxfId="238" priority="103" stopIfTrue="1" operator="equal">
      <formula>"G"</formula>
    </cfRule>
    <cfRule type="cellIs" dxfId="237" priority="105" stopIfTrue="1" operator="equal">
      <formula>"O"</formula>
    </cfRule>
  </conditionalFormatting>
  <conditionalFormatting sqref="K33:M33">
    <cfRule type="cellIs" dxfId="236" priority="99" stopIfTrue="1" operator="equal">
      <formula>"O"</formula>
    </cfRule>
    <cfRule type="cellIs" dxfId="235" priority="97" stopIfTrue="1" operator="equal">
      <formula>"G"</formula>
    </cfRule>
    <cfRule type="cellIs" dxfId="234" priority="98" stopIfTrue="1" operator="equal">
      <formula>"M"</formula>
    </cfRule>
  </conditionalFormatting>
  <conditionalFormatting sqref="K20:Q20">
    <cfRule type="cellIs" dxfId="233" priority="58" stopIfTrue="1" operator="equal">
      <formula>"G"</formula>
    </cfRule>
    <cfRule type="cellIs" dxfId="232" priority="59" stopIfTrue="1" operator="equal">
      <formula>"M"</formula>
    </cfRule>
    <cfRule type="cellIs" dxfId="231" priority="60" stopIfTrue="1" operator="equal">
      <formula>"O"</formula>
    </cfRule>
  </conditionalFormatting>
  <conditionalFormatting sqref="K33:Q40">
    <cfRule type="cellIs" dxfId="230" priority="108" stopIfTrue="1" operator="equal">
      <formula>"O"</formula>
    </cfRule>
    <cfRule type="cellIs" dxfId="229" priority="107" stopIfTrue="1" operator="equal">
      <formula>"M"</formula>
    </cfRule>
    <cfRule type="cellIs" dxfId="228" priority="106" stopIfTrue="1" operator="equal">
      <formula>"G"</formula>
    </cfRule>
  </conditionalFormatting>
  <conditionalFormatting sqref="L16:M24">
    <cfRule type="cellIs" dxfId="227" priority="73" stopIfTrue="1" operator="equal">
      <formula>"G"</formula>
    </cfRule>
    <cfRule type="cellIs" dxfId="226" priority="74" stopIfTrue="1" operator="equal">
      <formula>"M"</formula>
    </cfRule>
    <cfRule type="cellIs" dxfId="225" priority="75" stopIfTrue="1" operator="equal">
      <formula>"O"</formula>
    </cfRule>
  </conditionalFormatting>
  <conditionalFormatting sqref="N5:Q7">
    <cfRule type="cellIs" dxfId="224" priority="127" stopIfTrue="1" operator="equal">
      <formula>"G"</formula>
    </cfRule>
    <cfRule type="cellIs" dxfId="223" priority="128" stopIfTrue="1" operator="equal">
      <formula>"M"</formula>
    </cfRule>
    <cfRule type="cellIs" dxfId="222" priority="129" stopIfTrue="1" operator="equal">
      <formula>"O"</formula>
    </cfRule>
  </conditionalFormatting>
  <conditionalFormatting sqref="N6:Q7">
    <cfRule type="cellIs" dxfId="221" priority="119" stopIfTrue="1" operator="equal">
      <formula>"M"</formula>
    </cfRule>
    <cfRule type="cellIs" dxfId="220" priority="120" stopIfTrue="1" operator="equal">
      <formula>"O"</formula>
    </cfRule>
    <cfRule type="cellIs" dxfId="219" priority="118" stopIfTrue="1" operator="equal">
      <formula>"G"</formula>
    </cfRule>
  </conditionalFormatting>
  <conditionalFormatting sqref="N7:Q7">
    <cfRule type="cellIs" dxfId="218" priority="116" stopIfTrue="1" operator="equal">
      <formula>"M"</formula>
    </cfRule>
    <cfRule type="cellIs" dxfId="217" priority="115" stopIfTrue="1" operator="equal">
      <formula>"G"</formula>
    </cfRule>
    <cfRule type="cellIs" dxfId="216" priority="114" stopIfTrue="1" operator="equal">
      <formula>"O"</formula>
    </cfRule>
    <cfRule type="cellIs" dxfId="215" priority="113" stopIfTrue="1" operator="equal">
      <formula>"M"</formula>
    </cfRule>
    <cfRule type="cellIs" dxfId="214" priority="112" stopIfTrue="1" operator="equal">
      <formula>"G"</formula>
    </cfRule>
    <cfRule type="cellIs" dxfId="213" priority="117" stopIfTrue="1" operator="equal">
      <formula>"O"</formula>
    </cfRule>
  </conditionalFormatting>
  <conditionalFormatting sqref="N7:Q8">
    <cfRule type="cellIs" dxfId="212" priority="134" stopIfTrue="1" operator="equal">
      <formula>"M"</formula>
    </cfRule>
    <cfRule type="cellIs" dxfId="211" priority="133" stopIfTrue="1" operator="equal">
      <formula>"G"</formula>
    </cfRule>
    <cfRule type="cellIs" dxfId="210" priority="135" stopIfTrue="1" operator="equal">
      <formula>"O"</formula>
    </cfRule>
  </conditionalFormatting>
  <conditionalFormatting sqref="N9:Q16">
    <cfRule type="cellIs" dxfId="209" priority="110" stopIfTrue="1" operator="equal">
      <formula>"M"</formula>
    </cfRule>
    <cfRule type="cellIs" dxfId="208" priority="111" stopIfTrue="1" operator="equal">
      <formula>"O"</formula>
    </cfRule>
    <cfRule type="cellIs" dxfId="207" priority="109" stopIfTrue="1" operator="equal">
      <formula>"G"</formula>
    </cfRule>
  </conditionalFormatting>
  <conditionalFormatting sqref="N15:Q15">
    <cfRule type="cellIs" dxfId="206" priority="225" stopIfTrue="1" operator="equal">
      <formula>"G"</formula>
    </cfRule>
    <cfRule type="cellIs" dxfId="205" priority="226" stopIfTrue="1" operator="equal">
      <formula>"M"</formula>
    </cfRule>
    <cfRule type="cellIs" dxfId="204" priority="227" stopIfTrue="1" operator="equal">
      <formula>"O"</formula>
    </cfRule>
  </conditionalFormatting>
  <conditionalFormatting sqref="N15:Q16">
    <cfRule type="cellIs" dxfId="203" priority="224" stopIfTrue="1" operator="equal">
      <formula>"O"</formula>
    </cfRule>
    <cfRule type="cellIs" dxfId="202" priority="222" stopIfTrue="1" operator="equal">
      <formula>"G"</formula>
    </cfRule>
    <cfRule type="cellIs" dxfId="201" priority="223" stopIfTrue="1" operator="equal">
      <formula>"M"</formula>
    </cfRule>
  </conditionalFormatting>
  <conditionalFormatting sqref="N15:Q22">
    <cfRule type="cellIs" dxfId="200" priority="213" stopIfTrue="1" operator="equal">
      <formula>"G"</formula>
    </cfRule>
    <cfRule type="cellIs" dxfId="199" priority="214" stopIfTrue="1" operator="equal">
      <formula>"M"</formula>
    </cfRule>
    <cfRule type="cellIs" dxfId="198" priority="215" stopIfTrue="1" operator="equal">
      <formula>"O"</formula>
    </cfRule>
  </conditionalFormatting>
  <conditionalFormatting sqref="N19:Q21">
    <cfRule type="cellIs" dxfId="197" priority="179" stopIfTrue="1" operator="equal">
      <formula>"O"</formula>
    </cfRule>
    <cfRule type="cellIs" dxfId="196" priority="178" stopIfTrue="1" operator="equal">
      <formula>"M"</formula>
    </cfRule>
    <cfRule type="cellIs" dxfId="195" priority="177" stopIfTrue="1" operator="equal">
      <formula>"G"</formula>
    </cfRule>
  </conditionalFormatting>
  <conditionalFormatting sqref="N20:Q22">
    <cfRule type="cellIs" dxfId="194" priority="196" stopIfTrue="1" operator="equal">
      <formula>"M"</formula>
    </cfRule>
    <cfRule type="cellIs" dxfId="193" priority="197" stopIfTrue="1" operator="equal">
      <formula>"O"</formula>
    </cfRule>
    <cfRule type="cellIs" dxfId="192" priority="195" stopIfTrue="1" operator="equal">
      <formula>"G"</formula>
    </cfRule>
  </conditionalFormatting>
  <conditionalFormatting sqref="N20:Q26">
    <cfRule type="cellIs" dxfId="191" priority="209" stopIfTrue="1" operator="equal">
      <formula>"O"</formula>
    </cfRule>
    <cfRule type="cellIs" dxfId="190" priority="208" stopIfTrue="1" operator="equal">
      <formula>"M"</formula>
    </cfRule>
    <cfRule type="cellIs" dxfId="189" priority="207" stopIfTrue="1" operator="equal">
      <formula>"G"</formula>
    </cfRule>
  </conditionalFormatting>
  <conditionalFormatting sqref="N21:Q21">
    <cfRule type="cellIs" dxfId="188" priority="220" stopIfTrue="1" operator="equal">
      <formula>"M"</formula>
    </cfRule>
    <cfRule type="cellIs" dxfId="187" priority="219" stopIfTrue="1" operator="equal">
      <formula>"G"</formula>
    </cfRule>
    <cfRule type="cellIs" dxfId="186" priority="221" stopIfTrue="1" operator="equal">
      <formula>"O"</formula>
    </cfRule>
  </conditionalFormatting>
  <conditionalFormatting sqref="N26:Q28">
    <cfRule type="cellIs" dxfId="185" priority="228" stopIfTrue="1" operator="equal">
      <formula>"G"</formula>
    </cfRule>
    <cfRule type="cellIs" dxfId="184" priority="229" stopIfTrue="1" operator="equal">
      <formula>"M"</formula>
    </cfRule>
    <cfRule type="cellIs" dxfId="183" priority="230" stopIfTrue="1" operator="equal">
      <formula>"O"</formula>
    </cfRule>
  </conditionalFormatting>
  <conditionalFormatting sqref="N28:Q33">
    <cfRule type="cellIs" dxfId="182" priority="234" stopIfTrue="1" operator="equal">
      <formula>"G"</formula>
    </cfRule>
    <cfRule type="cellIs" dxfId="181" priority="235" stopIfTrue="1" operator="equal">
      <formula>"M"</formula>
    </cfRule>
    <cfRule type="cellIs" dxfId="180" priority="236" stopIfTrue="1" operator="equal">
      <formula>"O"</formula>
    </cfRule>
  </conditionalFormatting>
  <conditionalFormatting sqref="N30:Q30">
    <cfRule type="cellIs" dxfId="179" priority="194" stopIfTrue="1" operator="equal">
      <formula>"O"</formula>
    </cfRule>
    <cfRule type="cellIs" dxfId="178" priority="193" stopIfTrue="1" operator="equal">
      <formula>"M"</formula>
    </cfRule>
    <cfRule type="cellIs" dxfId="177" priority="192" stopIfTrue="1" operator="equal">
      <formula>"G"</formula>
    </cfRule>
  </conditionalFormatting>
  <conditionalFormatting sqref="N32:Q33">
    <cfRule type="cellIs" dxfId="176" priority="303" stopIfTrue="1" operator="equal">
      <formula>"G"</formula>
    </cfRule>
    <cfRule type="cellIs" dxfId="175" priority="304" stopIfTrue="1" operator="equal">
      <formula>"M"</formula>
    </cfRule>
    <cfRule type="cellIs" dxfId="174" priority="305" stopIfTrue="1" operator="equal">
      <formula>"O"</formula>
    </cfRule>
  </conditionalFormatting>
  <conditionalFormatting sqref="R5:R40">
    <cfRule type="cellIs" dxfId="173" priority="136" operator="equal">
      <formula>FALSE</formula>
    </cfRule>
    <cfRule type="cellIs" dxfId="172" priority="137" operator="equal">
      <formula>"*"</formula>
    </cfRule>
    <cfRule type="cellIs" dxfId="171" priority="138" operator="equal">
      <formula>"!"</formula>
    </cfRule>
  </conditionalFormatting>
  <conditionalFormatting sqref="V6:V7">
    <cfRule type="cellIs" dxfId="170" priority="357" operator="equal">
      <formula>0</formula>
    </cfRule>
  </conditionalFormatting>
  <conditionalFormatting sqref="V9 V11">
    <cfRule type="cellIs" dxfId="169" priority="360" operator="equal">
      <formula>0</formula>
    </cfRule>
  </conditionalFormatting>
  <conditionalFormatting sqref="V13 V15">
    <cfRule type="cellIs" dxfId="168" priority="361" operator="equal">
      <formula>0</formula>
    </cfRule>
  </conditionalFormatting>
  <conditionalFormatting sqref="W7:Y7 W9:Y9 W11:Y11">
    <cfRule type="cellIs" dxfId="167" priority="363" operator="equal">
      <formula>0</formula>
    </cfRule>
  </conditionalFormatting>
  <conditionalFormatting sqref="W13:Y13 W15:Y15">
    <cfRule type="cellIs" dxfId="166" priority="358" operator="equal">
      <formula>0</formula>
    </cfRule>
  </conditionalFormatting>
  <conditionalFormatting sqref="Z6:Z7">
    <cfRule type="cellIs" dxfId="165" priority="356" operator="equal">
      <formula>0</formula>
    </cfRule>
  </conditionalFormatting>
  <conditionalFormatting sqref="Z9 Z11">
    <cfRule type="cellIs" dxfId="164" priority="359" operator="equal">
      <formula>0</formula>
    </cfRule>
  </conditionalFormatting>
  <conditionalFormatting sqref="Z13 Z15">
    <cfRule type="cellIs" dxfId="163" priority="362" operator="equal">
      <formula>0</formula>
    </cfRule>
  </conditionalFormatting>
  <dataValidations count="10">
    <dataValidation type="list" allowBlank="1" showInputMessage="1" showErrorMessage="1" sqref="C46 G46" xr:uid="{00000000-0002-0000-2B00-000000000000}">
      <formula1>"vrijdag,"</formula1>
    </dataValidation>
    <dataValidation type="list" allowBlank="1" showInputMessage="1" showErrorMessage="1" sqref="C45 G45" xr:uid="{00000000-0002-0000-2B00-000001000000}">
      <formula1>"donderdag,"</formula1>
    </dataValidation>
    <dataValidation type="list" allowBlank="1" showInputMessage="1" showErrorMessage="1" sqref="C44 G44" xr:uid="{00000000-0002-0000-2B00-000002000000}">
      <formula1>"woensdag,"</formula1>
    </dataValidation>
    <dataValidation type="list" allowBlank="1" showInputMessage="1" showErrorMessage="1" sqref="C43 G43" xr:uid="{00000000-0002-0000-2B00-000003000000}">
      <formula1>"dinsdag,"</formula1>
    </dataValidation>
    <dataValidation type="list" allowBlank="1" showInputMessage="1" showErrorMessage="1" sqref="C42 G42" xr:uid="{00000000-0002-0000-2B00-000004000000}">
      <formula1>"maandag,"</formula1>
    </dataValidation>
    <dataValidation type="list" allowBlank="1" showInputMessage="1" showErrorMessage="1" sqref="B7:B18 B29:B40" xr:uid="{00000000-0002-0000-2B00-000005000000}">
      <formula1>"3,4,5,6,7,8,"</formula1>
    </dataValidation>
    <dataValidation allowBlank="1" showInputMessage="1" showErrorMessage="1" promptTitle="Pulldown venster" prompt="groeps  HP: -_x000a_indiv.    HP:#_x000a_hele groep: $" sqref="C7:C17 C29:C39" xr:uid="{00000000-0002-0000-2B00-000006000000}"/>
    <dataValidation allowBlank="1" showInputMessage="1" showErrorMessage="1" promptTitle="Pulldown menu" prompt="groeps  HP: -_x000a_indiv.    HP:#_x000a_hele groep: $" sqref="C18 C40" xr:uid="{00000000-0002-0000-2B00-000007000000}"/>
    <dataValidation allowBlank="1" showInputMessage="1" showErrorMessage="1" promptTitle="Nieuwe regel:" prompt="druk op Alt-Enter" sqref="T15 T28 T17 T26 T37 T39" xr:uid="{00000000-0002-0000-2B00-000008000000}"/>
    <dataValidation allowBlank="1" showInputMessage="1" showErrorMessage="1" promptTitle="kies uit:" prompt="g = goed_x000a_v = voldoende_x000a_m = matig_x000a_o = onvoldoende" sqref="K5:Q40" xr:uid="{00000000-0002-0000-2B00-000009000000}"/>
  </dataValidations>
  <pageMargins left="0.26" right="0.14000000000000001" top="0.82" bottom="0.33" header="0.33" footer="0.21"/>
  <pageSetup paperSize="9" scale="66" orientation="portrait" r:id="rId1"/>
  <headerFooter alignWithMargins="0">
    <oddHeader>&amp;C&amp;"Arial,Vet"&amp;16&amp;A</oddHeader>
    <oddFooter>&amp;R© www.meesterharrie.nl</oddFooter>
  </headerFooter>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CCFFFF"/>
    <pageSetUpPr fitToPage="1"/>
  </sheetPr>
  <dimension ref="A1:AB85"/>
  <sheetViews>
    <sheetView showGridLines="0" showRowColHeaders="0" zoomScale="75" zoomScaleNormal="75" workbookViewId="0">
      <selection activeCell="U20" sqref="U20"/>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2.81640625" style="53" customWidth="1"/>
    <col min="12" max="16" width="2.81640625" style="54" customWidth="1"/>
    <col min="17" max="17" width="2.81640625" style="51" customWidth="1"/>
    <col min="18" max="18" width="3.1796875" style="51" customWidth="1"/>
    <col min="19" max="19" width="4.81640625" style="51" bestFit="1" customWidth="1"/>
    <col min="20" max="20" width="60.81640625" style="51" customWidth="1"/>
    <col min="21" max="21" width="6.81640625" style="51" customWidth="1"/>
    <col min="22" max="26" width="7.1796875" style="51" customWidth="1"/>
    <col min="27" max="29" width="6.81640625" style="51" customWidth="1"/>
    <col min="30" max="30" width="6.1796875" style="51" customWidth="1"/>
    <col min="31" max="16384" width="9.1796875" style="51"/>
  </cols>
  <sheetData>
    <row r="1" spans="1:28" s="48" customFormat="1" ht="30" customHeight="1" thickBot="1" x14ac:dyDescent="0.65">
      <c r="B1" s="128"/>
      <c r="C1" s="1176" t="s">
        <v>451</v>
      </c>
      <c r="D1" s="1177"/>
      <c r="E1" s="1177"/>
      <c r="F1" s="1177"/>
      <c r="G1" s="1177"/>
      <c r="H1" s="1177"/>
      <c r="I1" s="1177"/>
      <c r="J1" s="1177"/>
      <c r="K1" s="1233" t="str">
        <f>BEGINBLAD!$I$2</f>
        <v>groep 6</v>
      </c>
      <c r="L1" s="1233"/>
      <c r="M1" s="1233"/>
      <c r="N1" s="1233"/>
      <c r="O1" s="1233"/>
      <c r="P1" s="1233"/>
      <c r="Q1" s="1233"/>
      <c r="R1" s="1233"/>
      <c r="S1" s="1233"/>
      <c r="T1" s="49"/>
      <c r="AB1" s="50"/>
    </row>
    <row r="2" spans="1:28" ht="24" customHeight="1" x14ac:dyDescent="0.25">
      <c r="C2" s="1178" t="str">
        <f>BEGINBLAD!$S$2</f>
        <v>mei.</v>
      </c>
      <c r="D2" s="1178"/>
      <c r="E2" s="175"/>
      <c r="F2" s="412" t="str">
        <f>BEGINBLAD!$T$2</f>
        <v>sep.</v>
      </c>
      <c r="G2" s="1178">
        <f>BEGINBLAD!$P$2</f>
        <v>2024</v>
      </c>
      <c r="H2" s="1178"/>
      <c r="I2" s="1178"/>
      <c r="Q2" s="53"/>
      <c r="R2" s="53"/>
      <c r="S2" s="53"/>
    </row>
    <row r="3" spans="1:28" ht="13" thickBot="1" x14ac:dyDescent="0.3">
      <c r="Q3" s="56"/>
      <c r="R3" s="56"/>
      <c r="S3" s="56"/>
      <c r="T3" s="56"/>
    </row>
    <row r="4" spans="1:28" ht="140.15" customHeight="1" x14ac:dyDescent="0.25">
      <c r="D4" s="57"/>
      <c r="E4" s="58"/>
      <c r="F4" s="59" t="s">
        <v>63</v>
      </c>
      <c r="G4" s="60" t="s">
        <v>429</v>
      </c>
      <c r="H4" s="61" t="s">
        <v>444</v>
      </c>
      <c r="I4" s="62" t="s">
        <v>407</v>
      </c>
      <c r="J4" s="170"/>
      <c r="K4" s="478" t="s">
        <v>445</v>
      </c>
      <c r="L4" s="479" t="s">
        <v>446</v>
      </c>
      <c r="M4" s="480"/>
      <c r="N4" s="480" t="s">
        <v>447</v>
      </c>
      <c r="O4" s="480" t="s">
        <v>448</v>
      </c>
      <c r="P4" s="480" t="s">
        <v>449</v>
      </c>
      <c r="Q4" s="481" t="s">
        <v>450</v>
      </c>
      <c r="R4" s="182"/>
      <c r="S4" s="54"/>
    </row>
    <row r="5" spans="1:28" ht="19.5" customHeight="1" x14ac:dyDescent="0.25">
      <c r="B5" s="1164" t="s">
        <v>62</v>
      </c>
      <c r="C5" s="66" t="s">
        <v>273</v>
      </c>
      <c r="D5" s="67">
        <v>0</v>
      </c>
      <c r="E5" s="68">
        <v>1</v>
      </c>
      <c r="F5" s="120" t="str">
        <f>BEGINBLAD!C4</f>
        <v>leerling 1</v>
      </c>
      <c r="G5" s="70">
        <f>'NIVEAU WAARDE - 1e toetsperiode'!H9</f>
        <v>4.4000000000000004</v>
      </c>
      <c r="H5" s="71">
        <f>'NIVEAU WAARDE - 2e toetsperiode'!H9</f>
        <v>0</v>
      </c>
      <c r="I5" s="72" t="str">
        <f>IF(H5=0,"",IF(H5&gt;4.5,"A-1+",IF(H5&gt;4.2,"A-1",IF(H5&gt;=4,"A-2",IF(H5&gt;3.4,"B-2",IF(H5&gt;=3,"B-3",IF(H5&gt;2.5,"C-3",IF(H5&gt;=2,"C-4",IF(H5&gt;1.6,"D-4",IF(H5&gt;=1,"D-5",IF(H5&gt;0.5,"E-5",IF(H5&gt;=0,"E-5-"))))))))))))</f>
        <v/>
      </c>
      <c r="J5" s="171" t="str">
        <f>IF(H5=0,"",IF(G5-H5&gt;0.5,"!",IF(H5-G5&gt;0.5,"*",IF(H5-G5&lt;=0.5,""))))</f>
        <v/>
      </c>
      <c r="K5" s="262" t="s">
        <v>399</v>
      </c>
      <c r="L5" s="261" t="s">
        <v>390</v>
      </c>
      <c r="M5" s="475"/>
      <c r="N5" s="475" t="s">
        <v>399</v>
      </c>
      <c r="O5" s="475" t="s">
        <v>370</v>
      </c>
      <c r="P5" s="475" t="s">
        <v>370</v>
      </c>
      <c r="Q5" s="263"/>
      <c r="R5" s="171" t="str">
        <f>IF(K5="o","!",IF(L5="o","!",IF(M5="o","!",IF(N5="o","!",IF(O5="o","!",IF(P5="o","!",IF(Q5="o","!")))))))</f>
        <v>!</v>
      </c>
      <c r="S5" s="75"/>
    </row>
    <row r="6" spans="1:28" ht="19.5" customHeight="1" x14ac:dyDescent="0.25">
      <c r="B6" s="1164"/>
      <c r="C6" s="76" t="s">
        <v>274</v>
      </c>
      <c r="D6" s="67">
        <v>0</v>
      </c>
      <c r="E6" s="68">
        <v>2</v>
      </c>
      <c r="F6" s="69" t="str">
        <f>BEGINBLAD!C5</f>
        <v>leerling 2</v>
      </c>
      <c r="G6" s="70">
        <f>'NIVEAU WAARDE - 1e toetsperiode'!H10</f>
        <v>4.7</v>
      </c>
      <c r="H6" s="71">
        <f>'NIVEAU WAARDE - 2e toetsperiode'!H10</f>
        <v>0</v>
      </c>
      <c r="I6" s="72" t="str">
        <f t="shared" ref="I6:I40" si="0">IF(H6=0,"",IF(H6&gt;4.5,"A-1+",IF(H6&gt;4.2,"A-1",IF(H6&gt;=4,"A-2",IF(H6&gt;3.4,"B-2",IF(H6&gt;=3,"B-3",IF(H6&gt;2.5,"C-3",IF(H6&gt;=2,"C-4",IF(H6&gt;1.6,"D-4",IF(H6&gt;=1,"D-5",IF(H6&gt;0.5,"E-5",IF(H6&gt;=0,"E-5-"))))))))))))</f>
        <v/>
      </c>
      <c r="J6" s="171" t="str">
        <f t="shared" ref="J6:J40" si="1">IF(H6=0,"",IF(G6-H6&gt;0.5,"!",IF(H6-G6&gt;0.5,"*",IF(H6-G6&lt;=0.5,""))))</f>
        <v/>
      </c>
      <c r="K6" s="262" t="s">
        <v>399</v>
      </c>
      <c r="L6" s="261" t="s">
        <v>399</v>
      </c>
      <c r="M6" s="475"/>
      <c r="N6" s="475" t="s">
        <v>399</v>
      </c>
      <c r="O6" s="475" t="s">
        <v>399</v>
      </c>
      <c r="P6" s="475" t="s">
        <v>399</v>
      </c>
      <c r="Q6" s="263"/>
      <c r="R6" s="171" t="b">
        <f t="shared" ref="R6:R40" si="2">IF(K6="o","!",IF(L6="o","!",IF(M6="o","!",IF(N6="o","!",IF(O6="o","!",IF(P6="o","!",IF(Q6="o","!")))))))</f>
        <v>0</v>
      </c>
      <c r="S6" s="75"/>
      <c r="V6" s="106"/>
      <c r="W6" s="106"/>
      <c r="X6" s="106"/>
      <c r="Y6" s="106"/>
      <c r="Z6" s="106"/>
    </row>
    <row r="7" spans="1:28" ht="19.5" customHeight="1" x14ac:dyDescent="0.25">
      <c r="A7" s="77"/>
      <c r="B7" s="78"/>
      <c r="C7" s="79"/>
      <c r="D7" s="67">
        <v>0</v>
      </c>
      <c r="E7" s="68">
        <v>3</v>
      </c>
      <c r="F7" s="69" t="str">
        <f>BEGINBLAD!C6</f>
        <v>leerling 3</v>
      </c>
      <c r="G7" s="70">
        <f>'NIVEAU WAARDE - 1e toetsperiode'!H11</f>
        <v>4.5999999999999996</v>
      </c>
      <c r="H7" s="71">
        <f>'NIVEAU WAARDE - 2e toetsperiode'!H11</f>
        <v>0</v>
      </c>
      <c r="I7" s="72" t="str">
        <f t="shared" si="0"/>
        <v/>
      </c>
      <c r="J7" s="171" t="str">
        <f t="shared" si="1"/>
        <v/>
      </c>
      <c r="K7" s="262" t="s">
        <v>399</v>
      </c>
      <c r="L7" s="261" t="s">
        <v>399</v>
      </c>
      <c r="M7" s="475"/>
      <c r="N7" s="475" t="s">
        <v>399</v>
      </c>
      <c r="O7" s="475" t="s">
        <v>399</v>
      </c>
      <c r="P7" s="475" t="s">
        <v>399</v>
      </c>
      <c r="Q7" s="263"/>
      <c r="R7" s="171" t="b">
        <f t="shared" si="2"/>
        <v>0</v>
      </c>
      <c r="S7" s="75"/>
      <c r="V7" s="107"/>
      <c r="W7" s="107"/>
      <c r="X7" s="107"/>
      <c r="Y7" s="107"/>
      <c r="Z7" s="107"/>
    </row>
    <row r="8" spans="1:28" ht="19.5" customHeight="1" x14ac:dyDescent="0.25">
      <c r="A8" s="77"/>
      <c r="B8" s="78"/>
      <c r="C8" s="868"/>
      <c r="D8" s="80">
        <v>0</v>
      </c>
      <c r="E8" s="68">
        <v>4</v>
      </c>
      <c r="F8" s="69" t="str">
        <f>BEGINBLAD!C7</f>
        <v>leerling 4</v>
      </c>
      <c r="G8" s="70">
        <f>'NIVEAU WAARDE - 1e toetsperiode'!H12</f>
        <v>4.5999999999999996</v>
      </c>
      <c r="H8" s="71">
        <f>'NIVEAU WAARDE - 2e toetsperiode'!H12</f>
        <v>0</v>
      </c>
      <c r="I8" s="72" t="str">
        <f t="shared" si="0"/>
        <v/>
      </c>
      <c r="J8" s="171" t="str">
        <f t="shared" si="1"/>
        <v/>
      </c>
      <c r="K8" s="262" t="s">
        <v>399</v>
      </c>
      <c r="L8" s="261" t="s">
        <v>399</v>
      </c>
      <c r="M8" s="475"/>
      <c r="N8" s="475" t="s">
        <v>399</v>
      </c>
      <c r="O8" s="475" t="s">
        <v>399</v>
      </c>
      <c r="P8" s="475" t="s">
        <v>399</v>
      </c>
      <c r="Q8" s="263"/>
      <c r="R8" s="171" t="b">
        <f t="shared" si="2"/>
        <v>0</v>
      </c>
      <c r="S8" s="82"/>
      <c r="V8" s="107"/>
      <c r="W8" s="107"/>
      <c r="X8" s="107"/>
      <c r="Y8" s="107"/>
      <c r="Z8" s="107"/>
    </row>
    <row r="9" spans="1:28" ht="19.5" customHeight="1" x14ac:dyDescent="0.25">
      <c r="A9" s="77"/>
      <c r="B9" s="78"/>
      <c r="C9" s="868"/>
      <c r="D9" s="83">
        <v>0</v>
      </c>
      <c r="E9" s="68">
        <v>5</v>
      </c>
      <c r="F9" s="69" t="str">
        <f>BEGINBLAD!C8</f>
        <v>leerling 5</v>
      </c>
      <c r="G9" s="70">
        <f>'NIVEAU WAARDE - 1e toetsperiode'!H13</f>
        <v>3</v>
      </c>
      <c r="H9" s="71">
        <f>'NIVEAU WAARDE - 2e toetsperiode'!H13</f>
        <v>0</v>
      </c>
      <c r="I9" s="72" t="str">
        <f t="shared" si="0"/>
        <v/>
      </c>
      <c r="J9" s="171" t="str">
        <f t="shared" si="1"/>
        <v/>
      </c>
      <c r="K9" s="262" t="s">
        <v>390</v>
      </c>
      <c r="L9" s="261" t="s">
        <v>386</v>
      </c>
      <c r="M9" s="475"/>
      <c r="N9" s="475" t="s">
        <v>399</v>
      </c>
      <c r="O9" s="475" t="s">
        <v>399</v>
      </c>
      <c r="P9" s="475" t="s">
        <v>399</v>
      </c>
      <c r="Q9" s="263"/>
      <c r="R9" s="171" t="b">
        <f t="shared" si="2"/>
        <v>0</v>
      </c>
      <c r="S9" s="84"/>
      <c r="V9" s="107"/>
      <c r="W9" s="107"/>
      <c r="X9" s="107"/>
      <c r="Y9" s="107"/>
      <c r="Z9" s="107"/>
    </row>
    <row r="10" spans="1:28" ht="19.5" customHeight="1" x14ac:dyDescent="0.25">
      <c r="A10" s="77"/>
      <c r="B10" s="78"/>
      <c r="C10" s="868"/>
      <c r="D10" s="85">
        <v>0</v>
      </c>
      <c r="E10" s="68">
        <v>6</v>
      </c>
      <c r="F10" s="69" t="str">
        <f>BEGINBLAD!C9</f>
        <v>leerling 6</v>
      </c>
      <c r="G10" s="70">
        <f>'NIVEAU WAARDE - 1e toetsperiode'!H14</f>
        <v>4.3</v>
      </c>
      <c r="H10" s="71">
        <f>'NIVEAU WAARDE - 2e toetsperiode'!H14</f>
        <v>0</v>
      </c>
      <c r="I10" s="72" t="str">
        <f t="shared" si="0"/>
        <v/>
      </c>
      <c r="J10" s="171" t="str">
        <f t="shared" si="1"/>
        <v/>
      </c>
      <c r="K10" s="262" t="s">
        <v>399</v>
      </c>
      <c r="L10" s="261" t="s">
        <v>399</v>
      </c>
      <c r="M10" s="475"/>
      <c r="N10" s="475" t="s">
        <v>399</v>
      </c>
      <c r="O10" s="475" t="s">
        <v>399</v>
      </c>
      <c r="P10" s="475" t="s">
        <v>399</v>
      </c>
      <c r="Q10" s="263"/>
      <c r="R10" s="171" t="b">
        <f t="shared" si="2"/>
        <v>0</v>
      </c>
      <c r="S10" s="86"/>
      <c r="V10" s="107"/>
      <c r="W10" s="107"/>
      <c r="X10" s="107"/>
      <c r="Y10" s="107"/>
      <c r="Z10" s="107"/>
    </row>
    <row r="11" spans="1:28" ht="19.5" customHeight="1" x14ac:dyDescent="0.25">
      <c r="A11" s="77"/>
      <c r="B11" s="78"/>
      <c r="C11" s="868"/>
      <c r="D11" s="85">
        <v>0</v>
      </c>
      <c r="E11" s="68">
        <v>7</v>
      </c>
      <c r="F11" s="69" t="str">
        <f>BEGINBLAD!C10</f>
        <v>leerling 7</v>
      </c>
      <c r="G11" s="70">
        <f>'NIVEAU WAARDE - 1e toetsperiode'!H15</f>
        <v>2.8</v>
      </c>
      <c r="H11" s="71">
        <f>'NIVEAU WAARDE - 2e toetsperiode'!H15</f>
        <v>0</v>
      </c>
      <c r="I11" s="72" t="str">
        <f t="shared" si="0"/>
        <v/>
      </c>
      <c r="J11" s="171" t="str">
        <f t="shared" si="1"/>
        <v/>
      </c>
      <c r="K11" s="262" t="s">
        <v>390</v>
      </c>
      <c r="L11" s="261" t="s">
        <v>370</v>
      </c>
      <c r="M11" s="475"/>
      <c r="N11" s="475" t="s">
        <v>399</v>
      </c>
      <c r="O11" s="475" t="s">
        <v>370</v>
      </c>
      <c r="P11" s="475" t="s">
        <v>370</v>
      </c>
      <c r="Q11" s="263"/>
      <c r="R11" s="171" t="str">
        <f t="shared" si="2"/>
        <v>!</v>
      </c>
      <c r="S11" s="56"/>
      <c r="V11" s="107"/>
      <c r="W11" s="107"/>
      <c r="X11" s="107"/>
      <c r="Y11" s="107"/>
      <c r="Z11" s="107"/>
    </row>
    <row r="12" spans="1:28" ht="19.5" customHeight="1" x14ac:dyDescent="0.25">
      <c r="A12" s="77"/>
      <c r="B12" s="78"/>
      <c r="C12" s="868"/>
      <c r="D12" s="67">
        <v>0</v>
      </c>
      <c r="E12" s="68">
        <v>8</v>
      </c>
      <c r="F12" s="69" t="str">
        <f>BEGINBLAD!C11</f>
        <v>leerling 8</v>
      </c>
      <c r="G12" s="70">
        <f>'NIVEAU WAARDE - 1e toetsperiode'!H16</f>
        <v>3.3</v>
      </c>
      <c r="H12" s="71">
        <f>'NIVEAU WAARDE - 2e toetsperiode'!H16</f>
        <v>0</v>
      </c>
      <c r="I12" s="72" t="str">
        <f t="shared" si="0"/>
        <v/>
      </c>
      <c r="J12" s="171" t="str">
        <f t="shared" si="1"/>
        <v/>
      </c>
      <c r="K12" s="262" t="s">
        <v>399</v>
      </c>
      <c r="L12" s="261" t="s">
        <v>399</v>
      </c>
      <c r="M12" s="475"/>
      <c r="N12" s="475" t="s">
        <v>399</v>
      </c>
      <c r="O12" s="475" t="s">
        <v>390</v>
      </c>
      <c r="P12" s="475" t="s">
        <v>390</v>
      </c>
      <c r="Q12" s="263"/>
      <c r="R12" s="171" t="b">
        <f t="shared" si="2"/>
        <v>0</v>
      </c>
      <c r="S12" s="54"/>
      <c r="V12" s="107"/>
      <c r="W12" s="107"/>
      <c r="X12" s="107"/>
      <c r="Y12" s="107"/>
      <c r="Z12" s="107"/>
    </row>
    <row r="13" spans="1:28" ht="19.5" customHeight="1" x14ac:dyDescent="0.25">
      <c r="A13" s="77"/>
      <c r="B13" s="78"/>
      <c r="C13" s="868"/>
      <c r="D13" s="67">
        <v>0</v>
      </c>
      <c r="E13" s="68">
        <v>9</v>
      </c>
      <c r="F13" s="69">
        <f>BEGINBLAD!C12</f>
        <v>0</v>
      </c>
      <c r="G13" s="70">
        <f>'NIVEAU WAARDE - 1e toetsperiode'!H17</f>
        <v>0</v>
      </c>
      <c r="H13" s="71">
        <f>'NIVEAU WAARDE - 2e toetsperiode'!H17</f>
        <v>0</v>
      </c>
      <c r="I13" s="72" t="str">
        <f t="shared" si="0"/>
        <v/>
      </c>
      <c r="J13" s="171" t="str">
        <f t="shared" si="1"/>
        <v/>
      </c>
      <c r="K13" s="262"/>
      <c r="L13" s="261"/>
      <c r="M13" s="475"/>
      <c r="N13" s="475"/>
      <c r="O13" s="475"/>
      <c r="P13" s="475"/>
      <c r="Q13" s="263"/>
      <c r="R13" s="171" t="b">
        <f t="shared" si="2"/>
        <v>0</v>
      </c>
      <c r="S13" s="75"/>
      <c r="V13" s="108"/>
      <c r="W13" s="108"/>
      <c r="X13" s="108"/>
      <c r="Y13" s="108"/>
      <c r="Z13" s="108"/>
    </row>
    <row r="14" spans="1:28" ht="19.5" customHeight="1" thickBot="1" x14ac:dyDescent="0.3">
      <c r="A14" s="77"/>
      <c r="B14" s="78"/>
      <c r="C14" s="868"/>
      <c r="D14" s="67">
        <v>0</v>
      </c>
      <c r="E14" s="68">
        <v>10</v>
      </c>
      <c r="F14" s="69">
        <f>BEGINBLAD!C13</f>
        <v>0</v>
      </c>
      <c r="G14" s="70">
        <f>'NIVEAU WAARDE - 1e toetsperiode'!H18</f>
        <v>0</v>
      </c>
      <c r="H14" s="71">
        <f>'NIVEAU WAARDE - 2e toetsperiode'!H18</f>
        <v>0</v>
      </c>
      <c r="I14" s="72" t="str">
        <f t="shared" si="0"/>
        <v/>
      </c>
      <c r="J14" s="171" t="str">
        <f t="shared" si="1"/>
        <v/>
      </c>
      <c r="K14" s="262"/>
      <c r="L14" s="261"/>
      <c r="M14" s="475"/>
      <c r="N14" s="475"/>
      <c r="O14" s="475"/>
      <c r="P14" s="475"/>
      <c r="Q14" s="263"/>
      <c r="R14" s="171" t="b">
        <f t="shared" si="2"/>
        <v>0</v>
      </c>
      <c r="S14" s="82"/>
      <c r="T14" s="54" t="s">
        <v>415</v>
      </c>
      <c r="V14" s="108"/>
      <c r="W14" s="108"/>
      <c r="X14" s="108"/>
      <c r="Y14" s="108"/>
      <c r="Z14" s="108"/>
    </row>
    <row r="15" spans="1:28" ht="19.5" customHeight="1" x14ac:dyDescent="0.25">
      <c r="A15" s="77"/>
      <c r="B15" s="78"/>
      <c r="C15" s="868"/>
      <c r="D15" s="67">
        <v>0</v>
      </c>
      <c r="E15" s="68">
        <v>11</v>
      </c>
      <c r="F15" s="69">
        <f>BEGINBLAD!C14</f>
        <v>0</v>
      </c>
      <c r="G15" s="70">
        <f>'NIVEAU WAARDE - 1e toetsperiode'!H19</f>
        <v>0</v>
      </c>
      <c r="H15" s="71">
        <f>'NIVEAU WAARDE - 2e toetsperiode'!H19</f>
        <v>0</v>
      </c>
      <c r="I15" s="72" t="str">
        <f t="shared" si="0"/>
        <v/>
      </c>
      <c r="J15" s="171" t="str">
        <f t="shared" si="1"/>
        <v/>
      </c>
      <c r="K15" s="262"/>
      <c r="L15" s="261"/>
      <c r="M15" s="475"/>
      <c r="N15" s="475"/>
      <c r="O15" s="475"/>
      <c r="P15" s="475"/>
      <c r="Q15" s="263"/>
      <c r="R15" s="171" t="b">
        <f t="shared" si="2"/>
        <v>0</v>
      </c>
      <c r="S15" s="1229" t="s">
        <v>208</v>
      </c>
      <c r="T15" s="1231">
        <f>'INTENSIEF - 2e periode'!$I$6</f>
        <v>0</v>
      </c>
      <c r="V15" s="108"/>
      <c r="W15" s="108"/>
      <c r="X15" s="108"/>
      <c r="Y15" s="108"/>
      <c r="Z15" s="108"/>
    </row>
    <row r="16" spans="1:28" ht="19.5" customHeight="1" x14ac:dyDescent="0.25">
      <c r="A16" s="77"/>
      <c r="B16" s="78"/>
      <c r="C16" s="868"/>
      <c r="D16" s="67">
        <v>0</v>
      </c>
      <c r="E16" s="68">
        <v>12</v>
      </c>
      <c r="F16" s="69">
        <f>BEGINBLAD!C15</f>
        <v>0</v>
      </c>
      <c r="G16" s="70">
        <f>'NIVEAU WAARDE - 1e toetsperiode'!H20</f>
        <v>0</v>
      </c>
      <c r="H16" s="71">
        <f>'NIVEAU WAARDE - 2e toetsperiode'!H20</f>
        <v>0</v>
      </c>
      <c r="I16" s="72" t="str">
        <f t="shared" si="0"/>
        <v/>
      </c>
      <c r="J16" s="171" t="str">
        <f t="shared" si="1"/>
        <v/>
      </c>
      <c r="K16" s="262"/>
      <c r="L16" s="261"/>
      <c r="M16" s="475"/>
      <c r="N16" s="475"/>
      <c r="O16" s="475"/>
      <c r="P16" s="475"/>
      <c r="Q16" s="263"/>
      <c r="R16" s="171" t="b">
        <f t="shared" si="2"/>
        <v>0</v>
      </c>
      <c r="S16" s="1230"/>
      <c r="T16" s="1232"/>
      <c r="V16" s="108"/>
      <c r="W16" s="108"/>
      <c r="X16" s="108"/>
      <c r="Y16" s="108"/>
      <c r="Z16" s="108"/>
    </row>
    <row r="17" spans="1:28" ht="19.5" customHeight="1" x14ac:dyDescent="0.25">
      <c r="A17" s="77"/>
      <c r="B17" s="78"/>
      <c r="C17" s="868"/>
      <c r="D17" s="80">
        <v>0</v>
      </c>
      <c r="E17" s="68">
        <v>13</v>
      </c>
      <c r="F17" s="69">
        <f>BEGINBLAD!C16</f>
        <v>0</v>
      </c>
      <c r="G17" s="70">
        <f>'NIVEAU WAARDE - 1e toetsperiode'!H21</f>
        <v>0</v>
      </c>
      <c r="H17" s="71">
        <f>'NIVEAU WAARDE - 2e toetsperiode'!H21</f>
        <v>0</v>
      </c>
      <c r="I17" s="72" t="str">
        <f t="shared" si="0"/>
        <v/>
      </c>
      <c r="J17" s="171" t="str">
        <f t="shared" si="1"/>
        <v/>
      </c>
      <c r="K17" s="262"/>
      <c r="L17" s="261"/>
      <c r="M17" s="475"/>
      <c r="N17" s="475"/>
      <c r="O17" s="475"/>
      <c r="P17" s="475"/>
      <c r="Q17" s="263"/>
      <c r="R17" s="171" t="b">
        <f t="shared" si="2"/>
        <v>0</v>
      </c>
      <c r="S17" s="1260" t="s">
        <v>210</v>
      </c>
      <c r="T17" s="1258">
        <f>'INTENSIEF - 2e periode'!I8</f>
        <v>0</v>
      </c>
    </row>
    <row r="18" spans="1:28" ht="19.5" customHeight="1" x14ac:dyDescent="0.25">
      <c r="A18" s="77"/>
      <c r="B18" s="78"/>
      <c r="C18" s="868"/>
      <c r="D18" s="85">
        <v>0</v>
      </c>
      <c r="E18" s="68">
        <v>14</v>
      </c>
      <c r="F18" s="69">
        <f>BEGINBLAD!C17</f>
        <v>0</v>
      </c>
      <c r="G18" s="70">
        <f>'NIVEAU WAARDE - 1e toetsperiode'!H22</f>
        <v>0</v>
      </c>
      <c r="H18" s="71">
        <f>'NIVEAU WAARDE - 2e toetsperiode'!H22</f>
        <v>0</v>
      </c>
      <c r="I18" s="72" t="str">
        <f t="shared" si="0"/>
        <v/>
      </c>
      <c r="J18" s="171" t="str">
        <f t="shared" si="1"/>
        <v/>
      </c>
      <c r="K18" s="262"/>
      <c r="L18" s="261"/>
      <c r="M18" s="475"/>
      <c r="N18" s="475"/>
      <c r="O18" s="475"/>
      <c r="P18" s="475"/>
      <c r="Q18" s="263"/>
      <c r="R18" s="171" t="b">
        <f t="shared" si="2"/>
        <v>0</v>
      </c>
      <c r="S18" s="1260"/>
      <c r="T18" s="1258"/>
    </row>
    <row r="19" spans="1:28" ht="19.5" customHeight="1" x14ac:dyDescent="0.3">
      <c r="D19" s="85">
        <v>0</v>
      </c>
      <c r="E19" s="68">
        <v>15</v>
      </c>
      <c r="F19" s="69">
        <f>BEGINBLAD!C18</f>
        <v>0</v>
      </c>
      <c r="G19" s="70">
        <f>'NIVEAU WAARDE - 1e toetsperiode'!H23</f>
        <v>0</v>
      </c>
      <c r="H19" s="71">
        <f>'NIVEAU WAARDE - 2e toetsperiode'!H23</f>
        <v>0</v>
      </c>
      <c r="I19" s="72" t="str">
        <f t="shared" si="0"/>
        <v/>
      </c>
      <c r="J19" s="171" t="str">
        <f t="shared" si="1"/>
        <v/>
      </c>
      <c r="K19" s="262"/>
      <c r="L19" s="261"/>
      <c r="M19" s="475"/>
      <c r="N19" s="475"/>
      <c r="O19" s="475"/>
      <c r="P19" s="475"/>
      <c r="Q19" s="263"/>
      <c r="R19" s="171" t="b">
        <f t="shared" si="2"/>
        <v>0</v>
      </c>
      <c r="S19" s="1260"/>
      <c r="T19" s="1258"/>
      <c r="Y19" s="88"/>
      <c r="Z19" s="88"/>
      <c r="AA19" s="88"/>
      <c r="AB19" s="88"/>
    </row>
    <row r="20" spans="1:28" ht="19.5" customHeight="1" x14ac:dyDescent="0.25">
      <c r="D20" s="85">
        <v>0</v>
      </c>
      <c r="E20" s="68">
        <v>16</v>
      </c>
      <c r="F20" s="69">
        <f>BEGINBLAD!C19</f>
        <v>0</v>
      </c>
      <c r="G20" s="70">
        <f>'NIVEAU WAARDE - 1e toetsperiode'!H24</f>
        <v>0</v>
      </c>
      <c r="H20" s="71">
        <f>'NIVEAU WAARDE - 2e toetsperiode'!H24</f>
        <v>0</v>
      </c>
      <c r="I20" s="72" t="str">
        <f t="shared" si="0"/>
        <v/>
      </c>
      <c r="J20" s="171" t="str">
        <f t="shared" si="1"/>
        <v/>
      </c>
      <c r="K20" s="262"/>
      <c r="L20" s="261"/>
      <c r="M20" s="475"/>
      <c r="N20" s="475"/>
      <c r="O20" s="475"/>
      <c r="P20" s="475"/>
      <c r="Q20" s="263"/>
      <c r="R20" s="171" t="b">
        <f t="shared" si="2"/>
        <v>0</v>
      </c>
      <c r="S20" s="1260"/>
      <c r="T20" s="1258"/>
    </row>
    <row r="21" spans="1:28" ht="19.5" customHeight="1" x14ac:dyDescent="0.25">
      <c r="D21" s="85">
        <v>0</v>
      </c>
      <c r="E21" s="68">
        <v>17</v>
      </c>
      <c r="F21" s="69">
        <f>BEGINBLAD!C20</f>
        <v>0</v>
      </c>
      <c r="G21" s="70">
        <f>'NIVEAU WAARDE - 1e toetsperiode'!H25</f>
        <v>0</v>
      </c>
      <c r="H21" s="71">
        <f>'NIVEAU WAARDE - 2e toetsperiode'!H25</f>
        <v>0</v>
      </c>
      <c r="I21" s="72" t="str">
        <f t="shared" si="0"/>
        <v/>
      </c>
      <c r="J21" s="171" t="str">
        <f t="shared" si="1"/>
        <v/>
      </c>
      <c r="K21" s="262"/>
      <c r="L21" s="261"/>
      <c r="M21" s="475"/>
      <c r="N21" s="475"/>
      <c r="O21" s="475"/>
      <c r="P21" s="475"/>
      <c r="Q21" s="263"/>
      <c r="R21" s="171" t="b">
        <f t="shared" si="2"/>
        <v>0</v>
      </c>
      <c r="S21" s="1260"/>
      <c r="T21" s="1258"/>
    </row>
    <row r="22" spans="1:28" ht="19.5" customHeight="1" x14ac:dyDescent="0.25">
      <c r="D22" s="85">
        <v>0</v>
      </c>
      <c r="E22" s="68">
        <v>18</v>
      </c>
      <c r="F22" s="69">
        <f>BEGINBLAD!C21</f>
        <v>0</v>
      </c>
      <c r="G22" s="70">
        <f>'NIVEAU WAARDE - 1e toetsperiode'!H26</f>
        <v>0</v>
      </c>
      <c r="H22" s="71">
        <f>'NIVEAU WAARDE - 2e toetsperiode'!H26</f>
        <v>0</v>
      </c>
      <c r="I22" s="72" t="str">
        <f t="shared" si="0"/>
        <v/>
      </c>
      <c r="J22" s="171" t="str">
        <f t="shared" si="1"/>
        <v/>
      </c>
      <c r="K22" s="262"/>
      <c r="L22" s="261"/>
      <c r="M22" s="475"/>
      <c r="N22" s="475"/>
      <c r="O22" s="475"/>
      <c r="P22" s="475"/>
      <c r="Q22" s="263"/>
      <c r="R22" s="171" t="b">
        <f t="shared" si="2"/>
        <v>0</v>
      </c>
      <c r="S22" s="1260"/>
      <c r="T22" s="1258"/>
    </row>
    <row r="23" spans="1:28" ht="19.5" customHeight="1" x14ac:dyDescent="0.25">
      <c r="B23" s="53"/>
      <c r="C23" s="53"/>
      <c r="D23" s="85">
        <v>0</v>
      </c>
      <c r="E23" s="68">
        <v>19</v>
      </c>
      <c r="F23" s="69">
        <f>BEGINBLAD!C22</f>
        <v>0</v>
      </c>
      <c r="G23" s="70">
        <f>'NIVEAU WAARDE - 1e toetsperiode'!H27</f>
        <v>0</v>
      </c>
      <c r="H23" s="71">
        <f>'NIVEAU WAARDE - 2e toetsperiode'!H27</f>
        <v>0</v>
      </c>
      <c r="I23" s="72" t="str">
        <f t="shared" si="0"/>
        <v/>
      </c>
      <c r="J23" s="171" t="str">
        <f t="shared" si="1"/>
        <v/>
      </c>
      <c r="K23" s="262"/>
      <c r="L23" s="261"/>
      <c r="M23" s="475"/>
      <c r="N23" s="475"/>
      <c r="O23" s="475"/>
      <c r="P23" s="475"/>
      <c r="Q23" s="263"/>
      <c r="R23" s="171" t="b">
        <f t="shared" si="2"/>
        <v>0</v>
      </c>
      <c r="S23" s="1260"/>
      <c r="T23" s="1258"/>
    </row>
    <row r="24" spans="1:28" ht="19.5" customHeight="1" thickBot="1" x14ac:dyDescent="0.3">
      <c r="B24" s="89"/>
      <c r="C24" s="53"/>
      <c r="D24" s="85">
        <v>0</v>
      </c>
      <c r="E24" s="68">
        <v>20</v>
      </c>
      <c r="F24" s="69">
        <f>BEGINBLAD!C23</f>
        <v>0</v>
      </c>
      <c r="G24" s="70">
        <f>'NIVEAU WAARDE - 1e toetsperiode'!H28</f>
        <v>0</v>
      </c>
      <c r="H24" s="71">
        <f>'NIVEAU WAARDE - 2e toetsperiode'!H28</f>
        <v>0</v>
      </c>
      <c r="I24" s="72" t="str">
        <f t="shared" si="0"/>
        <v/>
      </c>
      <c r="J24" s="171" t="str">
        <f t="shared" si="1"/>
        <v/>
      </c>
      <c r="K24" s="262"/>
      <c r="L24" s="261"/>
      <c r="M24" s="475"/>
      <c r="N24" s="475"/>
      <c r="O24" s="475"/>
      <c r="P24" s="475"/>
      <c r="Q24" s="263"/>
      <c r="R24" s="171" t="b">
        <f t="shared" si="2"/>
        <v>0</v>
      </c>
      <c r="S24" s="1261"/>
      <c r="T24" s="1259"/>
    </row>
    <row r="25" spans="1:28" ht="19.5" customHeight="1" thickBot="1" x14ac:dyDescent="0.3">
      <c r="B25" s="89"/>
      <c r="C25" s="53"/>
      <c r="D25" s="85">
        <v>0</v>
      </c>
      <c r="E25" s="68">
        <v>21</v>
      </c>
      <c r="F25" s="69">
        <f>BEGINBLAD!C24</f>
        <v>0</v>
      </c>
      <c r="G25" s="70">
        <f>'NIVEAU WAARDE - 1e toetsperiode'!H29</f>
        <v>0</v>
      </c>
      <c r="H25" s="71">
        <f>'NIVEAU WAARDE - 2e toetsperiode'!H29</f>
        <v>0</v>
      </c>
      <c r="I25" s="72" t="str">
        <f t="shared" si="0"/>
        <v/>
      </c>
      <c r="J25" s="171" t="str">
        <f t="shared" si="1"/>
        <v/>
      </c>
      <c r="K25" s="262"/>
      <c r="L25" s="261"/>
      <c r="M25" s="475"/>
      <c r="N25" s="475"/>
      <c r="O25" s="475"/>
      <c r="P25" s="475"/>
      <c r="Q25" s="263"/>
      <c r="R25" s="171" t="b">
        <f t="shared" si="2"/>
        <v>0</v>
      </c>
      <c r="S25" s="82"/>
      <c r="T25" s="54" t="s">
        <v>416</v>
      </c>
    </row>
    <row r="26" spans="1:28" ht="19.5" customHeight="1" x14ac:dyDescent="0.25">
      <c r="D26" s="85">
        <v>0</v>
      </c>
      <c r="E26" s="68">
        <v>22</v>
      </c>
      <c r="F26" s="69">
        <f>BEGINBLAD!C25</f>
        <v>0</v>
      </c>
      <c r="G26" s="70">
        <f>'NIVEAU WAARDE - 1e toetsperiode'!H30</f>
        <v>0</v>
      </c>
      <c r="H26" s="71">
        <f>'NIVEAU WAARDE - 2e toetsperiode'!H30</f>
        <v>0</v>
      </c>
      <c r="I26" s="72" t="str">
        <f t="shared" si="0"/>
        <v/>
      </c>
      <c r="J26" s="171" t="str">
        <f t="shared" si="1"/>
        <v/>
      </c>
      <c r="K26" s="262"/>
      <c r="L26" s="261"/>
      <c r="M26" s="475"/>
      <c r="N26" s="475"/>
      <c r="O26" s="475"/>
      <c r="P26" s="475"/>
      <c r="Q26" s="263"/>
      <c r="R26" s="171" t="b">
        <f t="shared" si="2"/>
        <v>0</v>
      </c>
      <c r="S26" s="1229" t="s">
        <v>208</v>
      </c>
      <c r="T26" s="1231">
        <f>'BASISAANPAK - 2e periode'!I6</f>
        <v>0</v>
      </c>
    </row>
    <row r="27" spans="1:28" s="92" customFormat="1" ht="19.5" customHeight="1" x14ac:dyDescent="0.55000000000000004">
      <c r="A27" s="51"/>
      <c r="B27" s="1164" t="s">
        <v>62</v>
      </c>
      <c r="C27" s="66" t="s">
        <v>275</v>
      </c>
      <c r="D27" s="80">
        <v>0</v>
      </c>
      <c r="E27" s="68">
        <v>23</v>
      </c>
      <c r="F27" s="69">
        <f>BEGINBLAD!C26</f>
        <v>0</v>
      </c>
      <c r="G27" s="70">
        <f>'NIVEAU WAARDE - 1e toetsperiode'!H31</f>
        <v>0</v>
      </c>
      <c r="H27" s="71">
        <f>'NIVEAU WAARDE - 2e toetsperiode'!H31</f>
        <v>0</v>
      </c>
      <c r="I27" s="72" t="str">
        <f t="shared" si="0"/>
        <v/>
      </c>
      <c r="J27" s="171" t="str">
        <f t="shared" si="1"/>
        <v/>
      </c>
      <c r="K27" s="262"/>
      <c r="L27" s="261"/>
      <c r="M27" s="475"/>
      <c r="N27" s="475"/>
      <c r="O27" s="475"/>
      <c r="P27" s="475"/>
      <c r="Q27" s="263"/>
      <c r="R27" s="171" t="b">
        <f t="shared" si="2"/>
        <v>0</v>
      </c>
      <c r="S27" s="1230"/>
      <c r="T27" s="1232"/>
      <c r="U27" s="91"/>
      <c r="V27" s="91"/>
      <c r="W27" s="91"/>
      <c r="X27" s="91"/>
      <c r="Y27" s="91"/>
      <c r="Z27" s="91"/>
      <c r="AA27" s="91"/>
    </row>
    <row r="28" spans="1:28" ht="19.5" customHeight="1" x14ac:dyDescent="0.6">
      <c r="B28" s="1164"/>
      <c r="C28" s="76" t="s">
        <v>274</v>
      </c>
      <c r="D28" s="80">
        <v>0</v>
      </c>
      <c r="E28" s="68">
        <v>24</v>
      </c>
      <c r="F28" s="69">
        <f>BEGINBLAD!C27</f>
        <v>0</v>
      </c>
      <c r="G28" s="70">
        <f>'NIVEAU WAARDE - 1e toetsperiode'!H32</f>
        <v>0</v>
      </c>
      <c r="H28" s="71">
        <f>'NIVEAU WAARDE - 2e toetsperiode'!H32</f>
        <v>0</v>
      </c>
      <c r="I28" s="72" t="str">
        <f t="shared" si="0"/>
        <v/>
      </c>
      <c r="J28" s="171" t="str">
        <f t="shared" si="1"/>
        <v/>
      </c>
      <c r="K28" s="262"/>
      <c r="L28" s="261"/>
      <c r="M28" s="475"/>
      <c r="N28" s="475"/>
      <c r="O28" s="475"/>
      <c r="P28" s="475"/>
      <c r="Q28" s="263"/>
      <c r="R28" s="171" t="b">
        <f t="shared" si="2"/>
        <v>0</v>
      </c>
      <c r="S28" s="1230" t="s">
        <v>210</v>
      </c>
      <c r="T28" s="1232">
        <f>'BASISAANPAK - 2e periode'!I8</f>
        <v>0</v>
      </c>
      <c r="U28" s="56"/>
      <c r="V28" s="93"/>
      <c r="W28" s="54"/>
      <c r="X28" s="54"/>
      <c r="Y28" s="54"/>
      <c r="Z28" s="54"/>
      <c r="AA28" s="54"/>
    </row>
    <row r="29" spans="1:28" ht="19.5" customHeight="1" x14ac:dyDescent="0.25">
      <c r="A29" s="77"/>
      <c r="B29" s="78"/>
      <c r="C29" s="868"/>
      <c r="D29" s="67">
        <v>0</v>
      </c>
      <c r="E29" s="68">
        <v>25</v>
      </c>
      <c r="F29" s="69">
        <f>BEGINBLAD!C28</f>
        <v>0</v>
      </c>
      <c r="G29" s="70">
        <f>'NIVEAU WAARDE - 1e toetsperiode'!H33</f>
        <v>0</v>
      </c>
      <c r="H29" s="71">
        <f>'NIVEAU WAARDE - 2e toetsperiode'!H33</f>
        <v>0</v>
      </c>
      <c r="I29" s="72" t="str">
        <f t="shared" si="0"/>
        <v/>
      </c>
      <c r="J29" s="171" t="str">
        <f t="shared" si="1"/>
        <v/>
      </c>
      <c r="K29" s="262"/>
      <c r="L29" s="261"/>
      <c r="M29" s="475"/>
      <c r="N29" s="475"/>
      <c r="O29" s="475"/>
      <c r="P29" s="475"/>
      <c r="Q29" s="263"/>
      <c r="R29" s="171" t="b">
        <f t="shared" si="2"/>
        <v>0</v>
      </c>
      <c r="S29" s="1230"/>
      <c r="T29" s="1232"/>
    </row>
    <row r="30" spans="1:28" ht="19.5" customHeight="1" x14ac:dyDescent="0.25">
      <c r="A30" s="77"/>
      <c r="B30" s="78"/>
      <c r="C30" s="868"/>
      <c r="D30" s="67">
        <v>0</v>
      </c>
      <c r="E30" s="68">
        <v>26</v>
      </c>
      <c r="F30" s="69">
        <f>BEGINBLAD!C29</f>
        <v>0</v>
      </c>
      <c r="G30" s="70">
        <f>'NIVEAU WAARDE - 1e toetsperiode'!H34</f>
        <v>0</v>
      </c>
      <c r="H30" s="71">
        <f>'NIVEAU WAARDE - 2e toetsperiode'!H34</f>
        <v>0</v>
      </c>
      <c r="I30" s="72" t="str">
        <f t="shared" si="0"/>
        <v/>
      </c>
      <c r="J30" s="171" t="str">
        <f t="shared" si="1"/>
        <v/>
      </c>
      <c r="K30" s="262"/>
      <c r="L30" s="261"/>
      <c r="M30" s="475"/>
      <c r="N30" s="475"/>
      <c r="O30" s="475"/>
      <c r="P30" s="475"/>
      <c r="Q30" s="263"/>
      <c r="R30" s="171" t="b">
        <f t="shared" si="2"/>
        <v>0</v>
      </c>
      <c r="S30" s="1230"/>
      <c r="T30" s="1232"/>
    </row>
    <row r="31" spans="1:28" ht="19.5" customHeight="1" x14ac:dyDescent="0.25">
      <c r="A31" s="77"/>
      <c r="B31" s="78"/>
      <c r="C31" s="868"/>
      <c r="D31" s="67">
        <v>0</v>
      </c>
      <c r="E31" s="68">
        <v>27</v>
      </c>
      <c r="F31" s="69">
        <f>BEGINBLAD!C30</f>
        <v>0</v>
      </c>
      <c r="G31" s="70">
        <f>'NIVEAU WAARDE - 1e toetsperiode'!H35</f>
        <v>0</v>
      </c>
      <c r="H31" s="71">
        <f>'NIVEAU WAARDE - 2e toetsperiode'!H35</f>
        <v>0</v>
      </c>
      <c r="I31" s="72" t="str">
        <f t="shared" si="0"/>
        <v/>
      </c>
      <c r="J31" s="171" t="str">
        <f t="shared" si="1"/>
        <v/>
      </c>
      <c r="K31" s="262"/>
      <c r="L31" s="261"/>
      <c r="M31" s="475"/>
      <c r="N31" s="475"/>
      <c r="O31" s="475"/>
      <c r="P31" s="475"/>
      <c r="Q31" s="263"/>
      <c r="R31" s="171" t="b">
        <f t="shared" si="2"/>
        <v>0</v>
      </c>
      <c r="S31" s="1230"/>
      <c r="T31" s="1232"/>
    </row>
    <row r="32" spans="1:28" ht="19.5" customHeight="1" x14ac:dyDescent="0.25">
      <c r="A32" s="77"/>
      <c r="B32" s="78"/>
      <c r="C32" s="868"/>
      <c r="D32" s="67">
        <v>0</v>
      </c>
      <c r="E32" s="68">
        <v>28</v>
      </c>
      <c r="F32" s="69">
        <f>BEGINBLAD!C31</f>
        <v>0</v>
      </c>
      <c r="G32" s="70">
        <f>'NIVEAU WAARDE - 1e toetsperiode'!H36</f>
        <v>0</v>
      </c>
      <c r="H32" s="71">
        <f>'NIVEAU WAARDE - 2e toetsperiode'!H36</f>
        <v>0</v>
      </c>
      <c r="I32" s="72" t="str">
        <f t="shared" si="0"/>
        <v/>
      </c>
      <c r="J32" s="171" t="str">
        <f t="shared" si="1"/>
        <v/>
      </c>
      <c r="K32" s="262"/>
      <c r="L32" s="261"/>
      <c r="M32" s="475"/>
      <c r="N32" s="475"/>
      <c r="O32" s="475"/>
      <c r="P32" s="475"/>
      <c r="Q32" s="263"/>
      <c r="R32" s="171" t="b">
        <f t="shared" si="2"/>
        <v>0</v>
      </c>
      <c r="S32" s="1230"/>
      <c r="T32" s="1232"/>
    </row>
    <row r="33" spans="1:27" ht="19.5" customHeight="1" x14ac:dyDescent="0.25">
      <c r="A33" s="77"/>
      <c r="B33" s="78"/>
      <c r="C33" s="868"/>
      <c r="D33" s="67">
        <v>0</v>
      </c>
      <c r="E33" s="68">
        <v>29</v>
      </c>
      <c r="F33" s="69">
        <f>BEGINBLAD!C32</f>
        <v>0</v>
      </c>
      <c r="G33" s="70">
        <f>'NIVEAU WAARDE - 1e toetsperiode'!H37</f>
        <v>0</v>
      </c>
      <c r="H33" s="71">
        <f>'NIVEAU WAARDE - 2e toetsperiode'!H37</f>
        <v>0</v>
      </c>
      <c r="I33" s="72" t="str">
        <f t="shared" si="0"/>
        <v/>
      </c>
      <c r="J33" s="171" t="str">
        <f t="shared" si="1"/>
        <v/>
      </c>
      <c r="K33" s="262"/>
      <c r="L33" s="261"/>
      <c r="M33" s="475"/>
      <c r="N33" s="475"/>
      <c r="O33" s="475"/>
      <c r="P33" s="475"/>
      <c r="Q33" s="263"/>
      <c r="R33" s="171" t="b">
        <f t="shared" si="2"/>
        <v>0</v>
      </c>
      <c r="S33" s="1230"/>
      <c r="T33" s="1232"/>
    </row>
    <row r="34" spans="1:27" ht="19.5" customHeight="1" x14ac:dyDescent="0.25">
      <c r="A34" s="77"/>
      <c r="B34" s="78"/>
      <c r="C34" s="868"/>
      <c r="D34" s="67">
        <v>0</v>
      </c>
      <c r="E34" s="68">
        <v>30</v>
      </c>
      <c r="F34" s="69">
        <f>BEGINBLAD!C33</f>
        <v>0</v>
      </c>
      <c r="G34" s="70">
        <f>'NIVEAU WAARDE - 1e toetsperiode'!H38</f>
        <v>0</v>
      </c>
      <c r="H34" s="71">
        <f>'NIVEAU WAARDE - 2e toetsperiode'!H38</f>
        <v>0</v>
      </c>
      <c r="I34" s="72" t="str">
        <f t="shared" si="0"/>
        <v/>
      </c>
      <c r="J34" s="171" t="str">
        <f t="shared" si="1"/>
        <v/>
      </c>
      <c r="K34" s="179"/>
      <c r="L34" s="180"/>
      <c r="M34" s="476"/>
      <c r="N34" s="476"/>
      <c r="O34" s="476"/>
      <c r="P34" s="476"/>
      <c r="Q34" s="181"/>
      <c r="R34" s="171" t="b">
        <f t="shared" si="2"/>
        <v>0</v>
      </c>
      <c r="S34" s="1230"/>
      <c r="T34" s="1232"/>
    </row>
    <row r="35" spans="1:27" ht="19.5" customHeight="1" thickBot="1" x14ac:dyDescent="0.3">
      <c r="A35" s="77"/>
      <c r="B35" s="78"/>
      <c r="C35" s="868"/>
      <c r="D35" s="67">
        <v>0</v>
      </c>
      <c r="E35" s="68">
        <v>31</v>
      </c>
      <c r="F35" s="69">
        <f>BEGINBLAD!C34</f>
        <v>0</v>
      </c>
      <c r="G35" s="70">
        <f>'NIVEAU WAARDE - 1e toetsperiode'!H39</f>
        <v>0</v>
      </c>
      <c r="H35" s="71">
        <f>'NIVEAU WAARDE - 2e toetsperiode'!H39</f>
        <v>0</v>
      </c>
      <c r="I35" s="72" t="str">
        <f t="shared" si="0"/>
        <v/>
      </c>
      <c r="J35" s="171" t="str">
        <f t="shared" si="1"/>
        <v/>
      </c>
      <c r="K35" s="179"/>
      <c r="L35" s="180"/>
      <c r="M35" s="476"/>
      <c r="N35" s="476"/>
      <c r="O35" s="476"/>
      <c r="P35" s="476"/>
      <c r="Q35" s="181"/>
      <c r="R35" s="171" t="b">
        <f t="shared" si="2"/>
        <v>0</v>
      </c>
      <c r="S35" s="1257"/>
      <c r="T35" s="1262"/>
    </row>
    <row r="36" spans="1:27" ht="19.5" customHeight="1" thickBot="1" x14ac:dyDescent="0.3">
      <c r="A36" s="77"/>
      <c r="B36" s="78"/>
      <c r="C36" s="868"/>
      <c r="D36" s="67">
        <v>0</v>
      </c>
      <c r="E36" s="68">
        <v>32</v>
      </c>
      <c r="F36" s="69">
        <f>BEGINBLAD!C35</f>
        <v>0</v>
      </c>
      <c r="G36" s="70">
        <f>'NIVEAU WAARDE - 1e toetsperiode'!H40</f>
        <v>0</v>
      </c>
      <c r="H36" s="71">
        <f>'NIVEAU WAARDE - 2e toetsperiode'!H40</f>
        <v>0</v>
      </c>
      <c r="I36" s="72" t="str">
        <f t="shared" si="0"/>
        <v/>
      </c>
      <c r="J36" s="171" t="str">
        <f t="shared" si="1"/>
        <v/>
      </c>
      <c r="K36" s="179"/>
      <c r="L36" s="180"/>
      <c r="M36" s="476"/>
      <c r="N36" s="476"/>
      <c r="O36" s="476"/>
      <c r="P36" s="476"/>
      <c r="Q36" s="181"/>
      <c r="R36" s="171" t="b">
        <f t="shared" si="2"/>
        <v>0</v>
      </c>
      <c r="S36" s="82"/>
      <c r="T36" s="54" t="s">
        <v>417</v>
      </c>
    </row>
    <row r="37" spans="1:27" ht="19.5" customHeight="1" x14ac:dyDescent="0.25">
      <c r="A37" s="77"/>
      <c r="B37" s="78"/>
      <c r="C37" s="868"/>
      <c r="D37" s="67">
        <v>0</v>
      </c>
      <c r="E37" s="68">
        <v>33</v>
      </c>
      <c r="F37" s="69">
        <f>BEGINBLAD!C36</f>
        <v>0</v>
      </c>
      <c r="G37" s="70">
        <f>'NIVEAU WAARDE - 1e toetsperiode'!H41</f>
        <v>0</v>
      </c>
      <c r="H37" s="71">
        <f>'NIVEAU WAARDE - 2e toetsperiode'!H41</f>
        <v>0</v>
      </c>
      <c r="I37" s="72" t="str">
        <f t="shared" si="0"/>
        <v/>
      </c>
      <c r="J37" s="171" t="str">
        <f t="shared" si="1"/>
        <v/>
      </c>
      <c r="K37" s="179"/>
      <c r="L37" s="180"/>
      <c r="M37" s="476"/>
      <c r="N37" s="476"/>
      <c r="O37" s="476"/>
      <c r="P37" s="476"/>
      <c r="Q37" s="181"/>
      <c r="R37" s="171" t="b">
        <f t="shared" si="2"/>
        <v>0</v>
      </c>
      <c r="S37" s="1229" t="s">
        <v>208</v>
      </c>
      <c r="T37" s="1231">
        <f>'VERRIJKT - 2e periode'!I6</f>
        <v>0</v>
      </c>
    </row>
    <row r="38" spans="1:27" ht="19.5" customHeight="1" x14ac:dyDescent="0.25">
      <c r="A38" s="77"/>
      <c r="B38" s="78"/>
      <c r="C38" s="868"/>
      <c r="D38" s="67">
        <v>0</v>
      </c>
      <c r="E38" s="68">
        <v>34</v>
      </c>
      <c r="F38" s="69">
        <f>BEGINBLAD!C37</f>
        <v>0</v>
      </c>
      <c r="G38" s="70">
        <f>'NIVEAU WAARDE - 1e toetsperiode'!H42</f>
        <v>0</v>
      </c>
      <c r="H38" s="71">
        <f>'NIVEAU WAARDE - 2e toetsperiode'!H42</f>
        <v>0</v>
      </c>
      <c r="I38" s="72" t="str">
        <f t="shared" si="0"/>
        <v/>
      </c>
      <c r="J38" s="171" t="str">
        <f t="shared" si="1"/>
        <v/>
      </c>
      <c r="K38" s="179"/>
      <c r="L38" s="180"/>
      <c r="M38" s="476"/>
      <c r="N38" s="476"/>
      <c r="O38" s="476"/>
      <c r="P38" s="476"/>
      <c r="Q38" s="181"/>
      <c r="R38" s="171" t="b">
        <f t="shared" si="2"/>
        <v>0</v>
      </c>
      <c r="S38" s="1230"/>
      <c r="T38" s="1232"/>
    </row>
    <row r="39" spans="1:27" ht="19.5" customHeight="1" x14ac:dyDescent="0.25">
      <c r="A39" s="77"/>
      <c r="B39" s="78"/>
      <c r="C39" s="868"/>
      <c r="D39" s="67">
        <v>0</v>
      </c>
      <c r="E39" s="68">
        <v>35</v>
      </c>
      <c r="F39" s="69">
        <f>BEGINBLAD!C38</f>
        <v>0</v>
      </c>
      <c r="G39" s="70">
        <f>'NIVEAU WAARDE - 1e toetsperiode'!H43</f>
        <v>0</v>
      </c>
      <c r="H39" s="71">
        <f>'NIVEAU WAARDE - 2e toetsperiode'!H43</f>
        <v>0</v>
      </c>
      <c r="I39" s="72" t="str">
        <f t="shared" si="0"/>
        <v/>
      </c>
      <c r="J39" s="171" t="str">
        <f t="shared" si="1"/>
        <v/>
      </c>
      <c r="K39" s="179"/>
      <c r="L39" s="180"/>
      <c r="M39" s="476"/>
      <c r="N39" s="476"/>
      <c r="O39" s="476"/>
      <c r="P39" s="476"/>
      <c r="Q39" s="181"/>
      <c r="R39" s="171" t="b">
        <f t="shared" si="2"/>
        <v>0</v>
      </c>
      <c r="S39" s="1230" t="s">
        <v>210</v>
      </c>
      <c r="T39" s="1255">
        <f>'VERRIJKT - 2e periode'!I8</f>
        <v>0</v>
      </c>
    </row>
    <row r="40" spans="1:27" ht="19.5" customHeight="1" thickBot="1" x14ac:dyDescent="0.3">
      <c r="A40" s="77"/>
      <c r="B40" s="78"/>
      <c r="C40" s="868"/>
      <c r="D40" s="67">
        <v>0</v>
      </c>
      <c r="E40" s="94">
        <v>36</v>
      </c>
      <c r="F40" s="95">
        <f>BEGINBLAD!C39</f>
        <v>0</v>
      </c>
      <c r="G40" s="96">
        <f>'NIVEAU WAARDE - 1e toetsperiode'!H44</f>
        <v>0</v>
      </c>
      <c r="H40" s="97">
        <f>'NIVEAU WAARDE - 2e toetsperiode'!H44</f>
        <v>0</v>
      </c>
      <c r="I40" s="98" t="str">
        <f t="shared" si="0"/>
        <v/>
      </c>
      <c r="J40" s="171" t="str">
        <f t="shared" si="1"/>
        <v/>
      </c>
      <c r="K40" s="183"/>
      <c r="L40" s="184"/>
      <c r="M40" s="477"/>
      <c r="N40" s="477"/>
      <c r="O40" s="477"/>
      <c r="P40" s="477"/>
      <c r="Q40" s="185"/>
      <c r="R40" s="171" t="b">
        <f t="shared" si="2"/>
        <v>0</v>
      </c>
      <c r="S40" s="1230"/>
      <c r="T40" s="1255"/>
    </row>
    <row r="41" spans="1:27" ht="19.5" customHeight="1" thickBot="1" x14ac:dyDescent="0.35">
      <c r="B41" s="100"/>
      <c r="C41" s="1263" t="s">
        <v>415</v>
      </c>
      <c r="D41" s="1263"/>
      <c r="E41" s="1263"/>
      <c r="F41" s="1263"/>
      <c r="G41" s="1059" t="s">
        <v>417</v>
      </c>
      <c r="H41" s="1059"/>
      <c r="I41" s="1059"/>
      <c r="J41" s="1059"/>
      <c r="K41" s="1059"/>
      <c r="L41" s="1059"/>
      <c r="M41" s="1059"/>
      <c r="N41" s="1059"/>
      <c r="O41" s="1059"/>
      <c r="P41" s="1059"/>
      <c r="Q41" s="1059"/>
      <c r="S41" s="1230"/>
      <c r="T41" s="1255"/>
      <c r="V41" s="101"/>
      <c r="W41" s="101"/>
      <c r="X41" s="101"/>
      <c r="Y41" s="101"/>
      <c r="Z41" s="101"/>
      <c r="AA41" s="101"/>
    </row>
    <row r="42" spans="1:27" ht="19.5" customHeight="1" x14ac:dyDescent="0.25">
      <c r="B42" s="51"/>
      <c r="C42" s="121" t="s">
        <v>279</v>
      </c>
      <c r="D42" s="1293"/>
      <c r="E42" s="1293"/>
      <c r="F42" s="1294"/>
      <c r="G42" s="1267" t="s">
        <v>279</v>
      </c>
      <c r="H42" s="1268"/>
      <c r="I42" s="1276"/>
      <c r="J42" s="1276"/>
      <c r="K42" s="1276"/>
      <c r="L42" s="1276"/>
      <c r="M42" s="1276"/>
      <c r="N42" s="1276"/>
      <c r="O42" s="1276"/>
      <c r="P42" s="1276"/>
      <c r="Q42" s="1277"/>
      <c r="S42" s="1230"/>
      <c r="T42" s="1255"/>
      <c r="V42" s="101"/>
      <c r="W42" s="101"/>
      <c r="X42" s="101"/>
      <c r="Y42" s="101"/>
      <c r="Z42" s="101"/>
      <c r="AA42" s="101"/>
    </row>
    <row r="43" spans="1:27" ht="19.5" customHeight="1" x14ac:dyDescent="0.25">
      <c r="B43" s="78"/>
      <c r="C43" s="122" t="s">
        <v>280</v>
      </c>
      <c r="D43" s="1291" t="s">
        <v>452</v>
      </c>
      <c r="E43" s="1291"/>
      <c r="F43" s="1292"/>
      <c r="G43" s="1249" t="s">
        <v>280</v>
      </c>
      <c r="H43" s="1250"/>
      <c r="I43" s="1270"/>
      <c r="J43" s="1270"/>
      <c r="K43" s="1270"/>
      <c r="L43" s="1270"/>
      <c r="M43" s="1270"/>
      <c r="N43" s="1270"/>
      <c r="O43" s="1270"/>
      <c r="P43" s="1270"/>
      <c r="Q43" s="1271"/>
      <c r="S43" s="1230"/>
      <c r="T43" s="1255"/>
      <c r="V43" s="101"/>
      <c r="W43" s="101"/>
      <c r="X43" s="101"/>
      <c r="Y43" s="101"/>
      <c r="Z43" s="101"/>
      <c r="AA43" s="101"/>
    </row>
    <row r="44" spans="1:27" ht="19.5" customHeight="1" x14ac:dyDescent="0.25">
      <c r="B44" s="78"/>
      <c r="C44" s="122" t="s">
        <v>281</v>
      </c>
      <c r="D44" s="1291"/>
      <c r="E44" s="1291"/>
      <c r="F44" s="1292"/>
      <c r="G44" s="1249" t="s">
        <v>281</v>
      </c>
      <c r="H44" s="1250"/>
      <c r="I44" s="1270"/>
      <c r="J44" s="1270"/>
      <c r="K44" s="1270"/>
      <c r="L44" s="1270"/>
      <c r="M44" s="1270"/>
      <c r="N44" s="1270"/>
      <c r="O44" s="1270"/>
      <c r="P44" s="1270"/>
      <c r="Q44" s="1271"/>
      <c r="S44" s="1230"/>
      <c r="T44" s="1255"/>
      <c r="V44" s="101"/>
      <c r="W44" s="101"/>
      <c r="X44" s="101"/>
      <c r="Y44" s="101"/>
      <c r="Z44" s="101"/>
      <c r="AA44" s="101"/>
    </row>
    <row r="45" spans="1:27" ht="19.5" customHeight="1" x14ac:dyDescent="0.25">
      <c r="B45" s="78"/>
      <c r="C45" s="122" t="s">
        <v>282</v>
      </c>
      <c r="D45" s="1291"/>
      <c r="E45" s="1291"/>
      <c r="F45" s="1292"/>
      <c r="G45" s="1249" t="s">
        <v>282</v>
      </c>
      <c r="H45" s="1250"/>
      <c r="I45" s="1270"/>
      <c r="J45" s="1270"/>
      <c r="K45" s="1270"/>
      <c r="L45" s="1270"/>
      <c r="M45" s="1270"/>
      <c r="N45" s="1270"/>
      <c r="O45" s="1270"/>
      <c r="P45" s="1270"/>
      <c r="Q45" s="1271"/>
      <c r="S45" s="1230"/>
      <c r="T45" s="1255"/>
      <c r="V45" s="101"/>
      <c r="W45" s="101"/>
      <c r="X45" s="101"/>
      <c r="Y45" s="101"/>
      <c r="Z45" s="101"/>
      <c r="AA45" s="101"/>
    </row>
    <row r="46" spans="1:27" ht="19.5" customHeight="1" thickBot="1" x14ac:dyDescent="0.3">
      <c r="B46" s="78"/>
      <c r="C46" s="123" t="s">
        <v>283</v>
      </c>
      <c r="D46" s="1272"/>
      <c r="E46" s="1272"/>
      <c r="F46" s="1273"/>
      <c r="G46" s="1240" t="s">
        <v>283</v>
      </c>
      <c r="H46" s="1241"/>
      <c r="I46" s="1274"/>
      <c r="J46" s="1274"/>
      <c r="K46" s="1274"/>
      <c r="L46" s="1274"/>
      <c r="M46" s="1274"/>
      <c r="N46" s="1274"/>
      <c r="O46" s="1274"/>
      <c r="P46" s="1274"/>
      <c r="Q46" s="1275"/>
      <c r="S46" s="1257"/>
      <c r="T46" s="1256"/>
    </row>
    <row r="47" spans="1:27" x14ac:dyDescent="0.25">
      <c r="C47" s="104"/>
      <c r="D47" s="380"/>
      <c r="E47" s="131"/>
      <c r="F47" s="131"/>
      <c r="G47" s="131"/>
      <c r="H47" s="83"/>
      <c r="I47" s="103"/>
      <c r="J47" s="103"/>
      <c r="K47" s="1269" t="s">
        <v>278</v>
      </c>
      <c r="L47" s="1269"/>
      <c r="M47" s="1269"/>
      <c r="N47" s="1269"/>
      <c r="O47" s="1269"/>
      <c r="P47" s="1269"/>
      <c r="Q47" s="1269"/>
      <c r="R47" s="102"/>
      <c r="S47" s="102"/>
      <c r="T47" s="102"/>
    </row>
    <row r="48" spans="1:27" x14ac:dyDescent="0.25">
      <c r="B48" s="116"/>
      <c r="C48" s="104"/>
      <c r="D48" s="83">
        <f>BEGINBLAD!$D$40</f>
        <v>8</v>
      </c>
      <c r="E48" s="142"/>
      <c r="F48" s="143" t="s">
        <v>418</v>
      </c>
      <c r="G48" s="150" t="e">
        <f>H48/$D$49</f>
        <v>#DIV/0!</v>
      </c>
      <c r="H48" s="85">
        <f>COUNTIF($I$5:$I$40,"A-1+")</f>
        <v>0</v>
      </c>
      <c r="I48" s="85"/>
      <c r="J48" s="141" t="s">
        <v>419</v>
      </c>
      <c r="K48" s="141"/>
      <c r="L48" s="141"/>
      <c r="M48" s="141"/>
      <c r="N48" s="141"/>
      <c r="O48" s="141"/>
      <c r="P48" s="141"/>
      <c r="Q48" s="161" t="e">
        <f>G48+G49+G50+G51+G52</f>
        <v>#DIV/0!</v>
      </c>
      <c r="R48" s="161">
        <v>1</v>
      </c>
      <c r="S48" s="149"/>
      <c r="T48" s="102"/>
    </row>
    <row r="49" spans="2:20" x14ac:dyDescent="0.25">
      <c r="B49" s="116"/>
      <c r="C49" s="104"/>
      <c r="D49" s="148">
        <f>COUNTIF(H5:H40,"&gt;0")</f>
        <v>0</v>
      </c>
      <c r="E49" s="142"/>
      <c r="F49" s="143" t="s">
        <v>420</v>
      </c>
      <c r="G49" s="150" t="e">
        <f>H49/$D$49</f>
        <v>#DIV/0!</v>
      </c>
      <c r="H49" s="85">
        <f>COUNTIF($I$5:$I$40,"A-1")</f>
        <v>0</v>
      </c>
      <c r="I49" s="85"/>
      <c r="J49" s="141"/>
      <c r="K49" s="141"/>
      <c r="L49" s="141"/>
      <c r="M49" s="141"/>
      <c r="N49" s="141"/>
      <c r="O49" s="141"/>
      <c r="P49" s="141"/>
      <c r="Q49" s="161"/>
      <c r="R49" s="161">
        <v>0.7</v>
      </c>
      <c r="S49" s="162"/>
      <c r="T49" s="111"/>
    </row>
    <row r="50" spans="2:20" x14ac:dyDescent="0.25">
      <c r="B50" s="116"/>
      <c r="C50" s="104"/>
      <c r="D50" s="144"/>
      <c r="E50" s="142"/>
      <c r="F50" s="145" t="s">
        <v>421</v>
      </c>
      <c r="G50" s="150" t="e">
        <f>(H50+I50)/$D$49</f>
        <v>#DIV/0!</v>
      </c>
      <c r="H50" s="85">
        <f>COUNTIF($I$5:$I$40,"A-2")</f>
        <v>0</v>
      </c>
      <c r="I50" s="85">
        <f>COUNTIF($I$5:$I$40,"B-2")</f>
        <v>0</v>
      </c>
      <c r="J50" s="141"/>
      <c r="K50" s="141"/>
      <c r="L50" s="141"/>
      <c r="M50" s="141"/>
      <c r="N50" s="141"/>
      <c r="O50" s="141"/>
      <c r="P50" s="141"/>
      <c r="Q50" s="161"/>
      <c r="R50" s="161">
        <v>0.6</v>
      </c>
      <c r="S50" s="162"/>
      <c r="T50" s="111"/>
    </row>
    <row r="51" spans="2:20" x14ac:dyDescent="0.25">
      <c r="B51" s="116"/>
      <c r="C51" s="104"/>
      <c r="D51" s="144"/>
      <c r="E51" s="142"/>
      <c r="F51" s="143" t="s">
        <v>422</v>
      </c>
      <c r="G51" s="150" t="e">
        <f>H51/$D$49</f>
        <v>#DIV/0!</v>
      </c>
      <c r="H51" s="85">
        <f>COUNTIF($I$5:$I$40,"B-3")</f>
        <v>0</v>
      </c>
      <c r="I51" s="85"/>
      <c r="J51" s="141"/>
      <c r="K51" s="141"/>
      <c r="L51" s="141"/>
      <c r="M51" s="141"/>
      <c r="N51" s="141"/>
      <c r="O51" s="141"/>
      <c r="P51" s="141"/>
      <c r="Q51" s="161"/>
      <c r="R51" s="161" t="e">
        <f>$Q$48</f>
        <v>#DIV/0!</v>
      </c>
      <c r="S51" s="162"/>
      <c r="T51" s="111"/>
    </row>
    <row r="52" spans="2:20" x14ac:dyDescent="0.25">
      <c r="B52" s="116"/>
      <c r="C52" s="104"/>
      <c r="D52" s="144"/>
      <c r="E52" s="142"/>
      <c r="F52" s="143" t="s">
        <v>423</v>
      </c>
      <c r="G52" s="150" t="e">
        <f>H52/$D$49</f>
        <v>#DIV/0!</v>
      </c>
      <c r="H52" s="85">
        <f>COUNTIF($I$5:$I$40,"c-3")</f>
        <v>0</v>
      </c>
      <c r="I52" s="85"/>
      <c r="J52" s="141" t="s">
        <v>352</v>
      </c>
      <c r="K52" s="141"/>
      <c r="L52" s="141"/>
      <c r="M52" s="141"/>
      <c r="N52" s="141"/>
      <c r="O52" s="141"/>
      <c r="P52" s="141"/>
      <c r="Q52" s="161" t="e">
        <f>G53+G54+G55+G57</f>
        <v>#DIV/0!</v>
      </c>
      <c r="R52" s="163"/>
      <c r="S52" s="162"/>
      <c r="T52" s="111"/>
    </row>
    <row r="53" spans="2:20" x14ac:dyDescent="0.25">
      <c r="B53" s="116"/>
      <c r="C53" s="104"/>
      <c r="D53" s="144"/>
      <c r="E53" s="142"/>
      <c r="F53" s="145" t="s">
        <v>424</v>
      </c>
      <c r="G53" s="150" t="e">
        <f>H53/$D$49</f>
        <v>#DIV/0!</v>
      </c>
      <c r="H53" s="85">
        <f>COUNTIF($I$5:$I$40,"c-4")</f>
        <v>0</v>
      </c>
      <c r="I53" s="83"/>
      <c r="J53" s="141"/>
      <c r="K53" s="141"/>
      <c r="L53" s="141"/>
      <c r="M53" s="141"/>
      <c r="N53" s="141"/>
      <c r="O53" s="141"/>
      <c r="P53" s="141"/>
      <c r="Q53" s="161"/>
      <c r="R53" s="163"/>
      <c r="S53" s="162"/>
      <c r="T53" s="111"/>
    </row>
    <row r="54" spans="2:20" x14ac:dyDescent="0.25">
      <c r="B54" s="116"/>
      <c r="C54" s="104"/>
      <c r="D54" s="144"/>
      <c r="E54" s="142"/>
      <c r="F54" s="142" t="s">
        <v>425</v>
      </c>
      <c r="G54" s="150" t="e">
        <f>H54/$D$49</f>
        <v>#DIV/0!</v>
      </c>
      <c r="H54" s="85">
        <f>COUNTIF($I$5:$I$40,"d-4")</f>
        <v>0</v>
      </c>
      <c r="I54" s="83"/>
      <c r="J54" s="141"/>
      <c r="K54" s="141"/>
      <c r="L54" s="141"/>
      <c r="M54" s="141"/>
      <c r="N54" s="141"/>
      <c r="O54" s="141"/>
      <c r="P54" s="141"/>
      <c r="Q54" s="161"/>
      <c r="R54" s="163"/>
      <c r="S54" s="162"/>
      <c r="T54" s="111"/>
    </row>
    <row r="55" spans="2:20" x14ac:dyDescent="0.25">
      <c r="B55" s="116"/>
      <c r="C55" s="104"/>
      <c r="D55" s="144"/>
      <c r="E55" s="142"/>
      <c r="F55" s="143" t="s">
        <v>426</v>
      </c>
      <c r="G55" s="150" t="e">
        <f>(H55+I55)/$D$49</f>
        <v>#DIV/0!</v>
      </c>
      <c r="H55" s="85">
        <f>COUNTIF($I$5:$I$40,"d-5")</f>
        <v>0</v>
      </c>
      <c r="I55" s="85">
        <f>COUNTIF($I$5:$I$40,"e-5")</f>
        <v>0</v>
      </c>
      <c r="J55" s="141"/>
      <c r="K55" s="141"/>
      <c r="L55" s="141"/>
      <c r="M55" s="141"/>
      <c r="N55" s="141"/>
      <c r="O55" s="141"/>
      <c r="P55" s="141"/>
      <c r="Q55" s="161"/>
      <c r="R55" s="163"/>
      <c r="S55" s="162"/>
      <c r="T55" s="111"/>
    </row>
    <row r="56" spans="2:20" x14ac:dyDescent="0.25">
      <c r="B56" s="116"/>
      <c r="C56" s="104"/>
      <c r="D56" s="144"/>
      <c r="E56" s="142"/>
      <c r="F56" s="143"/>
      <c r="G56" s="150"/>
      <c r="H56" s="85"/>
      <c r="I56" s="85"/>
      <c r="J56" s="141" t="s">
        <v>69</v>
      </c>
      <c r="K56" s="141"/>
      <c r="L56" s="141"/>
      <c r="M56" s="141"/>
      <c r="N56" s="141"/>
      <c r="O56" s="141"/>
      <c r="P56" s="141"/>
      <c r="Q56" s="161" t="e">
        <f>Q48+Q52</f>
        <v>#DIV/0!</v>
      </c>
      <c r="R56" s="1245"/>
      <c r="S56" s="162"/>
      <c r="T56" s="111"/>
    </row>
    <row r="57" spans="2:20" x14ac:dyDescent="0.25">
      <c r="B57" s="116"/>
      <c r="C57" s="104"/>
      <c r="D57" s="144"/>
      <c r="E57" s="142"/>
      <c r="F57" s="146" t="s">
        <v>427</v>
      </c>
      <c r="G57" s="150" t="e">
        <f>H57/$D$49</f>
        <v>#DIV/0!</v>
      </c>
      <c r="H57" s="85">
        <f>COUNTIF($I$5:$I$40,"e-5-")</f>
        <v>0</v>
      </c>
      <c r="I57" s="85"/>
      <c r="J57" s="141"/>
      <c r="K57" s="141"/>
      <c r="L57" s="141"/>
      <c r="M57" s="141"/>
      <c r="N57" s="141"/>
      <c r="O57" s="141"/>
      <c r="P57" s="141"/>
      <c r="Q57" s="161"/>
      <c r="R57" s="1245"/>
      <c r="S57" s="162"/>
      <c r="T57" s="111"/>
    </row>
    <row r="58" spans="2:20" x14ac:dyDescent="0.25">
      <c r="B58" s="116"/>
      <c r="C58" s="104"/>
      <c r="D58" s="144"/>
      <c r="E58" s="142"/>
      <c r="F58" s="143" t="s">
        <v>69</v>
      </c>
      <c r="G58" s="147" t="e">
        <f>SUM(G48:G57)</f>
        <v>#DIV/0!</v>
      </c>
      <c r="H58" s="131">
        <f>SUM(H48:H57)</f>
        <v>0</v>
      </c>
      <c r="I58" s="131">
        <f>SUM(I48:I57)</f>
        <v>0</v>
      </c>
      <c r="J58" s="83"/>
      <c r="K58" s="83"/>
      <c r="L58" s="149"/>
      <c r="M58" s="149"/>
      <c r="N58" s="149"/>
      <c r="O58" s="149"/>
      <c r="P58" s="149"/>
      <c r="Q58" s="149"/>
      <c r="R58" s="149"/>
      <c r="S58" s="149"/>
      <c r="T58" s="102"/>
    </row>
    <row r="59" spans="2:20" x14ac:dyDescent="0.25">
      <c r="B59" s="116"/>
      <c r="C59" s="104"/>
      <c r="D59" s="144"/>
      <c r="E59" s="142"/>
      <c r="F59" s="131"/>
      <c r="G59" s="131"/>
      <c r="H59" s="83">
        <f>SUM(H58+I58)</f>
        <v>0</v>
      </c>
      <c r="I59" s="83"/>
      <c r="J59" s="83"/>
      <c r="K59" s="83"/>
      <c r="L59" s="149"/>
      <c r="M59" s="149"/>
      <c r="N59" s="149"/>
      <c r="O59" s="149"/>
      <c r="P59" s="149"/>
      <c r="Q59" s="149"/>
      <c r="R59" s="149"/>
      <c r="S59" s="149"/>
      <c r="T59" s="102"/>
    </row>
    <row r="60" spans="2:20" x14ac:dyDescent="0.25">
      <c r="B60" s="116"/>
      <c r="C60" s="104"/>
      <c r="D60" s="148"/>
      <c r="E60" s="131"/>
      <c r="F60" s="142"/>
      <c r="G60" s="150"/>
      <c r="H60" s="83"/>
      <c r="I60" s="83"/>
      <c r="J60" s="83"/>
      <c r="K60" s="83"/>
      <c r="L60" s="149"/>
      <c r="M60" s="149"/>
      <c r="N60" s="149"/>
      <c r="O60" s="149"/>
      <c r="P60" s="149"/>
      <c r="Q60" s="149"/>
      <c r="R60" s="149"/>
      <c r="S60" s="149"/>
      <c r="T60" s="102"/>
    </row>
    <row r="61" spans="2:20" x14ac:dyDescent="0.25">
      <c r="B61" s="116"/>
      <c r="C61" s="104"/>
      <c r="D61" s="148"/>
      <c r="E61" s="131"/>
      <c r="F61" s="149"/>
      <c r="G61" s="150"/>
      <c r="H61" s="83"/>
      <c r="I61" s="83"/>
      <c r="J61" s="83"/>
      <c r="K61" s="83"/>
      <c r="L61" s="149"/>
      <c r="M61" s="149"/>
      <c r="N61" s="149"/>
      <c r="O61" s="149"/>
      <c r="P61" s="149"/>
      <c r="Q61" s="149"/>
      <c r="R61" s="149"/>
      <c r="S61" s="149"/>
      <c r="T61" s="102"/>
    </row>
    <row r="62" spans="2:20" x14ac:dyDescent="0.25">
      <c r="B62" s="117"/>
      <c r="C62" s="114"/>
      <c r="D62" s="105"/>
      <c r="E62" s="104"/>
      <c r="F62" s="102"/>
      <c r="G62" s="124"/>
      <c r="H62" s="103"/>
      <c r="I62" s="103"/>
      <c r="J62" s="103"/>
      <c r="K62" s="103"/>
      <c r="L62" s="102"/>
      <c r="M62" s="102"/>
      <c r="N62" s="102"/>
      <c r="O62" s="102"/>
      <c r="P62" s="102"/>
      <c r="Q62" s="102"/>
      <c r="R62" s="102"/>
      <c r="S62" s="102"/>
      <c r="T62" s="102"/>
    </row>
    <row r="63" spans="2:20" x14ac:dyDescent="0.25">
      <c r="B63" s="116"/>
      <c r="C63" s="104"/>
      <c r="D63" s="105"/>
      <c r="E63" s="104"/>
      <c r="F63" s="104"/>
      <c r="G63" s="104"/>
      <c r="H63" s="103"/>
      <c r="I63" s="103"/>
      <c r="J63" s="103"/>
      <c r="K63" s="103"/>
      <c r="L63" s="102"/>
      <c r="M63" s="102"/>
      <c r="N63" s="102"/>
      <c r="O63" s="102"/>
      <c r="P63" s="102"/>
      <c r="Q63" s="102"/>
      <c r="R63" s="102"/>
      <c r="S63" s="102"/>
      <c r="T63" s="102"/>
    </row>
    <row r="64" spans="2:20" x14ac:dyDescent="0.25">
      <c r="B64" s="116"/>
      <c r="C64" s="104"/>
      <c r="D64" s="105"/>
      <c r="E64" s="104"/>
      <c r="F64" s="104"/>
      <c r="G64" s="104"/>
      <c r="H64" s="103"/>
      <c r="I64" s="103"/>
      <c r="J64" s="103"/>
      <c r="K64" s="103"/>
      <c r="L64" s="104"/>
      <c r="M64" s="104"/>
      <c r="N64" s="104"/>
      <c r="O64" s="104"/>
      <c r="P64" s="104"/>
      <c r="Q64" s="102"/>
      <c r="R64" s="102"/>
      <c r="S64" s="102"/>
      <c r="T64" s="102"/>
    </row>
    <row r="65" spans="3:28" x14ac:dyDescent="0.25">
      <c r="C65" s="104"/>
      <c r="D65" s="105"/>
      <c r="E65" s="104"/>
      <c r="F65" s="104"/>
      <c r="G65" s="104"/>
      <c r="H65" s="103"/>
      <c r="I65" s="103"/>
      <c r="J65" s="103"/>
      <c r="K65" s="103"/>
      <c r="L65" s="104"/>
      <c r="M65" s="104"/>
      <c r="N65" s="104"/>
      <c r="O65" s="104"/>
      <c r="P65" s="104"/>
      <c r="Q65" s="102"/>
      <c r="R65" s="102"/>
      <c r="S65" s="102"/>
      <c r="T65" s="102"/>
    </row>
    <row r="66" spans="3:28" x14ac:dyDescent="0.25">
      <c r="C66" s="104"/>
      <c r="D66" s="105"/>
      <c r="E66" s="104"/>
      <c r="F66" s="104"/>
      <c r="G66" s="104"/>
      <c r="H66" s="103"/>
      <c r="I66" s="103"/>
      <c r="J66" s="103"/>
      <c r="K66" s="103"/>
      <c r="L66" s="104"/>
      <c r="M66" s="104"/>
      <c r="N66" s="104"/>
      <c r="O66" s="104"/>
      <c r="P66" s="104"/>
      <c r="Q66" s="102"/>
      <c r="R66" s="112"/>
      <c r="S66" s="102"/>
      <c r="T66" s="102"/>
    </row>
    <row r="67" spans="3:28" ht="20" x14ac:dyDescent="0.3">
      <c r="C67" s="104"/>
      <c r="D67" s="104"/>
      <c r="E67" s="104"/>
      <c r="F67" s="104"/>
      <c r="G67" s="104"/>
      <c r="H67" s="103"/>
      <c r="I67" s="103"/>
      <c r="J67" s="113"/>
      <c r="K67" s="103"/>
      <c r="L67" s="104"/>
      <c r="M67" s="104"/>
      <c r="N67" s="104"/>
      <c r="O67" s="104"/>
      <c r="P67" s="104"/>
      <c r="Q67" s="102"/>
      <c r="R67" s="102"/>
      <c r="S67" s="112"/>
      <c r="T67" s="112"/>
      <c r="Y67" s="88"/>
      <c r="Z67" s="88"/>
      <c r="AA67" s="88"/>
      <c r="AB67" s="88"/>
    </row>
    <row r="68" spans="3:28" ht="20" x14ac:dyDescent="0.25">
      <c r="C68" s="104"/>
      <c r="D68" s="104"/>
      <c r="E68" s="104"/>
      <c r="F68" s="104"/>
      <c r="G68" s="104"/>
      <c r="H68" s="103"/>
      <c r="I68" s="103"/>
      <c r="J68" s="113"/>
      <c r="K68" s="103"/>
      <c r="L68" s="104"/>
      <c r="M68" s="104"/>
      <c r="N68" s="104"/>
      <c r="O68" s="104"/>
      <c r="P68" s="104"/>
      <c r="Q68" s="102"/>
      <c r="R68" s="102"/>
      <c r="S68" s="102"/>
      <c r="T68" s="102"/>
    </row>
    <row r="69" spans="3:28" ht="20" x14ac:dyDescent="0.25">
      <c r="C69" s="104"/>
      <c r="D69" s="104"/>
      <c r="E69" s="104"/>
      <c r="F69" s="104"/>
      <c r="G69" s="104"/>
      <c r="H69" s="103"/>
      <c r="I69" s="103"/>
      <c r="J69" s="113"/>
      <c r="K69" s="103"/>
      <c r="L69" s="104"/>
      <c r="M69" s="104"/>
      <c r="N69" s="104"/>
      <c r="O69" s="104"/>
      <c r="P69" s="104"/>
      <c r="Q69" s="102"/>
      <c r="R69" s="102"/>
      <c r="S69" s="102"/>
      <c r="T69" s="102"/>
    </row>
    <row r="70" spans="3:28" ht="20" x14ac:dyDescent="0.25">
      <c r="C70" s="104"/>
      <c r="D70" s="104"/>
      <c r="E70" s="104"/>
      <c r="F70" s="104"/>
      <c r="G70" s="104"/>
      <c r="H70" s="103"/>
      <c r="I70" s="103"/>
      <c r="J70" s="113"/>
      <c r="K70" s="103"/>
      <c r="L70" s="104"/>
      <c r="M70" s="104"/>
      <c r="N70" s="104"/>
      <c r="O70" s="104"/>
      <c r="P70" s="104"/>
      <c r="Q70" s="102"/>
      <c r="R70" s="102"/>
      <c r="S70" s="102"/>
      <c r="T70" s="102"/>
    </row>
    <row r="71" spans="3:28" ht="20" x14ac:dyDescent="0.25">
      <c r="C71" s="104"/>
      <c r="D71" s="104"/>
      <c r="E71" s="104"/>
      <c r="F71" s="104"/>
      <c r="G71" s="104"/>
      <c r="H71" s="103"/>
      <c r="I71" s="103"/>
      <c r="J71" s="113"/>
      <c r="K71" s="103"/>
      <c r="L71" s="104"/>
      <c r="M71" s="104"/>
      <c r="N71" s="104"/>
      <c r="O71" s="104"/>
      <c r="P71" s="104"/>
      <c r="Q71" s="102"/>
      <c r="R71" s="102"/>
      <c r="S71" s="102"/>
      <c r="T71" s="102"/>
    </row>
    <row r="72" spans="3:28" x14ac:dyDescent="0.25">
      <c r="C72" s="104"/>
      <c r="D72" s="105"/>
      <c r="E72" s="104"/>
      <c r="F72" s="104"/>
      <c r="G72" s="104"/>
      <c r="H72" s="103"/>
      <c r="I72" s="103"/>
      <c r="J72" s="103"/>
      <c r="K72" s="103"/>
      <c r="L72" s="104"/>
      <c r="M72" s="104"/>
      <c r="N72" s="104"/>
      <c r="O72" s="104"/>
      <c r="P72" s="104"/>
      <c r="Q72" s="102"/>
      <c r="R72" s="102"/>
      <c r="S72" s="102"/>
      <c r="T72" s="102"/>
    </row>
    <row r="73" spans="3:28" x14ac:dyDescent="0.25">
      <c r="C73" s="104"/>
      <c r="D73" s="105"/>
      <c r="E73" s="104"/>
      <c r="F73" s="104"/>
      <c r="G73" s="104"/>
      <c r="H73" s="103"/>
      <c r="I73" s="103"/>
      <c r="J73" s="103"/>
      <c r="K73" s="103"/>
      <c r="L73" s="104"/>
      <c r="M73" s="104"/>
      <c r="N73" s="104"/>
      <c r="O73" s="104"/>
      <c r="P73" s="104"/>
      <c r="Q73" s="102"/>
      <c r="R73" s="102"/>
      <c r="S73" s="102"/>
      <c r="T73" s="102"/>
    </row>
    <row r="74" spans="3:28" x14ac:dyDescent="0.25">
      <c r="C74" s="104"/>
      <c r="D74" s="105"/>
      <c r="E74" s="104"/>
      <c r="F74" s="104"/>
      <c r="G74" s="104"/>
      <c r="H74" s="103"/>
      <c r="I74" s="103"/>
      <c r="J74" s="103"/>
      <c r="K74" s="103"/>
      <c r="L74" s="104"/>
      <c r="M74" s="104"/>
      <c r="N74" s="104"/>
      <c r="O74" s="104"/>
      <c r="P74" s="104"/>
      <c r="Q74" s="102"/>
      <c r="R74" s="102"/>
      <c r="S74" s="102"/>
      <c r="T74" s="102"/>
    </row>
    <row r="75" spans="3:28" x14ac:dyDescent="0.25">
      <c r="C75" s="104"/>
      <c r="D75" s="105"/>
      <c r="E75" s="104"/>
      <c r="F75" s="104"/>
      <c r="G75" s="104"/>
      <c r="H75" s="103"/>
      <c r="I75" s="103"/>
      <c r="J75" s="103"/>
      <c r="K75" s="103"/>
      <c r="L75" s="104"/>
      <c r="M75" s="104"/>
      <c r="N75" s="104"/>
      <c r="O75" s="104"/>
      <c r="P75" s="104"/>
      <c r="Q75" s="102"/>
      <c r="R75" s="102"/>
      <c r="S75" s="102"/>
      <c r="T75" s="102"/>
    </row>
    <row r="76" spans="3:28" x14ac:dyDescent="0.25">
      <c r="C76" s="104"/>
      <c r="D76" s="105"/>
      <c r="E76" s="104"/>
      <c r="F76" s="104"/>
      <c r="G76" s="104"/>
      <c r="H76" s="103"/>
      <c r="I76" s="103"/>
      <c r="J76" s="103"/>
      <c r="K76" s="103"/>
      <c r="L76" s="104"/>
      <c r="M76" s="104"/>
      <c r="N76" s="104"/>
      <c r="O76" s="104"/>
      <c r="P76" s="104"/>
      <c r="Q76" s="102"/>
      <c r="R76" s="102"/>
      <c r="S76" s="102"/>
      <c r="T76" s="102"/>
    </row>
    <row r="77" spans="3:28" x14ac:dyDescent="0.25">
      <c r="C77" s="104"/>
      <c r="D77" s="105"/>
      <c r="E77" s="104"/>
      <c r="F77" s="104"/>
      <c r="G77" s="104"/>
      <c r="H77" s="103"/>
      <c r="I77" s="103"/>
      <c r="J77" s="103"/>
      <c r="K77" s="103"/>
      <c r="L77" s="104"/>
      <c r="M77" s="104"/>
      <c r="N77" s="104"/>
      <c r="O77" s="104"/>
      <c r="P77" s="104"/>
      <c r="Q77" s="102"/>
      <c r="R77" s="102"/>
      <c r="S77" s="102"/>
      <c r="T77" s="102"/>
    </row>
    <row r="78" spans="3:28" x14ac:dyDescent="0.25">
      <c r="C78" s="104"/>
      <c r="D78" s="105"/>
      <c r="E78" s="104"/>
      <c r="F78" s="104"/>
      <c r="G78" s="104"/>
      <c r="H78" s="103"/>
      <c r="I78" s="103"/>
      <c r="J78" s="103"/>
      <c r="K78" s="103"/>
      <c r="L78" s="104"/>
      <c r="M78" s="104"/>
      <c r="N78" s="104"/>
      <c r="O78" s="104"/>
      <c r="P78" s="104"/>
      <c r="Q78" s="102"/>
      <c r="R78" s="102"/>
      <c r="S78" s="102"/>
      <c r="T78" s="102"/>
    </row>
    <row r="79" spans="3:28" x14ac:dyDescent="0.25">
      <c r="C79" s="104"/>
      <c r="D79" s="105"/>
      <c r="E79" s="104"/>
      <c r="F79" s="104"/>
      <c r="G79" s="104"/>
      <c r="H79" s="103"/>
      <c r="I79" s="103"/>
      <c r="J79" s="103"/>
      <c r="K79" s="103"/>
      <c r="L79" s="104"/>
      <c r="M79" s="104"/>
      <c r="N79" s="104"/>
      <c r="O79" s="104"/>
      <c r="P79" s="104"/>
      <c r="Q79" s="102"/>
      <c r="R79" s="102"/>
      <c r="S79" s="102"/>
      <c r="T79" s="102"/>
    </row>
    <row r="80" spans="3:28" x14ac:dyDescent="0.25">
      <c r="C80" s="104"/>
      <c r="D80" s="105"/>
      <c r="E80" s="104"/>
      <c r="F80" s="104"/>
      <c r="G80" s="104"/>
      <c r="H80" s="103"/>
      <c r="I80" s="103"/>
      <c r="J80" s="103"/>
      <c r="K80" s="103"/>
      <c r="L80" s="104"/>
      <c r="M80" s="104"/>
      <c r="N80" s="104"/>
      <c r="O80" s="104"/>
      <c r="P80" s="104"/>
      <c r="Q80" s="102"/>
      <c r="R80" s="102"/>
      <c r="S80" s="102"/>
      <c r="T80" s="102"/>
    </row>
    <row r="81" spans="3:20" x14ac:dyDescent="0.25">
      <c r="C81" s="104"/>
      <c r="D81" s="105"/>
      <c r="E81" s="104"/>
      <c r="F81" s="104"/>
      <c r="G81" s="104"/>
      <c r="H81" s="103"/>
      <c r="I81" s="103"/>
      <c r="J81" s="103"/>
      <c r="K81" s="103"/>
      <c r="L81" s="104"/>
      <c r="M81" s="104"/>
      <c r="N81" s="104"/>
      <c r="O81" s="104"/>
      <c r="P81" s="104"/>
      <c r="Q81" s="102"/>
      <c r="R81" s="102"/>
      <c r="S81" s="102"/>
      <c r="T81" s="102"/>
    </row>
    <row r="82" spans="3:20" x14ac:dyDescent="0.25">
      <c r="C82" s="104"/>
      <c r="D82" s="105"/>
      <c r="E82" s="104"/>
      <c r="F82" s="104"/>
      <c r="G82" s="104"/>
      <c r="H82" s="103"/>
      <c r="I82" s="103"/>
      <c r="J82" s="103"/>
      <c r="K82" s="103"/>
      <c r="L82" s="104"/>
      <c r="M82" s="104"/>
      <c r="N82" s="104"/>
      <c r="O82" s="104"/>
      <c r="P82" s="104"/>
      <c r="Q82" s="102"/>
      <c r="R82" s="102"/>
      <c r="S82" s="102"/>
      <c r="T82" s="102"/>
    </row>
    <row r="83" spans="3:20" x14ac:dyDescent="0.25">
      <c r="C83" s="104"/>
      <c r="D83" s="105"/>
      <c r="E83" s="104"/>
      <c r="F83" s="104"/>
      <c r="G83" s="104"/>
      <c r="H83" s="103"/>
      <c r="I83" s="103"/>
      <c r="J83" s="103"/>
      <c r="K83" s="103"/>
      <c r="L83" s="104"/>
      <c r="M83" s="104"/>
      <c r="N83" s="104"/>
      <c r="O83" s="104"/>
      <c r="P83" s="104"/>
      <c r="Q83" s="102"/>
      <c r="R83" s="102"/>
      <c r="S83" s="102"/>
      <c r="T83" s="102"/>
    </row>
    <row r="84" spans="3:20" x14ac:dyDescent="0.25">
      <c r="C84" s="104"/>
      <c r="D84" s="105"/>
      <c r="E84" s="104"/>
      <c r="F84" s="104"/>
      <c r="G84" s="104"/>
      <c r="H84" s="103"/>
      <c r="I84" s="103"/>
      <c r="J84" s="103"/>
      <c r="K84" s="103"/>
      <c r="L84" s="104"/>
      <c r="M84" s="104"/>
      <c r="N84" s="104"/>
      <c r="O84" s="104"/>
      <c r="P84" s="104"/>
      <c r="Q84" s="102"/>
      <c r="R84" s="102"/>
      <c r="S84" s="102"/>
      <c r="T84" s="102"/>
    </row>
    <row r="85" spans="3:20" x14ac:dyDescent="0.25">
      <c r="C85" s="104"/>
      <c r="D85" s="110"/>
      <c r="E85" s="114"/>
      <c r="F85" s="114"/>
      <c r="G85" s="114"/>
      <c r="H85" s="115"/>
      <c r="I85" s="115"/>
      <c r="J85" s="115"/>
      <c r="K85" s="115"/>
      <c r="L85" s="104"/>
      <c r="M85" s="104"/>
      <c r="N85" s="104"/>
      <c r="O85" s="104"/>
      <c r="P85" s="104"/>
      <c r="Q85" s="102"/>
      <c r="R85" s="102"/>
      <c r="S85" s="102"/>
      <c r="T85" s="102"/>
    </row>
  </sheetData>
  <sheetProtection sheet="1" objects="1" scenarios="1"/>
  <dataConsolidate link="1"/>
  <mergeCells count="37">
    <mergeCell ref="B27:B28"/>
    <mergeCell ref="S28:S35"/>
    <mergeCell ref="T28:T35"/>
    <mergeCell ref="C1:J1"/>
    <mergeCell ref="K1:S1"/>
    <mergeCell ref="C2:D2"/>
    <mergeCell ref="G2:I2"/>
    <mergeCell ref="B5:B6"/>
    <mergeCell ref="S15:S16"/>
    <mergeCell ref="T15:T16"/>
    <mergeCell ref="S17:S24"/>
    <mergeCell ref="T17:T24"/>
    <mergeCell ref="S26:S27"/>
    <mergeCell ref="T26:T27"/>
    <mergeCell ref="S37:S38"/>
    <mergeCell ref="T37:T38"/>
    <mergeCell ref="S39:S46"/>
    <mergeCell ref="T39:T46"/>
    <mergeCell ref="C41:F41"/>
    <mergeCell ref="G41:Q41"/>
    <mergeCell ref="D42:F42"/>
    <mergeCell ref="G42:H42"/>
    <mergeCell ref="I42:Q42"/>
    <mergeCell ref="D43:F43"/>
    <mergeCell ref="G43:H43"/>
    <mergeCell ref="I43:Q43"/>
    <mergeCell ref="D44:F44"/>
    <mergeCell ref="K47:Q47"/>
    <mergeCell ref="R56:R57"/>
    <mergeCell ref="G44:H44"/>
    <mergeCell ref="I44:Q44"/>
    <mergeCell ref="D46:F46"/>
    <mergeCell ref="G46:H46"/>
    <mergeCell ref="I46:Q46"/>
    <mergeCell ref="D45:F45"/>
    <mergeCell ref="G45:H45"/>
    <mergeCell ref="I45:Q45"/>
  </mergeCells>
  <conditionalFormatting sqref="C7:C18">
    <cfRule type="expression" dxfId="162" priority="280" stopIfTrue="1">
      <formula>B7=8</formula>
    </cfRule>
    <cfRule type="cellIs" dxfId="161" priority="279" operator="equal">
      <formula>""</formula>
    </cfRule>
    <cfRule type="expression" dxfId="160" priority="285" stopIfTrue="1">
      <formula>B7=5</formula>
    </cfRule>
    <cfRule type="expression" dxfId="159" priority="284" stopIfTrue="1">
      <formula>B7=4</formula>
    </cfRule>
    <cfRule type="expression" dxfId="158" priority="283" stopIfTrue="1">
      <formula>B7=3</formula>
    </cfRule>
    <cfRule type="expression" dxfId="157" priority="282" stopIfTrue="1">
      <formula>B7=6</formula>
    </cfRule>
    <cfRule type="expression" dxfId="156" priority="281" stopIfTrue="1">
      <formula>B7=7</formula>
    </cfRule>
  </conditionalFormatting>
  <conditionalFormatting sqref="C29:C40">
    <cfRule type="expression" dxfId="155" priority="301" stopIfTrue="1">
      <formula>B29=8</formula>
    </cfRule>
    <cfRule type="expression" dxfId="154" priority="306" stopIfTrue="1">
      <formula>B29=5</formula>
    </cfRule>
    <cfRule type="expression" dxfId="153" priority="304" stopIfTrue="1">
      <formula>B29=3</formula>
    </cfRule>
    <cfRule type="expression" dxfId="152" priority="302" stopIfTrue="1">
      <formula>B29=7</formula>
    </cfRule>
    <cfRule type="cellIs" dxfId="151" priority="300" operator="equal">
      <formula>""</formula>
    </cfRule>
    <cfRule type="expression" dxfId="150" priority="305" stopIfTrue="1">
      <formula>B29=4</formula>
    </cfRule>
    <cfRule type="expression" dxfId="149" priority="303" stopIfTrue="1">
      <formula>B29=6</formula>
    </cfRule>
  </conditionalFormatting>
  <conditionalFormatting sqref="C42:C46">
    <cfRule type="cellIs" dxfId="148" priority="278" operator="notEqual">
      <formula>""</formula>
    </cfRule>
  </conditionalFormatting>
  <conditionalFormatting sqref="E5:E40">
    <cfRule type="expression" dxfId="147" priority="316">
      <formula>$D5=6</formula>
    </cfRule>
    <cfRule type="expression" dxfId="146" priority="315">
      <formula>$D5=7</formula>
    </cfRule>
    <cfRule type="expression" dxfId="145" priority="311">
      <formula>$D5=3</formula>
    </cfRule>
    <cfRule type="expression" dxfId="144" priority="312">
      <formula>$D5=4</formula>
    </cfRule>
    <cfRule type="expression" dxfId="143" priority="313">
      <formula>$D5=5</formula>
    </cfRule>
    <cfRule type="expression" dxfId="142" priority="314">
      <formula>$D5=8</formula>
    </cfRule>
  </conditionalFormatting>
  <conditionalFormatting sqref="F5:F40">
    <cfRule type="expression" dxfId="141" priority="318">
      <formula>$H5&lt;#REF!</formula>
    </cfRule>
    <cfRule type="expression" dxfId="140" priority="320">
      <formula>$H5=0</formula>
    </cfRule>
    <cfRule type="expression" dxfId="139" priority="319">
      <formula>$H5&gt;=#REF!</formula>
    </cfRule>
    <cfRule type="expression" dxfId="138" priority="317">
      <formula>$H5=0</formula>
    </cfRule>
  </conditionalFormatting>
  <conditionalFormatting sqref="G42:G46">
    <cfRule type="cellIs" dxfId="137" priority="299" operator="notEqual">
      <formula>""</formula>
    </cfRule>
  </conditionalFormatting>
  <conditionalFormatting sqref="H5:H40">
    <cfRule type="cellIs" dxfId="136" priority="326" stopIfTrue="1" operator="between">
      <formula>4</formula>
      <formula>5</formula>
    </cfRule>
    <cfRule type="cellIs" dxfId="135" priority="325" stopIfTrue="1" operator="between">
      <formula>3</formula>
      <formula>3.9</formula>
    </cfRule>
    <cfRule type="cellIs" dxfId="134" priority="324" stopIfTrue="1" operator="between">
      <formula>0.1</formula>
      <formula>1.5</formula>
    </cfRule>
    <cfRule type="cellIs" dxfId="133" priority="1" operator="between">
      <formula>1.6</formula>
      <formula>2.5</formula>
    </cfRule>
  </conditionalFormatting>
  <conditionalFormatting sqref="I5:I39">
    <cfRule type="cellIs" dxfId="132" priority="2" operator="between">
      <formula>"C-4"</formula>
      <formula>"D-4"</formula>
    </cfRule>
    <cfRule type="cellIs" dxfId="131" priority="5" stopIfTrue="1" operator="between">
      <formula>"D-5"</formula>
      <formula>"E-5"</formula>
    </cfRule>
    <cfRule type="cellIs" dxfId="130" priority="7" stopIfTrue="1" operator="between">
      <formula>"A-1"</formula>
      <formula>"A-2"</formula>
    </cfRule>
    <cfRule type="cellIs" dxfId="129" priority="6" stopIfTrue="1" operator="between">
      <formula>"B-2"</formula>
      <formula>"B-3"</formula>
    </cfRule>
  </conditionalFormatting>
  <conditionalFormatting sqref="I5:I40">
    <cfRule type="cellIs" dxfId="128" priority="3" operator="equal">
      <formula>"E-5-"</formula>
    </cfRule>
    <cfRule type="cellIs" dxfId="127" priority="4" operator="equal">
      <formula>"A-1+"</formula>
    </cfRule>
  </conditionalFormatting>
  <conditionalFormatting sqref="I40">
    <cfRule type="cellIs" dxfId="126" priority="12" stopIfTrue="1" operator="between">
      <formula>"A-1"</formula>
      <formula>"A-2"</formula>
    </cfRule>
    <cfRule type="cellIs" dxfId="125" priority="11" stopIfTrue="1" operator="between">
      <formula>"B-2"</formula>
      <formula>"B-3"</formula>
    </cfRule>
    <cfRule type="cellIs" dxfId="124" priority="10" stopIfTrue="1" operator="between">
      <formula>"D-3"</formula>
      <formula>"E-5"</formula>
    </cfRule>
  </conditionalFormatting>
  <conditionalFormatting sqref="J5:J40">
    <cfRule type="cellIs" dxfId="123" priority="254" operator="equal">
      <formula>"*"</formula>
    </cfRule>
    <cfRule type="cellIs" dxfId="122" priority="255" operator="equal">
      <formula>"!"</formula>
    </cfRule>
  </conditionalFormatting>
  <conditionalFormatting sqref="K16:K22">
    <cfRule type="cellIs" dxfId="121" priority="55" stopIfTrue="1" operator="equal">
      <formula>"G"</formula>
    </cfRule>
    <cfRule type="cellIs" dxfId="120" priority="56" stopIfTrue="1" operator="equal">
      <formula>"M"</formula>
    </cfRule>
    <cfRule type="cellIs" dxfId="119" priority="57" stopIfTrue="1" operator="equal">
      <formula>"O"</formula>
    </cfRule>
  </conditionalFormatting>
  <conditionalFormatting sqref="K5:M17">
    <cfRule type="cellIs" dxfId="118" priority="61" stopIfTrue="1" operator="equal">
      <formula>"G"</formula>
    </cfRule>
    <cfRule type="cellIs" dxfId="117" priority="62" stopIfTrue="1" operator="equal">
      <formula>"M"</formula>
    </cfRule>
    <cfRule type="cellIs" dxfId="116" priority="63" stopIfTrue="1" operator="equal">
      <formula>"O"</formula>
    </cfRule>
  </conditionalFormatting>
  <conditionalFormatting sqref="K15:M15">
    <cfRule type="cellIs" dxfId="115" priority="65" stopIfTrue="1" operator="equal">
      <formula>"M"</formula>
    </cfRule>
    <cfRule type="cellIs" dxfId="114" priority="66" stopIfTrue="1" operator="equal">
      <formula>"O"</formula>
    </cfRule>
    <cfRule type="cellIs" dxfId="113" priority="64" stopIfTrue="1" operator="equal">
      <formula>"G"</formula>
    </cfRule>
  </conditionalFormatting>
  <conditionalFormatting sqref="K20:M23">
    <cfRule type="cellIs" dxfId="112" priority="23" stopIfTrue="1" operator="equal">
      <formula>"M"</formula>
    </cfRule>
    <cfRule type="cellIs" dxfId="111" priority="24" stopIfTrue="1" operator="equal">
      <formula>"O"</formula>
    </cfRule>
    <cfRule type="cellIs" dxfId="110" priority="22" stopIfTrue="1" operator="equal">
      <formula>"G"</formula>
    </cfRule>
  </conditionalFormatting>
  <conditionalFormatting sqref="K21:M21">
    <cfRule type="cellIs" dxfId="109" priority="58" stopIfTrue="1" operator="equal">
      <formula>"G"</formula>
    </cfRule>
    <cfRule type="cellIs" dxfId="108" priority="60" stopIfTrue="1" operator="equal">
      <formula>"O"</formula>
    </cfRule>
    <cfRule type="cellIs" dxfId="107" priority="59" stopIfTrue="1" operator="equal">
      <formula>"M"</formula>
    </cfRule>
  </conditionalFormatting>
  <conditionalFormatting sqref="K21:M22">
    <cfRule type="cellIs" dxfId="106" priority="16" stopIfTrue="1" operator="equal">
      <formula>"G"</formula>
    </cfRule>
    <cfRule type="cellIs" dxfId="105" priority="17" stopIfTrue="1" operator="equal">
      <formula>"M"</formula>
    </cfRule>
    <cfRule type="cellIs" dxfId="104" priority="18" stopIfTrue="1" operator="equal">
      <formula>"O"</formula>
    </cfRule>
  </conditionalFormatting>
  <conditionalFormatting sqref="K21:M28">
    <cfRule type="cellIs" dxfId="103" priority="46" stopIfTrue="1" operator="equal">
      <formula>"G"</formula>
    </cfRule>
    <cfRule type="cellIs" dxfId="102" priority="47" stopIfTrue="1" operator="equal">
      <formula>"M"</formula>
    </cfRule>
    <cfRule type="cellIs" dxfId="101" priority="48" stopIfTrue="1" operator="equal">
      <formula>"O"</formula>
    </cfRule>
  </conditionalFormatting>
  <conditionalFormatting sqref="K27:M30">
    <cfRule type="cellIs" dxfId="100" priority="67" stopIfTrue="1" operator="equal">
      <formula>"G"</formula>
    </cfRule>
    <cfRule type="cellIs" dxfId="99" priority="68" stopIfTrue="1" operator="equal">
      <formula>"M"</formula>
    </cfRule>
    <cfRule type="cellIs" dxfId="98" priority="69" stopIfTrue="1" operator="equal">
      <formula>"O"</formula>
    </cfRule>
  </conditionalFormatting>
  <conditionalFormatting sqref="K29:M33">
    <cfRule type="cellIs" dxfId="97" priority="73" stopIfTrue="1" operator="equal">
      <formula>"G"</formula>
    </cfRule>
    <cfRule type="cellIs" dxfId="96" priority="74" stopIfTrue="1" operator="equal">
      <formula>"M"</formula>
    </cfRule>
    <cfRule type="cellIs" dxfId="95" priority="75" stopIfTrue="1" operator="equal">
      <formula>"O"</formula>
    </cfRule>
  </conditionalFormatting>
  <conditionalFormatting sqref="K32:M35">
    <cfRule type="cellIs" dxfId="94" priority="76" stopIfTrue="1" operator="equal">
      <formula>"G"</formula>
    </cfRule>
    <cfRule type="cellIs" dxfId="93" priority="77" stopIfTrue="1" operator="equal">
      <formula>"M"</formula>
    </cfRule>
    <cfRule type="cellIs" dxfId="92" priority="78" stopIfTrue="1" operator="equal">
      <formula>"O"</formula>
    </cfRule>
  </conditionalFormatting>
  <conditionalFormatting sqref="K16:Q16">
    <cfRule type="cellIs" dxfId="91" priority="43" stopIfTrue="1" operator="equal">
      <formula>"G"</formula>
    </cfRule>
    <cfRule type="cellIs" dxfId="90" priority="44" stopIfTrue="1" operator="equal">
      <formula>"M"</formula>
    </cfRule>
    <cfRule type="cellIs" dxfId="89" priority="45" stopIfTrue="1" operator="equal">
      <formula>"O"</formula>
    </cfRule>
  </conditionalFormatting>
  <conditionalFormatting sqref="K16:Q17">
    <cfRule type="cellIs" dxfId="88" priority="25" stopIfTrue="1" operator="equal">
      <formula>"G"</formula>
    </cfRule>
    <cfRule type="cellIs" dxfId="87" priority="26" stopIfTrue="1" operator="equal">
      <formula>"M"</formula>
    </cfRule>
    <cfRule type="cellIs" dxfId="86" priority="27" stopIfTrue="1" operator="equal">
      <formula>"O"</formula>
    </cfRule>
  </conditionalFormatting>
  <conditionalFormatting sqref="K22:Q22">
    <cfRule type="cellIs" dxfId="85" priority="40" stopIfTrue="1" operator="equal">
      <formula>"G"</formula>
    </cfRule>
    <cfRule type="cellIs" dxfId="84" priority="41" stopIfTrue="1" operator="equal">
      <formula>"M"</formula>
    </cfRule>
    <cfRule type="cellIs" dxfId="83" priority="42" stopIfTrue="1" operator="equal">
      <formula>"O"</formula>
    </cfRule>
  </conditionalFormatting>
  <conditionalFormatting sqref="K33:Q33">
    <cfRule type="cellIs" dxfId="82" priority="14" stopIfTrue="1" operator="equal">
      <formula>"M"</formula>
    </cfRule>
    <cfRule type="cellIs" dxfId="81" priority="15" stopIfTrue="1" operator="equal">
      <formula>"O"</formula>
    </cfRule>
    <cfRule type="cellIs" dxfId="80" priority="13" stopIfTrue="1" operator="equal">
      <formula>"G"</formula>
    </cfRule>
  </conditionalFormatting>
  <conditionalFormatting sqref="K36:Q40">
    <cfRule type="cellIs" dxfId="79" priority="235" stopIfTrue="1" operator="equal">
      <formula>"G"</formula>
    </cfRule>
    <cfRule type="cellIs" dxfId="78" priority="236" stopIfTrue="1" operator="equal">
      <formula>"M"</formula>
    </cfRule>
    <cfRule type="cellIs" dxfId="77" priority="237" stopIfTrue="1" operator="equal">
      <formula>"O"</formula>
    </cfRule>
  </conditionalFormatting>
  <conditionalFormatting sqref="L16:M23">
    <cfRule type="cellIs" dxfId="76" priority="54" stopIfTrue="1" operator="equal">
      <formula>"O"</formula>
    </cfRule>
    <cfRule type="cellIs" dxfId="75" priority="52" stopIfTrue="1" operator="equal">
      <formula>"G"</formula>
    </cfRule>
    <cfRule type="cellIs" dxfId="74" priority="53" stopIfTrue="1" operator="equal">
      <formula>"M"</formula>
    </cfRule>
  </conditionalFormatting>
  <conditionalFormatting sqref="N5:Q17">
    <cfRule type="cellIs" dxfId="73" priority="141" stopIfTrue="1" operator="equal">
      <formula>"O"</formula>
    </cfRule>
    <cfRule type="cellIs" dxfId="72" priority="139" stopIfTrue="1" operator="equal">
      <formula>"G"</formula>
    </cfRule>
    <cfRule type="cellIs" dxfId="71" priority="140" stopIfTrue="1" operator="equal">
      <formula>"M"</formula>
    </cfRule>
  </conditionalFormatting>
  <conditionalFormatting sqref="N15:Q15">
    <cfRule type="cellIs" dxfId="70" priority="142" stopIfTrue="1" operator="equal">
      <formula>"G"</formula>
    </cfRule>
    <cfRule type="cellIs" dxfId="69" priority="143" stopIfTrue="1" operator="equal">
      <formula>"M"</formula>
    </cfRule>
    <cfRule type="cellIs" dxfId="68" priority="144" stopIfTrue="1" operator="equal">
      <formula>"O"</formula>
    </cfRule>
  </conditionalFormatting>
  <conditionalFormatting sqref="N16:Q23">
    <cfRule type="cellIs" dxfId="67" priority="130" stopIfTrue="1" operator="equal">
      <formula>"G"</formula>
    </cfRule>
    <cfRule type="cellIs" dxfId="66" priority="131" stopIfTrue="1" operator="equal">
      <formula>"M"</formula>
    </cfRule>
    <cfRule type="cellIs" dxfId="65" priority="132" stopIfTrue="1" operator="equal">
      <formula>"O"</formula>
    </cfRule>
  </conditionalFormatting>
  <conditionalFormatting sqref="N20:Q22">
    <cfRule type="cellIs" dxfId="64" priority="113" stopIfTrue="1" operator="equal">
      <formula>"M"</formula>
    </cfRule>
    <cfRule type="cellIs" dxfId="63" priority="114" stopIfTrue="1" operator="equal">
      <formula>"O"</formula>
    </cfRule>
    <cfRule type="cellIs" dxfId="62" priority="112" stopIfTrue="1" operator="equal">
      <formula>"G"</formula>
    </cfRule>
  </conditionalFormatting>
  <conditionalFormatting sqref="N21:Q21">
    <cfRule type="cellIs" dxfId="61" priority="136" stopIfTrue="1" operator="equal">
      <formula>"G"</formula>
    </cfRule>
    <cfRule type="cellIs" dxfId="60" priority="138" stopIfTrue="1" operator="equal">
      <formula>"O"</formula>
    </cfRule>
    <cfRule type="cellIs" dxfId="59" priority="137" stopIfTrue="1" operator="equal">
      <formula>"M"</formula>
    </cfRule>
  </conditionalFormatting>
  <conditionalFormatting sqref="N21:Q23">
    <cfRule type="cellIs" dxfId="58" priority="99" stopIfTrue="1" operator="equal">
      <formula>"O"</formula>
    </cfRule>
    <cfRule type="cellIs" dxfId="57" priority="98" stopIfTrue="1" operator="equal">
      <formula>"M"</formula>
    </cfRule>
    <cfRule type="cellIs" dxfId="56" priority="97" stopIfTrue="1" operator="equal">
      <formula>"G"</formula>
    </cfRule>
  </conditionalFormatting>
  <conditionalFormatting sqref="N21:Q28">
    <cfRule type="cellIs" dxfId="55" priority="126" stopIfTrue="1" operator="equal">
      <formula>"O"</formula>
    </cfRule>
    <cfRule type="cellIs" dxfId="54" priority="125" stopIfTrue="1" operator="equal">
      <formula>"M"</formula>
    </cfRule>
    <cfRule type="cellIs" dxfId="53" priority="124" stopIfTrue="1" operator="equal">
      <formula>"G"</formula>
    </cfRule>
  </conditionalFormatting>
  <conditionalFormatting sqref="N27:Q30">
    <cfRule type="cellIs" dxfId="52" priority="146" stopIfTrue="1" operator="equal">
      <formula>"M"</formula>
    </cfRule>
    <cfRule type="cellIs" dxfId="51" priority="145" stopIfTrue="1" operator="equal">
      <formula>"G"</formula>
    </cfRule>
    <cfRule type="cellIs" dxfId="50" priority="147" stopIfTrue="1" operator="equal">
      <formula>"O"</formula>
    </cfRule>
  </conditionalFormatting>
  <conditionalFormatting sqref="N29:Q33">
    <cfRule type="cellIs" dxfId="49" priority="153" stopIfTrue="1" operator="equal">
      <formula>"O"</formula>
    </cfRule>
    <cfRule type="cellIs" dxfId="48" priority="152" stopIfTrue="1" operator="equal">
      <formula>"M"</formula>
    </cfRule>
    <cfRule type="cellIs" dxfId="47" priority="151" stopIfTrue="1" operator="equal">
      <formula>"G"</formula>
    </cfRule>
  </conditionalFormatting>
  <conditionalFormatting sqref="N32:Q35">
    <cfRule type="cellIs" dxfId="46" priority="156" stopIfTrue="1" operator="equal">
      <formula>"O"</formula>
    </cfRule>
    <cfRule type="cellIs" dxfId="45" priority="155" stopIfTrue="1" operator="equal">
      <formula>"M"</formula>
    </cfRule>
    <cfRule type="cellIs" dxfId="44" priority="154" stopIfTrue="1" operator="equal">
      <formula>"G"</formula>
    </cfRule>
  </conditionalFormatting>
  <conditionalFormatting sqref="R5:R40">
    <cfRule type="cellIs" dxfId="43" priority="88" operator="equal">
      <formula>FALSE</formula>
    </cfRule>
    <cfRule type="cellIs" dxfId="42" priority="89" operator="equal">
      <formula>"*"</formula>
    </cfRule>
    <cfRule type="cellIs" dxfId="41" priority="90" operator="equal">
      <formula>"!"</formula>
    </cfRule>
  </conditionalFormatting>
  <conditionalFormatting sqref="V6:V7">
    <cfRule type="cellIs" dxfId="40" priority="292" operator="equal">
      <formula>0</formula>
    </cfRule>
  </conditionalFormatting>
  <conditionalFormatting sqref="V9 V11">
    <cfRule type="cellIs" dxfId="39" priority="295" operator="equal">
      <formula>0</formula>
    </cfRule>
  </conditionalFormatting>
  <conditionalFormatting sqref="V13 V15">
    <cfRule type="cellIs" dxfId="38" priority="296" operator="equal">
      <formula>0</formula>
    </cfRule>
  </conditionalFormatting>
  <conditionalFormatting sqref="W7:Y7 W9:Y9 W11:Y11">
    <cfRule type="cellIs" dxfId="37" priority="298" operator="equal">
      <formula>0</formula>
    </cfRule>
  </conditionalFormatting>
  <conditionalFormatting sqref="W13:Y13 W15:Y15">
    <cfRule type="cellIs" dxfId="36" priority="293" operator="equal">
      <formula>0</formula>
    </cfRule>
  </conditionalFormatting>
  <conditionalFormatting sqref="Z6:Z7">
    <cfRule type="cellIs" dxfId="35" priority="291" operator="equal">
      <formula>0</formula>
    </cfRule>
  </conditionalFormatting>
  <conditionalFormatting sqref="Z9 Z11">
    <cfRule type="cellIs" dxfId="34" priority="294" operator="equal">
      <formula>0</formula>
    </cfRule>
  </conditionalFormatting>
  <conditionalFormatting sqref="Z13 Z15">
    <cfRule type="cellIs" dxfId="33" priority="297" operator="equal">
      <formula>0</formula>
    </cfRule>
  </conditionalFormatting>
  <dataValidations xWindow="699" yWindow="668" count="10">
    <dataValidation allowBlank="1" showInputMessage="1" showErrorMessage="1" promptTitle="Nieuwe regel:" prompt="druk op Alt-Enter" sqref="T15 T28 T17 T26 T37 T39" xr:uid="{00000000-0002-0000-2C00-000000000000}"/>
    <dataValidation allowBlank="1" showInputMessage="1" showErrorMessage="1" promptTitle="Pulldown menu" prompt="groeps  HP: -_x000a_indiv.    HP:#_x000a_hele groep: $" sqref="C18 C40" xr:uid="{00000000-0002-0000-2C00-000001000000}"/>
    <dataValidation allowBlank="1" showInputMessage="1" showErrorMessage="1" promptTitle="Pulldown venster" prompt="groeps  HP: -_x000a_indiv.    HP:#_x000a_hele groep: $" sqref="C7:C17 C29:C39" xr:uid="{00000000-0002-0000-2C00-000002000000}"/>
    <dataValidation type="list" allowBlank="1" showInputMessage="1" showErrorMessage="1" sqref="B7:B18 B29:B40" xr:uid="{00000000-0002-0000-2C00-000003000000}">
      <formula1>"3,4,5,6,7,8,"</formula1>
    </dataValidation>
    <dataValidation type="list" allowBlank="1" showInputMessage="1" showErrorMessage="1" sqref="C42 G42" xr:uid="{00000000-0002-0000-2C00-000004000000}">
      <formula1>"maandag,"</formula1>
    </dataValidation>
    <dataValidation type="list" allowBlank="1" showInputMessage="1" showErrorMessage="1" sqref="C43 G43" xr:uid="{00000000-0002-0000-2C00-000005000000}">
      <formula1>"dinsdag,"</formula1>
    </dataValidation>
    <dataValidation type="list" allowBlank="1" showInputMessage="1" showErrorMessage="1" sqref="C44 G44" xr:uid="{00000000-0002-0000-2C00-000006000000}">
      <formula1>"woensdag,"</formula1>
    </dataValidation>
    <dataValidation type="list" allowBlank="1" showInputMessage="1" showErrorMessage="1" sqref="C45 G45" xr:uid="{00000000-0002-0000-2C00-000007000000}">
      <formula1>"donderdag,"</formula1>
    </dataValidation>
    <dataValidation type="list" allowBlank="1" showInputMessage="1" showErrorMessage="1" sqref="C46 G46" xr:uid="{00000000-0002-0000-2C00-000008000000}">
      <formula1>"vrijdag,"</formula1>
    </dataValidation>
    <dataValidation allowBlank="1" showInputMessage="1" showErrorMessage="1" promptTitle="kies uit:" prompt="g = goed_x000a_v = voldoende_x000a_m = matig_x000a_o = onvoldoende" sqref="K5:Q40" xr:uid="{00000000-0002-0000-2C00-000009000000}"/>
  </dataValidations>
  <pageMargins left="0.27559055118110237" right="0.15748031496062992" top="0.82677165354330717" bottom="0.31496062992125984" header="0.31496062992125984" footer="0.19685039370078741"/>
  <pageSetup paperSize="9" scale="65" orientation="portrait" r:id="rId1"/>
  <headerFooter alignWithMargins="0">
    <oddHeader>&amp;C&amp;"Arial,Vet"&amp;16&amp;A</oddHeader>
    <oddFooter>&amp;R© www.meesterharrie.nl</oddFooter>
  </headerFooter>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90C4-5F04-4E94-B269-49D162BE1EB6}">
  <sheetPr>
    <tabColor rgb="FF66CCFF"/>
    <pageSetUpPr fitToPage="1"/>
  </sheetPr>
  <dimension ref="B2:AJ53"/>
  <sheetViews>
    <sheetView showGridLines="0" showRowColHeaders="0" zoomScale="70" zoomScaleNormal="70" workbookViewId="0"/>
  </sheetViews>
  <sheetFormatPr defaultColWidth="9.1796875" defaultRowHeight="15.5" x14ac:dyDescent="0.25"/>
  <cols>
    <col min="1" max="2" width="5.54296875" style="186" customWidth="1"/>
    <col min="3" max="3" width="25.7265625" style="186" customWidth="1"/>
    <col min="4" max="7" width="9.1796875" style="186"/>
    <col min="8" max="8" width="9.1796875" style="188" hidden="1" customWidth="1"/>
    <col min="9" max="9" width="9.1796875" style="188"/>
    <col min="10" max="14" width="9.1796875" style="186"/>
    <col min="15" max="15" width="5.54296875" style="186" customWidth="1"/>
    <col min="16" max="16" width="39.26953125" style="189" customWidth="1"/>
    <col min="17" max="26" width="12.54296875" style="189" customWidth="1"/>
    <col min="27" max="27" width="10.54296875" style="188" customWidth="1"/>
    <col min="28" max="28" width="5.54296875" style="186" customWidth="1"/>
    <col min="29" max="33" width="9.1796875" style="186"/>
    <col min="34" max="34" width="9.1796875" style="186" customWidth="1"/>
    <col min="35" max="35" width="9.1796875" style="186"/>
    <col min="36" max="36" width="9.1796875" style="187"/>
    <col min="37" max="16384" width="9.1796875" style="186"/>
  </cols>
  <sheetData>
    <row r="2" spans="2:36" ht="29.5" x14ac:dyDescent="0.25">
      <c r="B2" s="1314" t="s">
        <v>453</v>
      </c>
      <c r="C2" s="1314"/>
      <c r="D2" s="1314"/>
      <c r="E2" s="1314"/>
      <c r="F2" s="1314"/>
      <c r="G2" s="1314"/>
      <c r="H2" s="1314"/>
      <c r="I2" s="1314"/>
      <c r="J2" s="1314"/>
      <c r="K2" s="1314"/>
      <c r="L2" s="1314"/>
      <c r="M2" s="1314"/>
      <c r="N2" s="1314"/>
      <c r="P2" s="1314" t="s">
        <v>454</v>
      </c>
      <c r="Q2" s="1314"/>
      <c r="R2" s="1314"/>
      <c r="S2" s="1314"/>
      <c r="T2" s="1314"/>
      <c r="U2" s="1314"/>
      <c r="V2" s="1314"/>
      <c r="W2" s="1314"/>
      <c r="X2" s="1314"/>
      <c r="Y2" s="1314"/>
      <c r="Z2" s="1314"/>
      <c r="AA2" s="1314"/>
      <c r="AC2" s="1314" t="s">
        <v>455</v>
      </c>
      <c r="AD2" s="1314"/>
      <c r="AE2" s="1314"/>
      <c r="AF2" s="1314"/>
      <c r="AG2" s="1314"/>
      <c r="AH2" s="1314"/>
      <c r="AI2" s="1314"/>
    </row>
    <row r="3" spans="2:36" ht="15.75" customHeight="1" thickBot="1" x14ac:dyDescent="0.3"/>
    <row r="4" spans="2:36" s="195" customFormat="1" ht="20.149999999999999" customHeight="1" x14ac:dyDescent="0.25">
      <c r="B4" s="190"/>
      <c r="C4" s="1315" t="s">
        <v>456</v>
      </c>
      <c r="D4" s="1316"/>
      <c r="E4" s="1317" t="s">
        <v>457</v>
      </c>
      <c r="F4" s="1317" t="s">
        <v>458</v>
      </c>
      <c r="G4" s="1318" t="s">
        <v>459</v>
      </c>
      <c r="H4" s="191"/>
      <c r="I4" s="192"/>
      <c r="J4" s="193"/>
      <c r="K4" s="193"/>
      <c r="L4" s="193"/>
      <c r="M4" s="193"/>
      <c r="N4" s="194"/>
      <c r="P4" s="1319" t="s">
        <v>57</v>
      </c>
      <c r="Q4" s="1320"/>
      <c r="R4" s="196"/>
      <c r="S4" s="197"/>
      <c r="T4" s="197"/>
      <c r="U4" s="197"/>
      <c r="V4" s="197"/>
      <c r="W4" s="197"/>
      <c r="X4" s="197"/>
      <c r="Y4" s="197"/>
      <c r="Z4" s="197"/>
      <c r="AA4" s="194"/>
      <c r="AC4" s="592" t="s">
        <v>460</v>
      </c>
      <c r="AD4" s="593"/>
      <c r="AE4" s="593"/>
      <c r="AF4" s="593"/>
      <c r="AG4" s="593"/>
      <c r="AH4" s="593"/>
      <c r="AI4" s="594"/>
      <c r="AJ4" s="198">
        <v>1.2</v>
      </c>
    </row>
    <row r="5" spans="2:36" ht="20.149999999999999" customHeight="1" thickBot="1" x14ac:dyDescent="0.3">
      <c r="B5" s="199"/>
      <c r="C5" s="1309"/>
      <c r="D5" s="1311"/>
      <c r="E5" s="1312"/>
      <c r="F5" s="1312"/>
      <c r="G5" s="1313"/>
      <c r="I5" s="200"/>
      <c r="N5" s="201"/>
      <c r="P5" s="1321" t="s">
        <v>350</v>
      </c>
      <c r="Q5" s="1322"/>
      <c r="R5" s="202"/>
      <c r="S5" s="203"/>
      <c r="T5" s="203"/>
      <c r="U5" s="203"/>
      <c r="V5" s="203"/>
      <c r="W5" s="203"/>
      <c r="X5" s="203"/>
      <c r="Y5" s="203"/>
      <c r="Z5" s="203"/>
      <c r="AA5" s="204"/>
      <c r="AC5" s="595" t="s">
        <v>461</v>
      </c>
      <c r="AD5" s="211"/>
      <c r="AE5" s="211"/>
      <c r="AF5" s="211"/>
      <c r="AG5" s="211"/>
      <c r="AH5" s="211"/>
      <c r="AI5" s="204"/>
    </row>
    <row r="6" spans="2:36" ht="20.149999999999999" customHeight="1" thickBot="1" x14ac:dyDescent="0.3">
      <c r="B6" s="199"/>
      <c r="C6" s="1309"/>
      <c r="D6" s="1311"/>
      <c r="E6" s="1312"/>
      <c r="F6" s="1312"/>
      <c r="G6" s="1313"/>
      <c r="I6" s="200"/>
      <c r="N6" s="201"/>
      <c r="AB6" s="187"/>
      <c r="AJ6" s="205">
        <v>1.2</v>
      </c>
    </row>
    <row r="7" spans="2:36" ht="20.149999999999999" customHeight="1" x14ac:dyDescent="0.25">
      <c r="B7" s="199"/>
      <c r="C7" s="1309"/>
      <c r="D7" s="1311"/>
      <c r="E7" s="1312"/>
      <c r="F7" s="1312"/>
      <c r="G7" s="1313"/>
      <c r="I7" s="200"/>
      <c r="N7" s="201"/>
      <c r="P7" s="1326" t="s">
        <v>462</v>
      </c>
      <c r="Q7" s="1327"/>
      <c r="R7" s="1327"/>
      <c r="S7" s="1327"/>
      <c r="T7" s="1327"/>
      <c r="U7" s="1327"/>
      <c r="V7" s="1327"/>
      <c r="W7" s="1327"/>
      <c r="X7" s="1327"/>
      <c r="Y7" s="1327"/>
      <c r="Z7" s="1327"/>
      <c r="AA7" s="1328"/>
      <c r="AB7" s="187"/>
      <c r="AC7" s="1329" t="s">
        <v>463</v>
      </c>
      <c r="AD7" s="1295" t="s">
        <v>464</v>
      </c>
      <c r="AE7" s="1295" t="s">
        <v>465</v>
      </c>
      <c r="AF7" s="1295" t="s">
        <v>466</v>
      </c>
      <c r="AG7" s="1295" t="s">
        <v>467</v>
      </c>
      <c r="AH7" s="1323" t="s">
        <v>468</v>
      </c>
      <c r="AI7" s="1324" t="s">
        <v>469</v>
      </c>
      <c r="AJ7" s="206"/>
    </row>
    <row r="8" spans="2:36" ht="20.149999999999999" customHeight="1" x14ac:dyDescent="0.25">
      <c r="B8" s="199"/>
      <c r="C8" s="1309"/>
      <c r="D8" s="1311"/>
      <c r="E8" s="1312"/>
      <c r="F8" s="1312"/>
      <c r="G8" s="1313"/>
      <c r="I8" s="200"/>
      <c r="N8" s="201"/>
      <c r="P8" s="207" t="s">
        <v>470</v>
      </c>
      <c r="Q8" s="186"/>
      <c r="R8" s="188"/>
      <c r="AA8" s="208"/>
      <c r="AB8" s="209">
        <v>3</v>
      </c>
      <c r="AC8" s="1330"/>
      <c r="AD8" s="1296"/>
      <c r="AE8" s="1296"/>
      <c r="AF8" s="1296"/>
      <c r="AG8" s="1296"/>
      <c r="AH8" s="1296"/>
      <c r="AI8" s="1325"/>
      <c r="AJ8" s="206"/>
    </row>
    <row r="9" spans="2:36" ht="20.149999999999999" customHeight="1" thickBot="1" x14ac:dyDescent="0.3">
      <c r="B9" s="199"/>
      <c r="C9" s="1309" t="s">
        <v>471</v>
      </c>
      <c r="D9" s="1311" t="s">
        <v>472</v>
      </c>
      <c r="E9" s="1312" t="s">
        <v>473</v>
      </c>
      <c r="F9" s="1312" t="s">
        <v>474</v>
      </c>
      <c r="G9" s="1313" t="s">
        <v>475</v>
      </c>
      <c r="I9" s="200"/>
      <c r="N9" s="201"/>
      <c r="P9" s="207" t="s">
        <v>476</v>
      </c>
      <c r="Q9" s="186"/>
      <c r="R9" s="188"/>
      <c r="AA9" s="208"/>
      <c r="AB9" s="187"/>
      <c r="AC9" s="596">
        <f>DIVERSITEIT!$R$4</f>
        <v>0</v>
      </c>
      <c r="AD9" s="597">
        <f>DIVERSITEIT!$AA$15</f>
        <v>0</v>
      </c>
      <c r="AE9" s="597">
        <f>DIVERSITEIT!$AA$29</f>
        <v>0</v>
      </c>
      <c r="AF9" s="597">
        <f>DIVERSITEIT!$AA$40</f>
        <v>0</v>
      </c>
      <c r="AG9" s="597">
        <f>DIVERSITEIT!$AA$48</f>
        <v>0</v>
      </c>
      <c r="AH9" s="598">
        <f>IF(AB8=1,AD9+(AE9*1.5)+(AF9*2)+(AG9*4),IF(AB8=2,(AD9+(AE9*1.5)+(AF9*2)+(AG9*4))*1.1,IF(AB8=3,(AD9+(AE9*1.5)+(AF9*2)+(AG9*4))*1.15,IF(AB8=4,(AD9+(AE9*1.5)+(AF9*2)+(AG9*4))*1.2))))</f>
        <v>0</v>
      </c>
      <c r="AI9" s="599">
        <f>AA52</f>
        <v>0</v>
      </c>
      <c r="AJ9" s="206"/>
    </row>
    <row r="10" spans="2:36" ht="20.149999999999999" customHeight="1" x14ac:dyDescent="0.25">
      <c r="B10" s="199"/>
      <c r="C10" s="1309"/>
      <c r="D10" s="1311"/>
      <c r="E10" s="1312"/>
      <c r="F10" s="1312"/>
      <c r="G10" s="1313"/>
      <c r="I10" s="200"/>
      <c r="N10" s="201"/>
      <c r="P10" s="207" t="s">
        <v>477</v>
      </c>
      <c r="Q10" s="186"/>
      <c r="R10" s="188"/>
      <c r="AA10" s="208"/>
      <c r="AC10" s="188"/>
      <c r="AD10" s="188"/>
      <c r="AE10" s="188"/>
      <c r="AF10" s="188"/>
      <c r="AG10" s="188"/>
      <c r="AH10" s="600"/>
      <c r="AI10" s="601"/>
      <c r="AJ10" s="206"/>
    </row>
    <row r="11" spans="2:36" ht="20.149999999999999" customHeight="1" thickBot="1" x14ac:dyDescent="0.3">
      <c r="B11" s="199"/>
      <c r="C11" s="1309"/>
      <c r="D11" s="1311"/>
      <c r="E11" s="1312"/>
      <c r="F11" s="1312"/>
      <c r="G11" s="1313"/>
      <c r="I11" s="200"/>
      <c r="N11" s="201"/>
      <c r="P11" s="210" t="s">
        <v>478</v>
      </c>
      <c r="Q11" s="211"/>
      <c r="R11" s="212"/>
      <c r="S11" s="213"/>
      <c r="T11" s="213"/>
      <c r="U11" s="213"/>
      <c r="V11" s="213"/>
      <c r="W11" s="213"/>
      <c r="X11" s="213"/>
      <c r="Y11" s="213"/>
      <c r="Z11" s="213"/>
      <c r="AA11" s="214"/>
      <c r="AC11" s="188"/>
      <c r="AD11" s="188"/>
      <c r="AE11" s="188"/>
      <c r="AF11" s="188"/>
      <c r="AG11" s="188"/>
      <c r="AH11" s="600"/>
      <c r="AI11" s="601"/>
      <c r="AJ11" s="206"/>
    </row>
    <row r="12" spans="2:36" ht="20.149999999999999" customHeight="1" thickBot="1" x14ac:dyDescent="0.3">
      <c r="B12" s="215"/>
      <c r="C12" s="1310"/>
      <c r="D12" s="1311"/>
      <c r="E12" s="1312"/>
      <c r="F12" s="1312"/>
      <c r="G12" s="1313"/>
      <c r="I12" s="200"/>
      <c r="N12" s="201"/>
      <c r="AC12" s="188"/>
      <c r="AD12" s="188"/>
      <c r="AE12" s="188"/>
      <c r="AF12" s="188"/>
      <c r="AG12" s="188"/>
      <c r="AH12" s="600"/>
      <c r="AI12" s="601"/>
      <c r="AJ12" s="206"/>
    </row>
    <row r="13" spans="2:36" ht="20.149999999999999" customHeight="1" thickBot="1" x14ac:dyDescent="0.4">
      <c r="B13" s="1300" t="s">
        <v>63</v>
      </c>
      <c r="C13" s="1301"/>
      <c r="D13" s="216" t="s">
        <v>464</v>
      </c>
      <c r="E13" s="217" t="s">
        <v>465</v>
      </c>
      <c r="F13" s="217" t="s">
        <v>466</v>
      </c>
      <c r="G13" s="218" t="s">
        <v>467</v>
      </c>
      <c r="H13" s="188" t="s">
        <v>479</v>
      </c>
      <c r="I13" s="200" t="s">
        <v>479</v>
      </c>
      <c r="N13" s="201"/>
      <c r="AC13" s="1302" t="s">
        <v>480</v>
      </c>
      <c r="AD13" s="1303"/>
      <c r="AE13" s="1303"/>
      <c r="AF13" s="1303"/>
      <c r="AG13" s="1303"/>
      <c r="AH13" s="1303"/>
      <c r="AI13" s="1304"/>
    </row>
    <row r="14" spans="2:36" ht="20.149999999999999" customHeight="1" x14ac:dyDescent="0.25">
      <c r="B14" s="219">
        <v>1</v>
      </c>
      <c r="C14" s="220" t="str">
        <f>BEGINBLAD!C4</f>
        <v>leerling 1</v>
      </c>
      <c r="D14" s="199"/>
      <c r="G14" s="201"/>
      <c r="H14" s="602">
        <v>1</v>
      </c>
      <c r="I14" s="221">
        <f>IF(C14=0,"",IF(C14="","",IF(C14&gt;0,H14)))</f>
        <v>1</v>
      </c>
      <c r="J14" s="186" t="str">
        <f>IF(C14=0,"",IF(I14="","",IF(I14&lt;2,"",IF(I14&gt;1,"noteer de naam in de tabel hiernaast"))))</f>
        <v/>
      </c>
      <c r="N14" s="201"/>
      <c r="P14" s="222" t="s">
        <v>481</v>
      </c>
      <c r="Q14" s="223">
        <v>1</v>
      </c>
      <c r="R14" s="223">
        <v>2</v>
      </c>
      <c r="S14" s="223">
        <v>3</v>
      </c>
      <c r="T14" s="223">
        <v>4</v>
      </c>
      <c r="U14" s="223">
        <v>5</v>
      </c>
      <c r="V14" s="223">
        <v>6</v>
      </c>
      <c r="W14" s="223">
        <v>7</v>
      </c>
      <c r="X14" s="223">
        <v>8</v>
      </c>
      <c r="Y14" s="223">
        <v>9</v>
      </c>
      <c r="Z14" s="223">
        <v>10</v>
      </c>
      <c r="AA14" s="224"/>
      <c r="AC14" s="225" t="s">
        <v>62</v>
      </c>
      <c r="AD14" s="603">
        <f>$AC$9</f>
        <v>0</v>
      </c>
      <c r="AE14" s="226"/>
      <c r="AF14" s="226"/>
      <c r="AG14" s="1305" t="s">
        <v>482</v>
      </c>
      <c r="AH14" s="1306"/>
      <c r="AI14" s="227" t="s">
        <v>483</v>
      </c>
    </row>
    <row r="15" spans="2:36" ht="20.149999999999999" customHeight="1" thickBot="1" x14ac:dyDescent="0.3">
      <c r="B15" s="219">
        <v>2</v>
      </c>
      <c r="C15" s="220" t="str">
        <f>BEGINBLAD!C5</f>
        <v>leerling 2</v>
      </c>
      <c r="D15" s="199"/>
      <c r="G15" s="201"/>
      <c r="H15" s="602">
        <v>1</v>
      </c>
      <c r="I15" s="221">
        <f t="shared" ref="I15:I49" si="0">IF(C15=0,"",IF(C15="","",IF(C15&gt;0,H15)))</f>
        <v>1</v>
      </c>
      <c r="J15" s="186" t="str">
        <f t="shared" ref="J15:J49" si="1">IF(C15=0,"",IF(I15="","",IF(I15&lt;2,"",IF(I15&gt;1,"noteer de naam in de tabel hiernaast"))))</f>
        <v/>
      </c>
      <c r="N15" s="201"/>
      <c r="P15" s="228" t="s">
        <v>69</v>
      </c>
      <c r="Q15" s="229" t="s">
        <v>484</v>
      </c>
      <c r="R15" s="230"/>
      <c r="S15" s="230"/>
      <c r="T15" s="230"/>
      <c r="U15" s="230"/>
      <c r="V15" s="230"/>
      <c r="W15" s="230"/>
      <c r="X15" s="230"/>
      <c r="Y15" s="230"/>
      <c r="Z15" s="230"/>
      <c r="AA15" s="604">
        <f>R5-(AA29+AA40+AA48)</f>
        <v>0</v>
      </c>
      <c r="AC15" s="199" t="s">
        <v>485</v>
      </c>
      <c r="AG15" s="1307">
        <f>IF(AG17="","",IF(AG17&lt;&gt;0,AG17*1.692))</f>
        <v>0</v>
      </c>
      <c r="AH15" s="1308"/>
      <c r="AI15" s="231">
        <f>AG15*5</f>
        <v>0</v>
      </c>
    </row>
    <row r="16" spans="2:36" ht="20.149999999999999" customHeight="1" thickBot="1" x14ac:dyDescent="0.3">
      <c r="B16" s="219">
        <v>3</v>
      </c>
      <c r="C16" s="220" t="str">
        <f>BEGINBLAD!C6</f>
        <v>leerling 3</v>
      </c>
      <c r="D16" s="199"/>
      <c r="G16" s="201"/>
      <c r="H16" s="602">
        <v>1</v>
      </c>
      <c r="I16" s="221">
        <f t="shared" si="0"/>
        <v>1</v>
      </c>
      <c r="J16" s="186" t="str">
        <f t="shared" si="1"/>
        <v/>
      </c>
      <c r="N16" s="201"/>
      <c r="AC16" s="199" t="s">
        <v>486</v>
      </c>
      <c r="AG16" s="1307">
        <f>IF(AG17="","",IF(AG17&lt;&gt;0,AG17*1.462))</f>
        <v>0</v>
      </c>
      <c r="AH16" s="1308"/>
      <c r="AI16" s="231">
        <f>AG16*5</f>
        <v>0</v>
      </c>
    </row>
    <row r="17" spans="2:35" ht="20.149999999999999" customHeight="1" x14ac:dyDescent="0.25">
      <c r="B17" s="219">
        <v>4</v>
      </c>
      <c r="C17" s="220" t="str">
        <f>BEGINBLAD!C7</f>
        <v>leerling 4</v>
      </c>
      <c r="D17" s="199"/>
      <c r="G17" s="201"/>
      <c r="H17" s="602">
        <v>1</v>
      </c>
      <c r="I17" s="221">
        <f t="shared" si="0"/>
        <v>1</v>
      </c>
      <c r="J17" s="186" t="str">
        <f t="shared" si="1"/>
        <v/>
      </c>
      <c r="N17" s="201"/>
      <c r="P17" s="222" t="s">
        <v>487</v>
      </c>
      <c r="Q17" s="232" t="s">
        <v>488</v>
      </c>
      <c r="R17" s="232"/>
      <c r="S17" s="232"/>
      <c r="T17" s="232"/>
      <c r="U17" s="232"/>
      <c r="V17" s="232"/>
      <c r="W17" s="232"/>
      <c r="X17" s="232"/>
      <c r="Y17" s="232"/>
      <c r="Z17" s="232"/>
      <c r="AA17" s="224"/>
      <c r="AC17" s="199" t="s">
        <v>489</v>
      </c>
      <c r="AG17" s="1307" t="b">
        <f>IF($AI$9="","",IF($AI$9&lt;&gt;0,$AI$9-1.2))</f>
        <v>0</v>
      </c>
      <c r="AH17" s="1308"/>
      <c r="AI17" s="231">
        <f>AG17*5</f>
        <v>0</v>
      </c>
    </row>
    <row r="18" spans="2:35" ht="20.149999999999999" customHeight="1" thickBot="1" x14ac:dyDescent="0.3">
      <c r="B18" s="219">
        <v>5</v>
      </c>
      <c r="C18" s="220" t="str">
        <f>BEGINBLAD!C8</f>
        <v>leerling 5</v>
      </c>
      <c r="D18" s="199"/>
      <c r="G18" s="201"/>
      <c r="H18" s="602">
        <v>1</v>
      </c>
      <c r="I18" s="221">
        <f t="shared" si="0"/>
        <v>1</v>
      </c>
      <c r="J18" s="186" t="str">
        <f t="shared" si="1"/>
        <v/>
      </c>
      <c r="N18" s="201"/>
      <c r="P18" s="605" t="s">
        <v>490</v>
      </c>
      <c r="Q18" s="233"/>
      <c r="R18" s="233"/>
      <c r="S18" s="233"/>
      <c r="T18" s="233"/>
      <c r="U18" s="233"/>
      <c r="V18" s="233"/>
      <c r="W18" s="233"/>
      <c r="X18" s="233"/>
      <c r="Y18" s="233"/>
      <c r="Z18" s="233"/>
      <c r="AA18" s="606">
        <f t="shared" ref="AA18:AA28" si="2">COUNTA(Q18:Z18)</f>
        <v>0</v>
      </c>
      <c r="AC18" s="595" t="s">
        <v>491</v>
      </c>
      <c r="AD18" s="211"/>
      <c r="AE18" s="211"/>
      <c r="AF18" s="211"/>
      <c r="AG18" s="1297">
        <f>IF(AG17="","",IF(AG17&lt;&gt;0,AG17*0.423))</f>
        <v>0</v>
      </c>
      <c r="AH18" s="1298"/>
      <c r="AI18" s="234">
        <f>AG18*5</f>
        <v>0</v>
      </c>
    </row>
    <row r="19" spans="2:35" ht="20.149999999999999" customHeight="1" x14ac:dyDescent="0.25">
      <c r="B19" s="219">
        <v>6</v>
      </c>
      <c r="C19" s="220" t="str">
        <f>BEGINBLAD!C9</f>
        <v>leerling 6</v>
      </c>
      <c r="D19" s="199"/>
      <c r="G19" s="201"/>
      <c r="H19" s="602">
        <v>1</v>
      </c>
      <c r="I19" s="221">
        <f t="shared" si="0"/>
        <v>1</v>
      </c>
      <c r="J19" s="186" t="str">
        <f t="shared" si="1"/>
        <v/>
      </c>
      <c r="N19" s="201"/>
      <c r="P19" s="605" t="s">
        <v>492</v>
      </c>
      <c r="Q19" s="233"/>
      <c r="R19" s="233"/>
      <c r="S19" s="233"/>
      <c r="T19" s="233"/>
      <c r="U19" s="233"/>
      <c r="V19" s="233"/>
      <c r="W19" s="233"/>
      <c r="X19" s="233"/>
      <c r="Y19" s="233"/>
      <c r="Z19" s="233"/>
      <c r="AA19" s="606">
        <f t="shared" si="2"/>
        <v>0</v>
      </c>
      <c r="AF19" s="189"/>
      <c r="AG19" s="189"/>
      <c r="AH19" s="189"/>
      <c r="AI19" s="601"/>
    </row>
    <row r="20" spans="2:35" ht="20.149999999999999" customHeight="1" x14ac:dyDescent="0.25">
      <c r="B20" s="219">
        <v>7</v>
      </c>
      <c r="C20" s="220" t="str">
        <f>BEGINBLAD!C10</f>
        <v>leerling 7</v>
      </c>
      <c r="D20" s="199"/>
      <c r="G20" s="201"/>
      <c r="H20" s="602">
        <v>1</v>
      </c>
      <c r="I20" s="221">
        <f t="shared" si="0"/>
        <v>1</v>
      </c>
      <c r="J20" s="186" t="str">
        <f t="shared" si="1"/>
        <v/>
      </c>
      <c r="N20" s="201"/>
      <c r="P20" s="605" t="s">
        <v>493</v>
      </c>
      <c r="Q20" s="233"/>
      <c r="R20" s="233"/>
      <c r="S20" s="233"/>
      <c r="T20" s="233"/>
      <c r="U20" s="233"/>
      <c r="V20" s="233"/>
      <c r="W20" s="233"/>
      <c r="X20" s="233"/>
      <c r="Y20" s="233"/>
      <c r="Z20" s="233"/>
      <c r="AA20" s="606">
        <f t="shared" si="2"/>
        <v>0</v>
      </c>
      <c r="AF20" s="189"/>
      <c r="AG20" s="189"/>
      <c r="AH20" s="189"/>
      <c r="AI20" s="601"/>
    </row>
    <row r="21" spans="2:35" ht="20.149999999999999" customHeight="1" x14ac:dyDescent="0.25">
      <c r="B21" s="219">
        <v>8</v>
      </c>
      <c r="C21" s="220" t="str">
        <f>BEGINBLAD!C11</f>
        <v>leerling 8</v>
      </c>
      <c r="D21" s="199"/>
      <c r="G21" s="201"/>
      <c r="H21" s="602">
        <v>1</v>
      </c>
      <c r="I21" s="221">
        <f t="shared" si="0"/>
        <v>1</v>
      </c>
      <c r="J21" s="186" t="str">
        <f t="shared" si="1"/>
        <v/>
      </c>
      <c r="N21" s="201"/>
      <c r="P21" s="605" t="s">
        <v>494</v>
      </c>
      <c r="Q21" s="233"/>
      <c r="R21" s="233"/>
      <c r="S21" s="233"/>
      <c r="T21" s="233"/>
      <c r="U21" s="233"/>
      <c r="V21" s="233"/>
      <c r="W21" s="233"/>
      <c r="X21" s="233"/>
      <c r="Y21" s="233"/>
      <c r="Z21" s="233"/>
      <c r="AA21" s="606">
        <f t="shared" si="2"/>
        <v>0</v>
      </c>
    </row>
    <row r="22" spans="2:35" ht="20.149999999999999" customHeight="1" x14ac:dyDescent="0.25">
      <c r="B22" s="219">
        <v>9</v>
      </c>
      <c r="C22" s="220">
        <f>BEGINBLAD!C12</f>
        <v>0</v>
      </c>
      <c r="D22" s="199"/>
      <c r="G22" s="201"/>
      <c r="H22" s="602">
        <v>1</v>
      </c>
      <c r="I22" s="221" t="str">
        <f t="shared" si="0"/>
        <v/>
      </c>
      <c r="J22" s="186" t="str">
        <f t="shared" si="1"/>
        <v/>
      </c>
      <c r="N22" s="201"/>
      <c r="P22" s="605" t="s">
        <v>495</v>
      </c>
      <c r="Q22" s="233"/>
      <c r="R22" s="233"/>
      <c r="S22" s="233"/>
      <c r="T22" s="233"/>
      <c r="U22" s="233"/>
      <c r="V22" s="233"/>
      <c r="W22" s="233"/>
      <c r="X22" s="233"/>
      <c r="Y22" s="233"/>
      <c r="Z22" s="233"/>
      <c r="AA22" s="606">
        <f t="shared" si="2"/>
        <v>0</v>
      </c>
    </row>
    <row r="23" spans="2:35" ht="20.149999999999999" customHeight="1" x14ac:dyDescent="0.25">
      <c r="B23" s="219">
        <v>10</v>
      </c>
      <c r="C23" s="220">
        <f>BEGINBLAD!C13</f>
        <v>0</v>
      </c>
      <c r="D23" s="199"/>
      <c r="G23" s="201"/>
      <c r="H23" s="602">
        <v>1</v>
      </c>
      <c r="I23" s="221" t="str">
        <f t="shared" si="0"/>
        <v/>
      </c>
      <c r="J23" s="186" t="str">
        <f t="shared" si="1"/>
        <v/>
      </c>
      <c r="N23" s="201"/>
      <c r="P23" s="605" t="s">
        <v>496</v>
      </c>
      <c r="Q23" s="233"/>
      <c r="R23" s="233"/>
      <c r="S23" s="233"/>
      <c r="T23" s="233"/>
      <c r="U23" s="233"/>
      <c r="V23" s="233"/>
      <c r="W23" s="233"/>
      <c r="X23" s="233"/>
      <c r="Y23" s="233"/>
      <c r="Z23" s="233"/>
      <c r="AA23" s="606">
        <f>COUNTA(Q23:Z23)</f>
        <v>0</v>
      </c>
    </row>
    <row r="24" spans="2:35" ht="20.149999999999999" customHeight="1" x14ac:dyDescent="0.25">
      <c r="B24" s="219">
        <v>11</v>
      </c>
      <c r="C24" s="220">
        <f>BEGINBLAD!C14</f>
        <v>0</v>
      </c>
      <c r="D24" s="199"/>
      <c r="G24" s="201"/>
      <c r="H24" s="602">
        <v>1</v>
      </c>
      <c r="I24" s="221" t="str">
        <f t="shared" si="0"/>
        <v/>
      </c>
      <c r="J24" s="186" t="str">
        <f t="shared" si="1"/>
        <v/>
      </c>
      <c r="N24" s="201"/>
      <c r="P24" s="605" t="s">
        <v>497</v>
      </c>
      <c r="Q24" s="233"/>
      <c r="R24" s="233"/>
      <c r="S24" s="233"/>
      <c r="T24" s="233"/>
      <c r="U24" s="233"/>
      <c r="V24" s="233"/>
      <c r="W24" s="233"/>
      <c r="X24" s="233"/>
      <c r="Y24" s="233"/>
      <c r="Z24" s="233"/>
      <c r="AA24" s="606">
        <f t="shared" si="2"/>
        <v>0</v>
      </c>
    </row>
    <row r="25" spans="2:35" ht="20.149999999999999" customHeight="1" x14ac:dyDescent="0.25">
      <c r="B25" s="219">
        <v>12</v>
      </c>
      <c r="C25" s="220">
        <f>BEGINBLAD!C15</f>
        <v>0</v>
      </c>
      <c r="D25" s="199"/>
      <c r="G25" s="201"/>
      <c r="H25" s="602">
        <v>1</v>
      </c>
      <c r="I25" s="221" t="str">
        <f t="shared" si="0"/>
        <v/>
      </c>
      <c r="J25" s="186" t="str">
        <f t="shared" si="1"/>
        <v/>
      </c>
      <c r="N25" s="201"/>
      <c r="P25" s="605" t="s">
        <v>140</v>
      </c>
      <c r="Q25" s="233"/>
      <c r="R25" s="233"/>
      <c r="S25" s="233"/>
      <c r="T25" s="233"/>
      <c r="U25" s="233"/>
      <c r="V25" s="233"/>
      <c r="W25" s="233"/>
      <c r="X25" s="233"/>
      <c r="Y25" s="233"/>
      <c r="Z25" s="233"/>
      <c r="AA25" s="606">
        <f t="shared" si="2"/>
        <v>0</v>
      </c>
    </row>
    <row r="26" spans="2:35" ht="20.149999999999999" customHeight="1" x14ac:dyDescent="0.25">
      <c r="B26" s="219">
        <v>13</v>
      </c>
      <c r="C26" s="220">
        <f>BEGINBLAD!C16</f>
        <v>0</v>
      </c>
      <c r="D26" s="199"/>
      <c r="G26" s="201"/>
      <c r="H26" s="602">
        <v>1</v>
      </c>
      <c r="I26" s="221" t="str">
        <f t="shared" si="0"/>
        <v/>
      </c>
      <c r="J26" s="186" t="str">
        <f t="shared" si="1"/>
        <v/>
      </c>
      <c r="N26" s="201"/>
      <c r="P26" s="605" t="s">
        <v>498</v>
      </c>
      <c r="Q26" s="233"/>
      <c r="R26" s="233"/>
      <c r="S26" s="233"/>
      <c r="T26" s="233"/>
      <c r="U26" s="233"/>
      <c r="V26" s="233"/>
      <c r="W26" s="233"/>
      <c r="X26" s="233"/>
      <c r="Y26" s="233"/>
      <c r="Z26" s="233"/>
      <c r="AA26" s="606">
        <f t="shared" si="2"/>
        <v>0</v>
      </c>
    </row>
    <row r="27" spans="2:35" ht="20.149999999999999" customHeight="1" x14ac:dyDescent="0.25">
      <c r="B27" s="219">
        <v>14</v>
      </c>
      <c r="C27" s="220">
        <f>BEGINBLAD!C17</f>
        <v>0</v>
      </c>
      <c r="D27" s="199"/>
      <c r="G27" s="201"/>
      <c r="H27" s="602">
        <v>1</v>
      </c>
      <c r="I27" s="221" t="str">
        <f t="shared" si="0"/>
        <v/>
      </c>
      <c r="J27" s="186" t="str">
        <f t="shared" si="1"/>
        <v/>
      </c>
      <c r="N27" s="201"/>
      <c r="P27" s="605" t="s">
        <v>499</v>
      </c>
      <c r="Q27" s="233"/>
      <c r="R27" s="233"/>
      <c r="S27" s="233"/>
      <c r="T27" s="233"/>
      <c r="U27" s="233"/>
      <c r="V27" s="233"/>
      <c r="W27" s="233"/>
      <c r="X27" s="233"/>
      <c r="Y27" s="233"/>
      <c r="Z27" s="233"/>
      <c r="AA27" s="606">
        <f t="shared" si="2"/>
        <v>0</v>
      </c>
    </row>
    <row r="28" spans="2:35" ht="20.149999999999999" customHeight="1" x14ac:dyDescent="0.25">
      <c r="B28" s="219">
        <v>15</v>
      </c>
      <c r="C28" s="220">
        <f>BEGINBLAD!C18</f>
        <v>0</v>
      </c>
      <c r="D28" s="199"/>
      <c r="G28" s="201"/>
      <c r="H28" s="602">
        <v>1</v>
      </c>
      <c r="I28" s="221" t="str">
        <f t="shared" si="0"/>
        <v/>
      </c>
      <c r="J28" s="186" t="str">
        <f t="shared" si="1"/>
        <v/>
      </c>
      <c r="N28" s="201"/>
      <c r="P28" s="235" t="s">
        <v>500</v>
      </c>
      <c r="Q28" s="233"/>
      <c r="R28" s="233"/>
      <c r="S28" s="233"/>
      <c r="T28" s="233"/>
      <c r="U28" s="233"/>
      <c r="V28" s="233"/>
      <c r="W28" s="233"/>
      <c r="X28" s="233"/>
      <c r="Y28" s="233"/>
      <c r="Z28" s="233"/>
      <c r="AA28" s="606">
        <f t="shared" si="2"/>
        <v>0</v>
      </c>
    </row>
    <row r="29" spans="2:35" ht="20.149999999999999" customHeight="1" thickBot="1" x14ac:dyDescent="0.3">
      <c r="B29" s="219">
        <v>16</v>
      </c>
      <c r="C29" s="220">
        <f>BEGINBLAD!C19</f>
        <v>0</v>
      </c>
      <c r="D29" s="199"/>
      <c r="G29" s="201"/>
      <c r="H29" s="602">
        <v>1</v>
      </c>
      <c r="I29" s="221" t="str">
        <f t="shared" si="0"/>
        <v/>
      </c>
      <c r="J29" s="186" t="str">
        <f t="shared" si="1"/>
        <v/>
      </c>
      <c r="N29" s="201"/>
      <c r="P29" s="228" t="s">
        <v>501</v>
      </c>
      <c r="Q29" s="230"/>
      <c r="R29" s="230"/>
      <c r="S29" s="230"/>
      <c r="T29" s="230"/>
      <c r="U29" s="230"/>
      <c r="V29" s="230"/>
      <c r="W29" s="230"/>
      <c r="X29" s="230"/>
      <c r="Y29" s="230"/>
      <c r="Z29" s="230"/>
      <c r="AA29" s="607">
        <f>SUM(AA21:AA27)</f>
        <v>0</v>
      </c>
    </row>
    <row r="30" spans="2:35" ht="20.149999999999999" customHeight="1" thickBot="1" x14ac:dyDescent="0.3">
      <c r="B30" s="219">
        <v>17</v>
      </c>
      <c r="C30" s="220">
        <f>BEGINBLAD!C20</f>
        <v>0</v>
      </c>
      <c r="D30" s="199"/>
      <c r="G30" s="201"/>
      <c r="H30" s="602">
        <v>1</v>
      </c>
      <c r="I30" s="221" t="str">
        <f t="shared" si="0"/>
        <v/>
      </c>
      <c r="J30" s="186" t="str">
        <f t="shared" si="1"/>
        <v/>
      </c>
      <c r="N30" s="201"/>
      <c r="P30" s="608"/>
      <c r="Q30" s="608"/>
      <c r="R30" s="608"/>
      <c r="S30" s="608"/>
      <c r="T30" s="608"/>
      <c r="U30" s="608"/>
      <c r="V30" s="608"/>
      <c r="W30" s="608"/>
      <c r="X30" s="608"/>
      <c r="Y30" s="608"/>
      <c r="Z30" s="608"/>
    </row>
    <row r="31" spans="2:35" ht="20.149999999999999" customHeight="1" x14ac:dyDescent="0.25">
      <c r="B31" s="219">
        <v>18</v>
      </c>
      <c r="C31" s="220">
        <f>BEGINBLAD!C21</f>
        <v>0</v>
      </c>
      <c r="D31" s="199"/>
      <c r="G31" s="201"/>
      <c r="H31" s="602">
        <v>1</v>
      </c>
      <c r="I31" s="221" t="str">
        <f t="shared" si="0"/>
        <v/>
      </c>
      <c r="J31" s="186" t="str">
        <f t="shared" si="1"/>
        <v/>
      </c>
      <c r="N31" s="201"/>
      <c r="P31" s="222" t="s">
        <v>502</v>
      </c>
      <c r="Q31" s="232" t="s">
        <v>488</v>
      </c>
      <c r="R31" s="232"/>
      <c r="S31" s="232"/>
      <c r="T31" s="232"/>
      <c r="U31" s="232"/>
      <c r="V31" s="232"/>
      <c r="W31" s="232"/>
      <c r="X31" s="232"/>
      <c r="Y31" s="232"/>
      <c r="Z31" s="232"/>
      <c r="AA31" s="224"/>
    </row>
    <row r="32" spans="2:35" ht="20.149999999999999" customHeight="1" x14ac:dyDescent="0.25">
      <c r="B32" s="219">
        <v>19</v>
      </c>
      <c r="C32" s="220">
        <f>BEGINBLAD!C22</f>
        <v>0</v>
      </c>
      <c r="D32" s="199"/>
      <c r="G32" s="201"/>
      <c r="H32" s="602">
        <v>1</v>
      </c>
      <c r="I32" s="221" t="str">
        <f t="shared" si="0"/>
        <v/>
      </c>
      <c r="J32" s="186" t="str">
        <f t="shared" si="1"/>
        <v/>
      </c>
      <c r="N32" s="201"/>
      <c r="P32" s="605" t="s">
        <v>492</v>
      </c>
      <c r="Q32" s="233"/>
      <c r="R32" s="233"/>
      <c r="S32" s="233"/>
      <c r="T32" s="233"/>
      <c r="U32" s="233"/>
      <c r="V32" s="233"/>
      <c r="W32" s="233"/>
      <c r="X32" s="233"/>
      <c r="Y32" s="233"/>
      <c r="Z32" s="233"/>
      <c r="AA32" s="606">
        <f t="shared" ref="AA32:AA39" si="3">COUNTA(Q32:Z32)</f>
        <v>0</v>
      </c>
    </row>
    <row r="33" spans="2:35" ht="20.149999999999999" customHeight="1" x14ac:dyDescent="0.25">
      <c r="B33" s="219">
        <v>20</v>
      </c>
      <c r="C33" s="220">
        <f>BEGINBLAD!C23</f>
        <v>0</v>
      </c>
      <c r="D33" s="199"/>
      <c r="G33" s="201"/>
      <c r="H33" s="602">
        <v>1</v>
      </c>
      <c r="I33" s="221" t="str">
        <f t="shared" si="0"/>
        <v/>
      </c>
      <c r="J33" s="186" t="str">
        <f t="shared" si="1"/>
        <v/>
      </c>
      <c r="N33" s="201"/>
      <c r="P33" s="605" t="s">
        <v>493</v>
      </c>
      <c r="Q33" s="233"/>
      <c r="R33" s="233"/>
      <c r="S33" s="233"/>
      <c r="T33" s="233"/>
      <c r="U33" s="233"/>
      <c r="V33" s="233"/>
      <c r="W33" s="233"/>
      <c r="X33" s="233"/>
      <c r="Y33" s="233"/>
      <c r="Z33" s="233"/>
      <c r="AA33" s="606">
        <f t="shared" si="3"/>
        <v>0</v>
      </c>
    </row>
    <row r="34" spans="2:35" ht="20.149999999999999" customHeight="1" x14ac:dyDescent="0.25">
      <c r="B34" s="219">
        <v>21</v>
      </c>
      <c r="C34" s="220">
        <f>BEGINBLAD!C24</f>
        <v>0</v>
      </c>
      <c r="D34" s="199"/>
      <c r="G34" s="201"/>
      <c r="H34" s="602">
        <v>1</v>
      </c>
      <c r="I34" s="221" t="str">
        <f t="shared" si="0"/>
        <v/>
      </c>
      <c r="J34" s="186" t="str">
        <f t="shared" si="1"/>
        <v/>
      </c>
      <c r="N34" s="201"/>
      <c r="P34" s="605" t="s">
        <v>494</v>
      </c>
      <c r="Q34" s="233"/>
      <c r="R34" s="233"/>
      <c r="S34" s="233"/>
      <c r="T34" s="233"/>
      <c r="U34" s="233"/>
      <c r="V34" s="233"/>
      <c r="W34" s="233"/>
      <c r="X34" s="233"/>
      <c r="Y34" s="233"/>
      <c r="Z34" s="233"/>
      <c r="AA34" s="606">
        <f t="shared" si="3"/>
        <v>0</v>
      </c>
    </row>
    <row r="35" spans="2:35" ht="20.149999999999999" customHeight="1" x14ac:dyDescent="0.25">
      <c r="B35" s="219">
        <v>22</v>
      </c>
      <c r="C35" s="220">
        <f>BEGINBLAD!C25</f>
        <v>0</v>
      </c>
      <c r="D35" s="199"/>
      <c r="G35" s="201"/>
      <c r="H35" s="602">
        <v>1</v>
      </c>
      <c r="I35" s="221" t="str">
        <f t="shared" si="0"/>
        <v/>
      </c>
      <c r="J35" s="186" t="str">
        <f t="shared" si="1"/>
        <v/>
      </c>
      <c r="N35" s="201"/>
      <c r="P35" s="605" t="s">
        <v>503</v>
      </c>
      <c r="Q35" s="233"/>
      <c r="R35" s="233"/>
      <c r="S35" s="233"/>
      <c r="T35" s="233"/>
      <c r="U35" s="233"/>
      <c r="V35" s="233"/>
      <c r="W35" s="233"/>
      <c r="X35" s="233"/>
      <c r="Y35" s="233"/>
      <c r="Z35" s="233"/>
      <c r="AA35" s="606">
        <f t="shared" si="3"/>
        <v>0</v>
      </c>
    </row>
    <row r="36" spans="2:35" ht="20.149999999999999" customHeight="1" x14ac:dyDescent="0.25">
      <c r="B36" s="219">
        <v>23</v>
      </c>
      <c r="C36" s="220">
        <f>BEGINBLAD!C26</f>
        <v>0</v>
      </c>
      <c r="D36" s="199"/>
      <c r="G36" s="201"/>
      <c r="H36" s="602">
        <v>1</v>
      </c>
      <c r="I36" s="221" t="str">
        <f t="shared" si="0"/>
        <v/>
      </c>
      <c r="J36" s="186" t="str">
        <f t="shared" si="1"/>
        <v/>
      </c>
      <c r="N36" s="201"/>
      <c r="P36" s="605" t="s">
        <v>504</v>
      </c>
      <c r="Q36" s="233"/>
      <c r="R36" s="233"/>
      <c r="S36" s="233"/>
      <c r="T36" s="233"/>
      <c r="U36" s="233"/>
      <c r="V36" s="233"/>
      <c r="W36" s="233"/>
      <c r="X36" s="233"/>
      <c r="Y36" s="233"/>
      <c r="Z36" s="233"/>
      <c r="AA36" s="606">
        <f t="shared" si="3"/>
        <v>0</v>
      </c>
    </row>
    <row r="37" spans="2:35" ht="20.149999999999999" customHeight="1" x14ac:dyDescent="0.25">
      <c r="B37" s="219">
        <v>24</v>
      </c>
      <c r="C37" s="220">
        <f>BEGINBLAD!C27</f>
        <v>0</v>
      </c>
      <c r="D37" s="199"/>
      <c r="G37" s="201"/>
      <c r="H37" s="602">
        <v>1</v>
      </c>
      <c r="I37" s="221" t="str">
        <f t="shared" si="0"/>
        <v/>
      </c>
      <c r="J37" s="186" t="str">
        <f t="shared" si="1"/>
        <v/>
      </c>
      <c r="N37" s="201"/>
      <c r="P37" s="605" t="s">
        <v>505</v>
      </c>
      <c r="Q37" s="233"/>
      <c r="R37" s="233"/>
      <c r="S37" s="233"/>
      <c r="T37" s="233"/>
      <c r="U37" s="233"/>
      <c r="V37" s="233"/>
      <c r="W37" s="233"/>
      <c r="X37" s="233"/>
      <c r="Y37" s="233"/>
      <c r="Z37" s="233"/>
      <c r="AA37" s="606">
        <f t="shared" si="3"/>
        <v>0</v>
      </c>
    </row>
    <row r="38" spans="2:35" ht="20.149999999999999" customHeight="1" x14ac:dyDescent="0.25">
      <c r="B38" s="219">
        <v>25</v>
      </c>
      <c r="C38" s="220">
        <f>BEGINBLAD!C28</f>
        <v>0</v>
      </c>
      <c r="D38" s="199"/>
      <c r="G38" s="201"/>
      <c r="H38" s="602">
        <v>1</v>
      </c>
      <c r="I38" s="221" t="str">
        <f t="shared" si="0"/>
        <v/>
      </c>
      <c r="J38" s="186" t="str">
        <f t="shared" si="1"/>
        <v/>
      </c>
      <c r="N38" s="201"/>
      <c r="P38" s="605" t="s">
        <v>506</v>
      </c>
      <c r="Q38" s="233"/>
      <c r="R38" s="233"/>
      <c r="S38" s="233"/>
      <c r="T38" s="233"/>
      <c r="U38" s="233"/>
      <c r="V38" s="233"/>
      <c r="W38" s="233"/>
      <c r="X38" s="233"/>
      <c r="Y38" s="233"/>
      <c r="Z38" s="233"/>
      <c r="AA38" s="606">
        <f t="shared" si="3"/>
        <v>0</v>
      </c>
    </row>
    <row r="39" spans="2:35" ht="20.149999999999999" customHeight="1" x14ac:dyDescent="0.25">
      <c r="B39" s="219">
        <v>26</v>
      </c>
      <c r="C39" s="220">
        <f>BEGINBLAD!C29</f>
        <v>0</v>
      </c>
      <c r="D39" s="199"/>
      <c r="G39" s="201"/>
      <c r="H39" s="602">
        <v>1</v>
      </c>
      <c r="I39" s="221" t="str">
        <f t="shared" si="0"/>
        <v/>
      </c>
      <c r="J39" s="186" t="str">
        <f t="shared" si="1"/>
        <v/>
      </c>
      <c r="N39" s="201"/>
      <c r="P39" s="605" t="s">
        <v>507</v>
      </c>
      <c r="Q39" s="233"/>
      <c r="R39" s="233"/>
      <c r="S39" s="233"/>
      <c r="T39" s="233"/>
      <c r="U39" s="233"/>
      <c r="V39" s="233"/>
      <c r="W39" s="233"/>
      <c r="X39" s="233"/>
      <c r="Y39" s="233"/>
      <c r="Z39" s="233"/>
      <c r="AA39" s="606">
        <f t="shared" si="3"/>
        <v>0</v>
      </c>
    </row>
    <row r="40" spans="2:35" ht="20.149999999999999" customHeight="1" thickBot="1" x14ac:dyDescent="0.3">
      <c r="B40" s="219">
        <v>27</v>
      </c>
      <c r="C40" s="220">
        <f>BEGINBLAD!C30</f>
        <v>0</v>
      </c>
      <c r="D40" s="199"/>
      <c r="G40" s="201"/>
      <c r="H40" s="602">
        <v>1</v>
      </c>
      <c r="I40" s="221" t="str">
        <f t="shared" si="0"/>
        <v/>
      </c>
      <c r="J40" s="186" t="str">
        <f t="shared" si="1"/>
        <v/>
      </c>
      <c r="N40" s="201"/>
      <c r="P40" s="228" t="s">
        <v>501</v>
      </c>
      <c r="Q40" s="230"/>
      <c r="R40" s="230"/>
      <c r="S40" s="230"/>
      <c r="T40" s="230"/>
      <c r="U40" s="230"/>
      <c r="V40" s="230"/>
      <c r="W40" s="230"/>
      <c r="X40" s="230"/>
      <c r="Y40" s="230"/>
      <c r="Z40" s="230"/>
      <c r="AA40" s="607">
        <f>SUM(AA32:AA39)</f>
        <v>0</v>
      </c>
    </row>
    <row r="41" spans="2:35" ht="20.149999999999999" customHeight="1" thickBot="1" x14ac:dyDescent="0.3">
      <c r="B41" s="219">
        <v>28</v>
      </c>
      <c r="C41" s="220">
        <f>BEGINBLAD!C31</f>
        <v>0</v>
      </c>
      <c r="D41" s="199"/>
      <c r="G41" s="201"/>
      <c r="H41" s="602">
        <v>1</v>
      </c>
      <c r="I41" s="221" t="str">
        <f t="shared" si="0"/>
        <v/>
      </c>
      <c r="J41" s="186" t="str">
        <f t="shared" si="1"/>
        <v/>
      </c>
      <c r="N41" s="201"/>
    </row>
    <row r="42" spans="2:35" ht="20.149999999999999" customHeight="1" x14ac:dyDescent="0.25">
      <c r="B42" s="219">
        <v>29</v>
      </c>
      <c r="C42" s="220">
        <f>BEGINBLAD!C32</f>
        <v>0</v>
      </c>
      <c r="D42" s="199"/>
      <c r="G42" s="201"/>
      <c r="H42" s="602">
        <v>1</v>
      </c>
      <c r="I42" s="221" t="str">
        <f t="shared" si="0"/>
        <v/>
      </c>
      <c r="J42" s="186" t="str">
        <f t="shared" si="1"/>
        <v/>
      </c>
      <c r="N42" s="201"/>
      <c r="P42" s="222" t="s">
        <v>508</v>
      </c>
      <c r="Q42" s="232" t="s">
        <v>488</v>
      </c>
      <c r="R42" s="232"/>
      <c r="S42" s="232"/>
      <c r="T42" s="232"/>
      <c r="U42" s="232"/>
      <c r="V42" s="232"/>
      <c r="W42" s="232"/>
      <c r="X42" s="232"/>
      <c r="Y42" s="232"/>
      <c r="Z42" s="232"/>
      <c r="AA42" s="224"/>
    </row>
    <row r="43" spans="2:35" ht="20.149999999999999" customHeight="1" x14ac:dyDescent="0.25">
      <c r="B43" s="219">
        <v>30</v>
      </c>
      <c r="C43" s="220">
        <f>BEGINBLAD!C33</f>
        <v>0</v>
      </c>
      <c r="D43" s="199"/>
      <c r="G43" s="201"/>
      <c r="H43" s="602">
        <v>1</v>
      </c>
      <c r="I43" s="221" t="str">
        <f t="shared" si="0"/>
        <v/>
      </c>
      <c r="J43" s="186" t="str">
        <f t="shared" si="1"/>
        <v/>
      </c>
      <c r="N43" s="201"/>
      <c r="P43" s="605" t="s">
        <v>509</v>
      </c>
      <c r="Q43" s="233"/>
      <c r="R43" s="233"/>
      <c r="S43" s="233"/>
      <c r="T43" s="233"/>
      <c r="U43" s="233"/>
      <c r="V43" s="233"/>
      <c r="W43" s="233"/>
      <c r="X43" s="233"/>
      <c r="Y43" s="233"/>
      <c r="Z43" s="233"/>
      <c r="AA43" s="606">
        <f>COUNTA(Q43:Z43)</f>
        <v>0</v>
      </c>
    </row>
    <row r="44" spans="2:35" ht="20.149999999999999" customHeight="1" x14ac:dyDescent="0.25">
      <c r="B44" s="219">
        <v>31</v>
      </c>
      <c r="C44" s="220">
        <f>BEGINBLAD!C34</f>
        <v>0</v>
      </c>
      <c r="D44" s="199"/>
      <c r="G44" s="201"/>
      <c r="H44" s="602">
        <v>1</v>
      </c>
      <c r="I44" s="221" t="str">
        <f t="shared" si="0"/>
        <v/>
      </c>
      <c r="J44" s="186" t="str">
        <f t="shared" si="1"/>
        <v/>
      </c>
      <c r="N44" s="201"/>
      <c r="P44" s="605" t="s">
        <v>510</v>
      </c>
      <c r="Q44" s="233"/>
      <c r="R44" s="233"/>
      <c r="S44" s="233"/>
      <c r="T44" s="233"/>
      <c r="U44" s="233"/>
      <c r="V44" s="233"/>
      <c r="W44" s="233"/>
      <c r="X44" s="233"/>
      <c r="Y44" s="233"/>
      <c r="Z44" s="233"/>
      <c r="AA44" s="606">
        <f>COUNTA(Q44:Z44)</f>
        <v>0</v>
      </c>
      <c r="AC44" s="1299"/>
      <c r="AD44" s="1299"/>
      <c r="AE44" s="1299"/>
      <c r="AF44" s="1299"/>
    </row>
    <row r="45" spans="2:35" ht="20.149999999999999" customHeight="1" x14ac:dyDescent="0.25">
      <c r="B45" s="219">
        <v>32</v>
      </c>
      <c r="C45" s="220">
        <f>BEGINBLAD!C35</f>
        <v>0</v>
      </c>
      <c r="D45" s="199"/>
      <c r="G45" s="201"/>
      <c r="H45" s="602">
        <v>1</v>
      </c>
      <c r="I45" s="221" t="str">
        <f t="shared" si="0"/>
        <v/>
      </c>
      <c r="J45" s="186" t="str">
        <f t="shared" si="1"/>
        <v/>
      </c>
      <c r="N45" s="201"/>
      <c r="P45" s="605" t="s">
        <v>511</v>
      </c>
      <c r="Q45" s="233"/>
      <c r="R45" s="233"/>
      <c r="S45" s="233"/>
      <c r="T45" s="233"/>
      <c r="U45" s="233"/>
      <c r="V45" s="233"/>
      <c r="W45" s="233"/>
      <c r="X45" s="233"/>
      <c r="Y45" s="233"/>
      <c r="Z45" s="233"/>
      <c r="AA45" s="606">
        <f>COUNTA(Q45:Z45)</f>
        <v>0</v>
      </c>
      <c r="AC45" s="188"/>
      <c r="AD45" s="188"/>
      <c r="AE45" s="188"/>
      <c r="AF45" s="188"/>
      <c r="AG45" s="188"/>
      <c r="AH45" s="188"/>
      <c r="AI45" s="188"/>
    </row>
    <row r="46" spans="2:35" ht="20.149999999999999" customHeight="1" x14ac:dyDescent="0.25">
      <c r="B46" s="219">
        <v>33</v>
      </c>
      <c r="C46" s="220">
        <f>BEGINBLAD!C36</f>
        <v>0</v>
      </c>
      <c r="D46" s="199"/>
      <c r="G46" s="201"/>
      <c r="H46" s="602">
        <v>1</v>
      </c>
      <c r="I46" s="221" t="str">
        <f t="shared" si="0"/>
        <v/>
      </c>
      <c r="J46" s="186" t="str">
        <f t="shared" si="1"/>
        <v/>
      </c>
      <c r="N46" s="201"/>
      <c r="P46" s="605" t="s">
        <v>512</v>
      </c>
      <c r="Q46" s="233"/>
      <c r="R46" s="233"/>
      <c r="S46" s="233"/>
      <c r="T46" s="233"/>
      <c r="U46" s="233"/>
      <c r="V46" s="233"/>
      <c r="W46" s="233"/>
      <c r="X46" s="233"/>
      <c r="Y46" s="233"/>
      <c r="Z46" s="233"/>
      <c r="AA46" s="606">
        <f>COUNTA(Q46:Z46)</f>
        <v>0</v>
      </c>
      <c r="AC46" s="189"/>
      <c r="AD46" s="189"/>
      <c r="AE46" s="189"/>
      <c r="AF46" s="609"/>
      <c r="AG46" s="609"/>
      <c r="AH46" s="609"/>
      <c r="AI46" s="609"/>
    </row>
    <row r="47" spans="2:35" ht="20.149999999999999" customHeight="1" x14ac:dyDescent="0.25">
      <c r="B47" s="219">
        <v>34</v>
      </c>
      <c r="C47" s="220">
        <f>BEGINBLAD!C37</f>
        <v>0</v>
      </c>
      <c r="D47" s="199"/>
      <c r="G47" s="201"/>
      <c r="H47" s="602">
        <v>1</v>
      </c>
      <c r="I47" s="221" t="str">
        <f t="shared" si="0"/>
        <v/>
      </c>
      <c r="J47" s="186" t="str">
        <f t="shared" si="1"/>
        <v/>
      </c>
      <c r="N47" s="201"/>
      <c r="P47" s="605" t="s">
        <v>513</v>
      </c>
      <c r="Q47" s="233"/>
      <c r="R47" s="233"/>
      <c r="S47" s="233"/>
      <c r="T47" s="233"/>
      <c r="U47" s="233"/>
      <c r="V47" s="233"/>
      <c r="W47" s="233"/>
      <c r="X47" s="233"/>
      <c r="Y47" s="233"/>
      <c r="Z47" s="233"/>
      <c r="AA47" s="606">
        <f>COUNTA(Q47:Z47)</f>
        <v>0</v>
      </c>
      <c r="AC47" s="189"/>
      <c r="AD47" s="189"/>
      <c r="AE47" s="189"/>
      <c r="AF47" s="609"/>
      <c r="AG47" s="609"/>
      <c r="AH47" s="609"/>
      <c r="AI47" s="609"/>
    </row>
    <row r="48" spans="2:35" ht="20.149999999999999" customHeight="1" thickBot="1" x14ac:dyDescent="0.3">
      <c r="B48" s="219">
        <v>35</v>
      </c>
      <c r="C48" s="220">
        <f>BEGINBLAD!C38</f>
        <v>0</v>
      </c>
      <c r="D48" s="199"/>
      <c r="G48" s="201"/>
      <c r="H48" s="602">
        <v>1</v>
      </c>
      <c r="I48" s="221" t="str">
        <f t="shared" si="0"/>
        <v/>
      </c>
      <c r="J48" s="186" t="str">
        <f t="shared" si="1"/>
        <v/>
      </c>
      <c r="N48" s="201"/>
      <c r="P48" s="228" t="s">
        <v>69</v>
      </c>
      <c r="Q48" s="230"/>
      <c r="R48" s="230"/>
      <c r="S48" s="230"/>
      <c r="T48" s="230"/>
      <c r="U48" s="230"/>
      <c r="V48" s="230"/>
      <c r="W48" s="230"/>
      <c r="X48" s="230"/>
      <c r="Y48" s="230"/>
      <c r="Z48" s="230"/>
      <c r="AA48" s="607">
        <f>SUM(AA43:AA47)</f>
        <v>0</v>
      </c>
    </row>
    <row r="49" spans="2:27" ht="20.149999999999999" customHeight="1" thickBot="1" x14ac:dyDescent="0.3">
      <c r="B49" s="219">
        <v>36</v>
      </c>
      <c r="C49" s="220">
        <f>BEGINBLAD!C39</f>
        <v>0</v>
      </c>
      <c r="D49" s="199"/>
      <c r="G49" s="201"/>
      <c r="H49" s="602">
        <v>1</v>
      </c>
      <c r="I49" s="221" t="str">
        <f t="shared" si="0"/>
        <v/>
      </c>
      <c r="J49" s="186" t="str">
        <f t="shared" si="1"/>
        <v/>
      </c>
      <c r="N49" s="201"/>
      <c r="P49" s="608"/>
      <c r="Q49" s="608"/>
      <c r="R49" s="608"/>
      <c r="S49" s="608"/>
      <c r="T49" s="608"/>
      <c r="U49" s="608"/>
      <c r="V49" s="608"/>
      <c r="W49" s="608"/>
      <c r="X49" s="608"/>
      <c r="Y49" s="608"/>
      <c r="Z49" s="608"/>
    </row>
    <row r="50" spans="2:27" ht="20.149999999999999" customHeight="1" x14ac:dyDescent="0.25">
      <c r="B50" s="236"/>
      <c r="C50" s="220"/>
      <c r="D50" s="199"/>
      <c r="G50" s="201"/>
      <c r="H50" s="602">
        <v>1</v>
      </c>
      <c r="I50" s="221"/>
      <c r="N50" s="201"/>
      <c r="P50" s="237" t="s">
        <v>350</v>
      </c>
      <c r="Q50" s="238"/>
      <c r="R50" s="238"/>
      <c r="S50" s="238"/>
      <c r="T50" s="238"/>
      <c r="U50" s="238"/>
      <c r="V50" s="238"/>
      <c r="W50" s="238"/>
      <c r="X50" s="238"/>
      <c r="Y50" s="238"/>
      <c r="Z50" s="238"/>
      <c r="AA50" s="239">
        <f>SUM(AA48+AA40+AA29+AA15)</f>
        <v>0</v>
      </c>
    </row>
    <row r="51" spans="2:27" ht="20.149999999999999" customHeight="1" x14ac:dyDescent="0.25">
      <c r="B51" s="219"/>
      <c r="C51" s="220"/>
      <c r="D51" s="199"/>
      <c r="G51" s="201"/>
      <c r="H51" s="602">
        <v>1</v>
      </c>
      <c r="I51" s="221"/>
      <c r="N51" s="201"/>
      <c r="P51" s="207"/>
      <c r="AA51" s="240">
        <f>AA15+(AA29*1.5)+(AA40*2)+(AA48*4)</f>
        <v>0</v>
      </c>
    </row>
    <row r="52" spans="2:27" ht="20.149999999999999" customHeight="1" thickBot="1" x14ac:dyDescent="0.3">
      <c r="B52" s="241"/>
      <c r="C52" s="265"/>
      <c r="D52" s="595"/>
      <c r="E52" s="211"/>
      <c r="F52" s="211"/>
      <c r="G52" s="204"/>
      <c r="H52" s="242">
        <v>1</v>
      </c>
      <c r="I52" s="255"/>
      <c r="J52" s="211"/>
      <c r="K52" s="211"/>
      <c r="L52" s="211"/>
      <c r="M52" s="211"/>
      <c r="N52" s="204"/>
      <c r="P52" s="228" t="s">
        <v>514</v>
      </c>
      <c r="Q52" s="230"/>
      <c r="R52" s="230"/>
      <c r="S52" s="230"/>
      <c r="T52" s="230"/>
      <c r="U52" s="230"/>
      <c r="V52" s="230"/>
      <c r="W52" s="230"/>
      <c r="X52" s="230"/>
      <c r="Y52" s="230"/>
      <c r="Z52" s="230"/>
      <c r="AA52" s="243">
        <f>IF(AB8=1,AA51/24,IF(AB8=2,(AA51/24)*1.1,IF(AB8=3,(AA51/24)*1.15,IF(AB8=4,(AA51/24)*1.2))))</f>
        <v>0</v>
      </c>
    </row>
    <row r="53" spans="2:27" x14ac:dyDescent="0.25">
      <c r="C53" s="186">
        <f>BEGINBLAD!$D$40</f>
        <v>8</v>
      </c>
    </row>
  </sheetData>
  <sheetProtection algorithmName="SHA-512" hashValue="Bk2bwSKaE3ekWyRVy0gPjPK2jHCtrKxBiyDp2lLaplDH4AJHXvjzBx5woE7w3Q0Dvxe2xvo063TEndu2CsweDA==" saltValue="Tbrpb50cvLfLOG9JwhTMjw==" spinCount="100000" sheet="1" objects="1" scenarios="1"/>
  <mergeCells count="31">
    <mergeCell ref="B2:N2"/>
    <mergeCell ref="P2:AA2"/>
    <mergeCell ref="AC2:AI2"/>
    <mergeCell ref="C4:C8"/>
    <mergeCell ref="D4:D8"/>
    <mergeCell ref="E4:E8"/>
    <mergeCell ref="F4:F8"/>
    <mergeCell ref="G4:G8"/>
    <mergeCell ref="P4:Q4"/>
    <mergeCell ref="P5:Q5"/>
    <mergeCell ref="AH7:AH8"/>
    <mergeCell ref="AI7:AI8"/>
    <mergeCell ref="P7:AA7"/>
    <mergeCell ref="AC7:AC8"/>
    <mergeCell ref="AD7:AD8"/>
    <mergeCell ref="AE7:AE8"/>
    <mergeCell ref="AF7:AF8"/>
    <mergeCell ref="AG7:AG8"/>
    <mergeCell ref="AG18:AH18"/>
    <mergeCell ref="AC44:AF44"/>
    <mergeCell ref="B13:C13"/>
    <mergeCell ref="AC13:AI13"/>
    <mergeCell ref="AG14:AH14"/>
    <mergeCell ref="AG15:AH15"/>
    <mergeCell ref="AG16:AH16"/>
    <mergeCell ref="AG17:AH17"/>
    <mergeCell ref="C9:C12"/>
    <mergeCell ref="D9:D12"/>
    <mergeCell ref="E9:E12"/>
    <mergeCell ref="F9:F12"/>
    <mergeCell ref="G9:G12"/>
  </mergeCells>
  <conditionalFormatting sqref="C14:C52">
    <cfRule type="expression" priority="1" stopIfTrue="1">
      <formula>$M15=""</formula>
    </cfRule>
    <cfRule type="expression" dxfId="32" priority="2" stopIfTrue="1">
      <formula>$M15&gt;9</formula>
    </cfRule>
    <cfRule type="expression" dxfId="31" priority="3" stopIfTrue="1">
      <formula>$M15&lt;0</formula>
    </cfRule>
  </conditionalFormatting>
  <conditionalFormatting sqref="I14:I52">
    <cfRule type="expression" dxfId="30" priority="4">
      <formula>$I14&gt;0</formula>
    </cfRule>
    <cfRule type="cellIs" dxfId="29" priority="5" operator="equal">
      <formula>4</formula>
    </cfRule>
    <cfRule type="cellIs" dxfId="28" priority="6" operator="equal">
      <formula>3</formula>
    </cfRule>
    <cfRule type="cellIs" dxfId="27" priority="7" operator="equal">
      <formula>2</formula>
    </cfRule>
    <cfRule type="cellIs" dxfId="26" priority="8" operator="equal">
      <formula>1</formula>
    </cfRule>
  </conditionalFormatting>
  <pageMargins left="0.35433070866141736" right="0.31496062992125984" top="0.98425196850393704" bottom="0.43307086614173229" header="0.51181102362204722" footer="0.19685039370078741"/>
  <pageSetup paperSize="9" scale="38" orientation="landscape" horizontalDpi="4294967293" r:id="rId1"/>
  <headerFooter alignWithMargins="0">
    <oddHeader>&amp;C&amp;"Arial,Vet"&amp;22Diversiteit</oddHeader>
    <oddFooter>&amp;R©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17" r:id="rId4" name="Option Button 1">
              <controlPr defaultSize="0" autoFill="0" autoLine="0" autoPict="0">
                <anchor moveWithCells="1">
                  <from>
                    <xdr:col>17</xdr:col>
                    <xdr:colOff>228600</xdr:colOff>
                    <xdr:row>7</xdr:row>
                    <xdr:rowOff>19050</xdr:rowOff>
                  </from>
                  <to>
                    <xdr:col>17</xdr:col>
                    <xdr:colOff>584200</xdr:colOff>
                    <xdr:row>7</xdr:row>
                    <xdr:rowOff>228600</xdr:rowOff>
                  </to>
                </anchor>
              </controlPr>
            </control>
          </mc:Choice>
        </mc:AlternateContent>
        <mc:AlternateContent xmlns:mc="http://schemas.openxmlformats.org/markup-compatibility/2006">
          <mc:Choice Requires="x14">
            <control shapeId="86018" r:id="rId5" name="Option Button 2">
              <controlPr defaultSize="0" autoFill="0" autoLine="0" autoPict="0">
                <anchor moveWithCells="1">
                  <from>
                    <xdr:col>17</xdr:col>
                    <xdr:colOff>228600</xdr:colOff>
                    <xdr:row>8</xdr:row>
                    <xdr:rowOff>19050</xdr:rowOff>
                  </from>
                  <to>
                    <xdr:col>17</xdr:col>
                    <xdr:colOff>584200</xdr:colOff>
                    <xdr:row>8</xdr:row>
                    <xdr:rowOff>228600</xdr:rowOff>
                  </to>
                </anchor>
              </controlPr>
            </control>
          </mc:Choice>
        </mc:AlternateContent>
        <mc:AlternateContent xmlns:mc="http://schemas.openxmlformats.org/markup-compatibility/2006">
          <mc:Choice Requires="x14">
            <control shapeId="86019" r:id="rId6" name="Option Button 3">
              <controlPr defaultSize="0" autoFill="0" autoLine="0" autoPict="0">
                <anchor moveWithCells="1">
                  <from>
                    <xdr:col>17</xdr:col>
                    <xdr:colOff>228600</xdr:colOff>
                    <xdr:row>9</xdr:row>
                    <xdr:rowOff>12700</xdr:rowOff>
                  </from>
                  <to>
                    <xdr:col>17</xdr:col>
                    <xdr:colOff>584200</xdr:colOff>
                    <xdr:row>9</xdr:row>
                    <xdr:rowOff>228600</xdr:rowOff>
                  </to>
                </anchor>
              </controlPr>
            </control>
          </mc:Choice>
        </mc:AlternateContent>
        <mc:AlternateContent xmlns:mc="http://schemas.openxmlformats.org/markup-compatibility/2006">
          <mc:Choice Requires="x14">
            <control shapeId="86020" r:id="rId7" name="Option Button 4">
              <controlPr defaultSize="0" autoFill="0" autoLine="0" autoPict="0">
                <anchor moveWithCells="1">
                  <from>
                    <xdr:col>17</xdr:col>
                    <xdr:colOff>228600</xdr:colOff>
                    <xdr:row>10</xdr:row>
                    <xdr:rowOff>12700</xdr:rowOff>
                  </from>
                  <to>
                    <xdr:col>17</xdr:col>
                    <xdr:colOff>584200</xdr:colOff>
                    <xdr:row>10</xdr:row>
                    <xdr:rowOff>228600</xdr:rowOff>
                  </to>
                </anchor>
              </controlPr>
            </control>
          </mc:Choice>
        </mc:AlternateContent>
        <mc:AlternateContent xmlns:mc="http://schemas.openxmlformats.org/markup-compatibility/2006">
          <mc:Choice Requires="x14">
            <control shapeId="86021" r:id="rId8" name="Option Button 5">
              <controlPr defaultSize="0" autoFill="0" autoLine="0" autoPict="0">
                <anchor moveWithCells="1">
                  <from>
                    <xdr:col>3</xdr:col>
                    <xdr:colOff>222250</xdr:colOff>
                    <xdr:row>13</xdr:row>
                    <xdr:rowOff>19050</xdr:rowOff>
                  </from>
                  <to>
                    <xdr:col>3</xdr:col>
                    <xdr:colOff>412750</xdr:colOff>
                    <xdr:row>13</xdr:row>
                    <xdr:rowOff>228600</xdr:rowOff>
                  </to>
                </anchor>
              </controlPr>
            </control>
          </mc:Choice>
        </mc:AlternateContent>
        <mc:AlternateContent xmlns:mc="http://schemas.openxmlformats.org/markup-compatibility/2006">
          <mc:Choice Requires="x14">
            <control shapeId="86022" r:id="rId9" name="Group Box 6">
              <controlPr defaultSize="0" autoFill="0" autoPict="0">
                <anchor moveWithCells="1">
                  <from>
                    <xdr:col>15</xdr:col>
                    <xdr:colOff>0</xdr:colOff>
                    <xdr:row>6</xdr:row>
                    <xdr:rowOff>247650</xdr:rowOff>
                  </from>
                  <to>
                    <xdr:col>27</xdr:col>
                    <xdr:colOff>0</xdr:colOff>
                    <xdr:row>11</xdr:row>
                    <xdr:rowOff>0</xdr:rowOff>
                  </to>
                </anchor>
              </controlPr>
            </control>
          </mc:Choice>
        </mc:AlternateContent>
        <mc:AlternateContent xmlns:mc="http://schemas.openxmlformats.org/markup-compatibility/2006">
          <mc:Choice Requires="x14">
            <control shapeId="86023" r:id="rId10" name="Option Button 7">
              <controlPr defaultSize="0" autoFill="0" autoLine="0" autoPict="0">
                <anchor moveWithCells="1">
                  <from>
                    <xdr:col>4</xdr:col>
                    <xdr:colOff>222250</xdr:colOff>
                    <xdr:row>13</xdr:row>
                    <xdr:rowOff>19050</xdr:rowOff>
                  </from>
                  <to>
                    <xdr:col>4</xdr:col>
                    <xdr:colOff>412750</xdr:colOff>
                    <xdr:row>13</xdr:row>
                    <xdr:rowOff>228600</xdr:rowOff>
                  </to>
                </anchor>
              </controlPr>
            </control>
          </mc:Choice>
        </mc:AlternateContent>
        <mc:AlternateContent xmlns:mc="http://schemas.openxmlformats.org/markup-compatibility/2006">
          <mc:Choice Requires="x14">
            <control shapeId="86024" r:id="rId11" name="Option Button 8">
              <controlPr defaultSize="0" autoFill="0" autoLine="0" autoPict="0">
                <anchor moveWithCells="1">
                  <from>
                    <xdr:col>5</xdr:col>
                    <xdr:colOff>222250</xdr:colOff>
                    <xdr:row>13</xdr:row>
                    <xdr:rowOff>19050</xdr:rowOff>
                  </from>
                  <to>
                    <xdr:col>5</xdr:col>
                    <xdr:colOff>412750</xdr:colOff>
                    <xdr:row>13</xdr:row>
                    <xdr:rowOff>228600</xdr:rowOff>
                  </to>
                </anchor>
              </controlPr>
            </control>
          </mc:Choice>
        </mc:AlternateContent>
        <mc:AlternateContent xmlns:mc="http://schemas.openxmlformats.org/markup-compatibility/2006">
          <mc:Choice Requires="x14">
            <control shapeId="86025" r:id="rId12" name="Option Button 9">
              <controlPr defaultSize="0" autoFill="0" autoLine="0" autoPict="0">
                <anchor moveWithCells="1">
                  <from>
                    <xdr:col>6</xdr:col>
                    <xdr:colOff>222250</xdr:colOff>
                    <xdr:row>13</xdr:row>
                    <xdr:rowOff>19050</xdr:rowOff>
                  </from>
                  <to>
                    <xdr:col>6</xdr:col>
                    <xdr:colOff>412750</xdr:colOff>
                    <xdr:row>13</xdr:row>
                    <xdr:rowOff>228600</xdr:rowOff>
                  </to>
                </anchor>
              </controlPr>
            </control>
          </mc:Choice>
        </mc:AlternateContent>
        <mc:AlternateContent xmlns:mc="http://schemas.openxmlformats.org/markup-compatibility/2006">
          <mc:Choice Requires="x14">
            <control shapeId="86026" r:id="rId13" name="Option Button 10">
              <controlPr defaultSize="0" autoFill="0" autoLine="0" autoPict="0">
                <anchor moveWithCells="1">
                  <from>
                    <xdr:col>3</xdr:col>
                    <xdr:colOff>222250</xdr:colOff>
                    <xdr:row>14</xdr:row>
                    <xdr:rowOff>19050</xdr:rowOff>
                  </from>
                  <to>
                    <xdr:col>3</xdr:col>
                    <xdr:colOff>412750</xdr:colOff>
                    <xdr:row>14</xdr:row>
                    <xdr:rowOff>228600</xdr:rowOff>
                  </to>
                </anchor>
              </controlPr>
            </control>
          </mc:Choice>
        </mc:AlternateContent>
        <mc:AlternateContent xmlns:mc="http://schemas.openxmlformats.org/markup-compatibility/2006">
          <mc:Choice Requires="x14">
            <control shapeId="86027" r:id="rId14" name="Option Button 11">
              <controlPr defaultSize="0" autoFill="0" autoLine="0" autoPict="0">
                <anchor moveWithCells="1">
                  <from>
                    <xdr:col>4</xdr:col>
                    <xdr:colOff>222250</xdr:colOff>
                    <xdr:row>14</xdr:row>
                    <xdr:rowOff>19050</xdr:rowOff>
                  </from>
                  <to>
                    <xdr:col>4</xdr:col>
                    <xdr:colOff>412750</xdr:colOff>
                    <xdr:row>14</xdr:row>
                    <xdr:rowOff>228600</xdr:rowOff>
                  </to>
                </anchor>
              </controlPr>
            </control>
          </mc:Choice>
        </mc:AlternateContent>
        <mc:AlternateContent xmlns:mc="http://schemas.openxmlformats.org/markup-compatibility/2006">
          <mc:Choice Requires="x14">
            <control shapeId="86028" r:id="rId15" name="Option Button 12">
              <controlPr defaultSize="0" autoFill="0" autoLine="0" autoPict="0">
                <anchor moveWithCells="1">
                  <from>
                    <xdr:col>5</xdr:col>
                    <xdr:colOff>222250</xdr:colOff>
                    <xdr:row>14</xdr:row>
                    <xdr:rowOff>19050</xdr:rowOff>
                  </from>
                  <to>
                    <xdr:col>5</xdr:col>
                    <xdr:colOff>412750</xdr:colOff>
                    <xdr:row>14</xdr:row>
                    <xdr:rowOff>228600</xdr:rowOff>
                  </to>
                </anchor>
              </controlPr>
            </control>
          </mc:Choice>
        </mc:AlternateContent>
        <mc:AlternateContent xmlns:mc="http://schemas.openxmlformats.org/markup-compatibility/2006">
          <mc:Choice Requires="x14">
            <control shapeId="86029" r:id="rId16" name="Option Button 13">
              <controlPr defaultSize="0" autoFill="0" autoLine="0" autoPict="0">
                <anchor moveWithCells="1">
                  <from>
                    <xdr:col>6</xdr:col>
                    <xdr:colOff>222250</xdr:colOff>
                    <xdr:row>14</xdr:row>
                    <xdr:rowOff>19050</xdr:rowOff>
                  </from>
                  <to>
                    <xdr:col>6</xdr:col>
                    <xdr:colOff>412750</xdr:colOff>
                    <xdr:row>14</xdr:row>
                    <xdr:rowOff>228600</xdr:rowOff>
                  </to>
                </anchor>
              </controlPr>
            </control>
          </mc:Choice>
        </mc:AlternateContent>
        <mc:AlternateContent xmlns:mc="http://schemas.openxmlformats.org/markup-compatibility/2006">
          <mc:Choice Requires="x14">
            <control shapeId="86030" r:id="rId17" name="Option Button 14">
              <controlPr defaultSize="0" autoFill="0" autoLine="0" autoPict="0">
                <anchor moveWithCells="1">
                  <from>
                    <xdr:col>3</xdr:col>
                    <xdr:colOff>222250</xdr:colOff>
                    <xdr:row>15</xdr:row>
                    <xdr:rowOff>19050</xdr:rowOff>
                  </from>
                  <to>
                    <xdr:col>3</xdr:col>
                    <xdr:colOff>412750</xdr:colOff>
                    <xdr:row>15</xdr:row>
                    <xdr:rowOff>228600</xdr:rowOff>
                  </to>
                </anchor>
              </controlPr>
            </control>
          </mc:Choice>
        </mc:AlternateContent>
        <mc:AlternateContent xmlns:mc="http://schemas.openxmlformats.org/markup-compatibility/2006">
          <mc:Choice Requires="x14">
            <control shapeId="86031" r:id="rId18" name="Option Button 15">
              <controlPr defaultSize="0" autoFill="0" autoLine="0" autoPict="0">
                <anchor moveWithCells="1">
                  <from>
                    <xdr:col>4</xdr:col>
                    <xdr:colOff>222250</xdr:colOff>
                    <xdr:row>15</xdr:row>
                    <xdr:rowOff>19050</xdr:rowOff>
                  </from>
                  <to>
                    <xdr:col>4</xdr:col>
                    <xdr:colOff>412750</xdr:colOff>
                    <xdr:row>15</xdr:row>
                    <xdr:rowOff>228600</xdr:rowOff>
                  </to>
                </anchor>
              </controlPr>
            </control>
          </mc:Choice>
        </mc:AlternateContent>
        <mc:AlternateContent xmlns:mc="http://schemas.openxmlformats.org/markup-compatibility/2006">
          <mc:Choice Requires="x14">
            <control shapeId="86032" r:id="rId19" name="Option Button 16">
              <controlPr defaultSize="0" autoFill="0" autoLine="0" autoPict="0">
                <anchor moveWithCells="1">
                  <from>
                    <xdr:col>5</xdr:col>
                    <xdr:colOff>222250</xdr:colOff>
                    <xdr:row>15</xdr:row>
                    <xdr:rowOff>19050</xdr:rowOff>
                  </from>
                  <to>
                    <xdr:col>5</xdr:col>
                    <xdr:colOff>412750</xdr:colOff>
                    <xdr:row>15</xdr:row>
                    <xdr:rowOff>228600</xdr:rowOff>
                  </to>
                </anchor>
              </controlPr>
            </control>
          </mc:Choice>
        </mc:AlternateContent>
        <mc:AlternateContent xmlns:mc="http://schemas.openxmlformats.org/markup-compatibility/2006">
          <mc:Choice Requires="x14">
            <control shapeId="86033" r:id="rId20" name="Option Button 17">
              <controlPr defaultSize="0" autoFill="0" autoLine="0" autoPict="0">
                <anchor moveWithCells="1">
                  <from>
                    <xdr:col>6</xdr:col>
                    <xdr:colOff>222250</xdr:colOff>
                    <xdr:row>15</xdr:row>
                    <xdr:rowOff>19050</xdr:rowOff>
                  </from>
                  <to>
                    <xdr:col>6</xdr:col>
                    <xdr:colOff>412750</xdr:colOff>
                    <xdr:row>15</xdr:row>
                    <xdr:rowOff>228600</xdr:rowOff>
                  </to>
                </anchor>
              </controlPr>
            </control>
          </mc:Choice>
        </mc:AlternateContent>
        <mc:AlternateContent xmlns:mc="http://schemas.openxmlformats.org/markup-compatibility/2006">
          <mc:Choice Requires="x14">
            <control shapeId="86034" r:id="rId21" name="Option Button 18">
              <controlPr defaultSize="0" autoFill="0" autoLine="0" autoPict="0">
                <anchor moveWithCells="1">
                  <from>
                    <xdr:col>3</xdr:col>
                    <xdr:colOff>222250</xdr:colOff>
                    <xdr:row>16</xdr:row>
                    <xdr:rowOff>19050</xdr:rowOff>
                  </from>
                  <to>
                    <xdr:col>3</xdr:col>
                    <xdr:colOff>412750</xdr:colOff>
                    <xdr:row>16</xdr:row>
                    <xdr:rowOff>228600</xdr:rowOff>
                  </to>
                </anchor>
              </controlPr>
            </control>
          </mc:Choice>
        </mc:AlternateContent>
        <mc:AlternateContent xmlns:mc="http://schemas.openxmlformats.org/markup-compatibility/2006">
          <mc:Choice Requires="x14">
            <control shapeId="86035" r:id="rId22" name="Option Button 19">
              <controlPr defaultSize="0" autoFill="0" autoLine="0" autoPict="0">
                <anchor moveWithCells="1">
                  <from>
                    <xdr:col>4</xdr:col>
                    <xdr:colOff>222250</xdr:colOff>
                    <xdr:row>16</xdr:row>
                    <xdr:rowOff>19050</xdr:rowOff>
                  </from>
                  <to>
                    <xdr:col>4</xdr:col>
                    <xdr:colOff>412750</xdr:colOff>
                    <xdr:row>16</xdr:row>
                    <xdr:rowOff>228600</xdr:rowOff>
                  </to>
                </anchor>
              </controlPr>
            </control>
          </mc:Choice>
        </mc:AlternateContent>
        <mc:AlternateContent xmlns:mc="http://schemas.openxmlformats.org/markup-compatibility/2006">
          <mc:Choice Requires="x14">
            <control shapeId="86036" r:id="rId23" name="Option Button 20">
              <controlPr defaultSize="0" autoFill="0" autoLine="0" autoPict="0">
                <anchor moveWithCells="1">
                  <from>
                    <xdr:col>5</xdr:col>
                    <xdr:colOff>222250</xdr:colOff>
                    <xdr:row>16</xdr:row>
                    <xdr:rowOff>19050</xdr:rowOff>
                  </from>
                  <to>
                    <xdr:col>5</xdr:col>
                    <xdr:colOff>412750</xdr:colOff>
                    <xdr:row>16</xdr:row>
                    <xdr:rowOff>228600</xdr:rowOff>
                  </to>
                </anchor>
              </controlPr>
            </control>
          </mc:Choice>
        </mc:AlternateContent>
        <mc:AlternateContent xmlns:mc="http://schemas.openxmlformats.org/markup-compatibility/2006">
          <mc:Choice Requires="x14">
            <control shapeId="86037" r:id="rId24" name="Option Button 21">
              <controlPr defaultSize="0" autoFill="0" autoLine="0" autoPict="0">
                <anchor moveWithCells="1">
                  <from>
                    <xdr:col>6</xdr:col>
                    <xdr:colOff>222250</xdr:colOff>
                    <xdr:row>16</xdr:row>
                    <xdr:rowOff>19050</xdr:rowOff>
                  </from>
                  <to>
                    <xdr:col>6</xdr:col>
                    <xdr:colOff>412750</xdr:colOff>
                    <xdr:row>16</xdr:row>
                    <xdr:rowOff>228600</xdr:rowOff>
                  </to>
                </anchor>
              </controlPr>
            </control>
          </mc:Choice>
        </mc:AlternateContent>
        <mc:AlternateContent xmlns:mc="http://schemas.openxmlformats.org/markup-compatibility/2006">
          <mc:Choice Requires="x14">
            <control shapeId="86038" r:id="rId25" name="Option Button 22">
              <controlPr defaultSize="0" autoFill="0" autoLine="0" autoPict="0">
                <anchor moveWithCells="1">
                  <from>
                    <xdr:col>3</xdr:col>
                    <xdr:colOff>222250</xdr:colOff>
                    <xdr:row>17</xdr:row>
                    <xdr:rowOff>19050</xdr:rowOff>
                  </from>
                  <to>
                    <xdr:col>3</xdr:col>
                    <xdr:colOff>412750</xdr:colOff>
                    <xdr:row>17</xdr:row>
                    <xdr:rowOff>228600</xdr:rowOff>
                  </to>
                </anchor>
              </controlPr>
            </control>
          </mc:Choice>
        </mc:AlternateContent>
        <mc:AlternateContent xmlns:mc="http://schemas.openxmlformats.org/markup-compatibility/2006">
          <mc:Choice Requires="x14">
            <control shapeId="86039" r:id="rId26" name="Option Button 23">
              <controlPr defaultSize="0" autoFill="0" autoLine="0" autoPict="0">
                <anchor moveWithCells="1">
                  <from>
                    <xdr:col>4</xdr:col>
                    <xdr:colOff>222250</xdr:colOff>
                    <xdr:row>17</xdr:row>
                    <xdr:rowOff>19050</xdr:rowOff>
                  </from>
                  <to>
                    <xdr:col>4</xdr:col>
                    <xdr:colOff>412750</xdr:colOff>
                    <xdr:row>17</xdr:row>
                    <xdr:rowOff>228600</xdr:rowOff>
                  </to>
                </anchor>
              </controlPr>
            </control>
          </mc:Choice>
        </mc:AlternateContent>
        <mc:AlternateContent xmlns:mc="http://schemas.openxmlformats.org/markup-compatibility/2006">
          <mc:Choice Requires="x14">
            <control shapeId="86040" r:id="rId27" name="Option Button 24">
              <controlPr defaultSize="0" autoFill="0" autoLine="0" autoPict="0">
                <anchor moveWithCells="1">
                  <from>
                    <xdr:col>5</xdr:col>
                    <xdr:colOff>222250</xdr:colOff>
                    <xdr:row>17</xdr:row>
                    <xdr:rowOff>19050</xdr:rowOff>
                  </from>
                  <to>
                    <xdr:col>5</xdr:col>
                    <xdr:colOff>412750</xdr:colOff>
                    <xdr:row>17</xdr:row>
                    <xdr:rowOff>228600</xdr:rowOff>
                  </to>
                </anchor>
              </controlPr>
            </control>
          </mc:Choice>
        </mc:AlternateContent>
        <mc:AlternateContent xmlns:mc="http://schemas.openxmlformats.org/markup-compatibility/2006">
          <mc:Choice Requires="x14">
            <control shapeId="86041" r:id="rId28" name="Option Button 25">
              <controlPr defaultSize="0" autoFill="0" autoLine="0" autoPict="0">
                <anchor moveWithCells="1">
                  <from>
                    <xdr:col>6</xdr:col>
                    <xdr:colOff>222250</xdr:colOff>
                    <xdr:row>17</xdr:row>
                    <xdr:rowOff>19050</xdr:rowOff>
                  </from>
                  <to>
                    <xdr:col>6</xdr:col>
                    <xdr:colOff>412750</xdr:colOff>
                    <xdr:row>17</xdr:row>
                    <xdr:rowOff>228600</xdr:rowOff>
                  </to>
                </anchor>
              </controlPr>
            </control>
          </mc:Choice>
        </mc:AlternateContent>
        <mc:AlternateContent xmlns:mc="http://schemas.openxmlformats.org/markup-compatibility/2006">
          <mc:Choice Requires="x14">
            <control shapeId="86042" r:id="rId29" name="Option Button 26">
              <controlPr defaultSize="0" autoFill="0" autoLine="0" autoPict="0">
                <anchor moveWithCells="1">
                  <from>
                    <xdr:col>3</xdr:col>
                    <xdr:colOff>222250</xdr:colOff>
                    <xdr:row>18</xdr:row>
                    <xdr:rowOff>19050</xdr:rowOff>
                  </from>
                  <to>
                    <xdr:col>3</xdr:col>
                    <xdr:colOff>412750</xdr:colOff>
                    <xdr:row>18</xdr:row>
                    <xdr:rowOff>228600</xdr:rowOff>
                  </to>
                </anchor>
              </controlPr>
            </control>
          </mc:Choice>
        </mc:AlternateContent>
        <mc:AlternateContent xmlns:mc="http://schemas.openxmlformats.org/markup-compatibility/2006">
          <mc:Choice Requires="x14">
            <control shapeId="86043" r:id="rId30" name="Option Button 27">
              <controlPr defaultSize="0" autoFill="0" autoLine="0" autoPict="0">
                <anchor moveWithCells="1">
                  <from>
                    <xdr:col>4</xdr:col>
                    <xdr:colOff>222250</xdr:colOff>
                    <xdr:row>18</xdr:row>
                    <xdr:rowOff>19050</xdr:rowOff>
                  </from>
                  <to>
                    <xdr:col>4</xdr:col>
                    <xdr:colOff>412750</xdr:colOff>
                    <xdr:row>18</xdr:row>
                    <xdr:rowOff>228600</xdr:rowOff>
                  </to>
                </anchor>
              </controlPr>
            </control>
          </mc:Choice>
        </mc:AlternateContent>
        <mc:AlternateContent xmlns:mc="http://schemas.openxmlformats.org/markup-compatibility/2006">
          <mc:Choice Requires="x14">
            <control shapeId="86044" r:id="rId31" name="Option Button 28">
              <controlPr defaultSize="0" autoFill="0" autoLine="0" autoPict="0">
                <anchor moveWithCells="1">
                  <from>
                    <xdr:col>5</xdr:col>
                    <xdr:colOff>222250</xdr:colOff>
                    <xdr:row>18</xdr:row>
                    <xdr:rowOff>19050</xdr:rowOff>
                  </from>
                  <to>
                    <xdr:col>5</xdr:col>
                    <xdr:colOff>412750</xdr:colOff>
                    <xdr:row>18</xdr:row>
                    <xdr:rowOff>228600</xdr:rowOff>
                  </to>
                </anchor>
              </controlPr>
            </control>
          </mc:Choice>
        </mc:AlternateContent>
        <mc:AlternateContent xmlns:mc="http://schemas.openxmlformats.org/markup-compatibility/2006">
          <mc:Choice Requires="x14">
            <control shapeId="86045" r:id="rId32" name="Option Button 29">
              <controlPr defaultSize="0" autoFill="0" autoLine="0" autoPict="0">
                <anchor moveWithCells="1">
                  <from>
                    <xdr:col>6</xdr:col>
                    <xdr:colOff>222250</xdr:colOff>
                    <xdr:row>18</xdr:row>
                    <xdr:rowOff>19050</xdr:rowOff>
                  </from>
                  <to>
                    <xdr:col>6</xdr:col>
                    <xdr:colOff>412750</xdr:colOff>
                    <xdr:row>18</xdr:row>
                    <xdr:rowOff>228600</xdr:rowOff>
                  </to>
                </anchor>
              </controlPr>
            </control>
          </mc:Choice>
        </mc:AlternateContent>
        <mc:AlternateContent xmlns:mc="http://schemas.openxmlformats.org/markup-compatibility/2006">
          <mc:Choice Requires="x14">
            <control shapeId="86046" r:id="rId33" name="Option Button 30">
              <controlPr defaultSize="0" autoFill="0" autoLine="0" autoPict="0">
                <anchor moveWithCells="1">
                  <from>
                    <xdr:col>3</xdr:col>
                    <xdr:colOff>222250</xdr:colOff>
                    <xdr:row>19</xdr:row>
                    <xdr:rowOff>19050</xdr:rowOff>
                  </from>
                  <to>
                    <xdr:col>3</xdr:col>
                    <xdr:colOff>412750</xdr:colOff>
                    <xdr:row>19</xdr:row>
                    <xdr:rowOff>228600</xdr:rowOff>
                  </to>
                </anchor>
              </controlPr>
            </control>
          </mc:Choice>
        </mc:AlternateContent>
        <mc:AlternateContent xmlns:mc="http://schemas.openxmlformats.org/markup-compatibility/2006">
          <mc:Choice Requires="x14">
            <control shapeId="86047" r:id="rId34" name="Option Button 31">
              <controlPr defaultSize="0" autoFill="0" autoLine="0" autoPict="0">
                <anchor moveWithCells="1">
                  <from>
                    <xdr:col>4</xdr:col>
                    <xdr:colOff>222250</xdr:colOff>
                    <xdr:row>19</xdr:row>
                    <xdr:rowOff>19050</xdr:rowOff>
                  </from>
                  <to>
                    <xdr:col>4</xdr:col>
                    <xdr:colOff>412750</xdr:colOff>
                    <xdr:row>19</xdr:row>
                    <xdr:rowOff>228600</xdr:rowOff>
                  </to>
                </anchor>
              </controlPr>
            </control>
          </mc:Choice>
        </mc:AlternateContent>
        <mc:AlternateContent xmlns:mc="http://schemas.openxmlformats.org/markup-compatibility/2006">
          <mc:Choice Requires="x14">
            <control shapeId="86048" r:id="rId35" name="Option Button 32">
              <controlPr defaultSize="0" autoFill="0" autoLine="0" autoPict="0">
                <anchor moveWithCells="1">
                  <from>
                    <xdr:col>5</xdr:col>
                    <xdr:colOff>222250</xdr:colOff>
                    <xdr:row>19</xdr:row>
                    <xdr:rowOff>19050</xdr:rowOff>
                  </from>
                  <to>
                    <xdr:col>5</xdr:col>
                    <xdr:colOff>412750</xdr:colOff>
                    <xdr:row>19</xdr:row>
                    <xdr:rowOff>228600</xdr:rowOff>
                  </to>
                </anchor>
              </controlPr>
            </control>
          </mc:Choice>
        </mc:AlternateContent>
        <mc:AlternateContent xmlns:mc="http://schemas.openxmlformats.org/markup-compatibility/2006">
          <mc:Choice Requires="x14">
            <control shapeId="86049" r:id="rId36" name="Option Button 33">
              <controlPr defaultSize="0" autoFill="0" autoLine="0" autoPict="0">
                <anchor moveWithCells="1">
                  <from>
                    <xdr:col>6</xdr:col>
                    <xdr:colOff>222250</xdr:colOff>
                    <xdr:row>19</xdr:row>
                    <xdr:rowOff>19050</xdr:rowOff>
                  </from>
                  <to>
                    <xdr:col>6</xdr:col>
                    <xdr:colOff>412750</xdr:colOff>
                    <xdr:row>19</xdr:row>
                    <xdr:rowOff>228600</xdr:rowOff>
                  </to>
                </anchor>
              </controlPr>
            </control>
          </mc:Choice>
        </mc:AlternateContent>
        <mc:AlternateContent xmlns:mc="http://schemas.openxmlformats.org/markup-compatibility/2006">
          <mc:Choice Requires="x14">
            <control shapeId="86050" r:id="rId37" name="Option Button 34">
              <controlPr defaultSize="0" autoFill="0" autoLine="0" autoPict="0">
                <anchor moveWithCells="1">
                  <from>
                    <xdr:col>3</xdr:col>
                    <xdr:colOff>222250</xdr:colOff>
                    <xdr:row>20</xdr:row>
                    <xdr:rowOff>19050</xdr:rowOff>
                  </from>
                  <to>
                    <xdr:col>3</xdr:col>
                    <xdr:colOff>412750</xdr:colOff>
                    <xdr:row>20</xdr:row>
                    <xdr:rowOff>228600</xdr:rowOff>
                  </to>
                </anchor>
              </controlPr>
            </control>
          </mc:Choice>
        </mc:AlternateContent>
        <mc:AlternateContent xmlns:mc="http://schemas.openxmlformats.org/markup-compatibility/2006">
          <mc:Choice Requires="x14">
            <control shapeId="86051" r:id="rId38" name="Option Button 35">
              <controlPr defaultSize="0" autoFill="0" autoLine="0" autoPict="0">
                <anchor moveWithCells="1">
                  <from>
                    <xdr:col>4</xdr:col>
                    <xdr:colOff>222250</xdr:colOff>
                    <xdr:row>20</xdr:row>
                    <xdr:rowOff>19050</xdr:rowOff>
                  </from>
                  <to>
                    <xdr:col>4</xdr:col>
                    <xdr:colOff>412750</xdr:colOff>
                    <xdr:row>20</xdr:row>
                    <xdr:rowOff>228600</xdr:rowOff>
                  </to>
                </anchor>
              </controlPr>
            </control>
          </mc:Choice>
        </mc:AlternateContent>
        <mc:AlternateContent xmlns:mc="http://schemas.openxmlformats.org/markup-compatibility/2006">
          <mc:Choice Requires="x14">
            <control shapeId="86052" r:id="rId39" name="Option Button 36">
              <controlPr defaultSize="0" autoFill="0" autoLine="0" autoPict="0">
                <anchor moveWithCells="1">
                  <from>
                    <xdr:col>5</xdr:col>
                    <xdr:colOff>222250</xdr:colOff>
                    <xdr:row>20</xdr:row>
                    <xdr:rowOff>19050</xdr:rowOff>
                  </from>
                  <to>
                    <xdr:col>5</xdr:col>
                    <xdr:colOff>412750</xdr:colOff>
                    <xdr:row>20</xdr:row>
                    <xdr:rowOff>228600</xdr:rowOff>
                  </to>
                </anchor>
              </controlPr>
            </control>
          </mc:Choice>
        </mc:AlternateContent>
        <mc:AlternateContent xmlns:mc="http://schemas.openxmlformats.org/markup-compatibility/2006">
          <mc:Choice Requires="x14">
            <control shapeId="86053" r:id="rId40" name="Option Button 37">
              <controlPr defaultSize="0" autoFill="0" autoLine="0" autoPict="0">
                <anchor moveWithCells="1">
                  <from>
                    <xdr:col>6</xdr:col>
                    <xdr:colOff>222250</xdr:colOff>
                    <xdr:row>20</xdr:row>
                    <xdr:rowOff>19050</xdr:rowOff>
                  </from>
                  <to>
                    <xdr:col>6</xdr:col>
                    <xdr:colOff>412750</xdr:colOff>
                    <xdr:row>20</xdr:row>
                    <xdr:rowOff>228600</xdr:rowOff>
                  </to>
                </anchor>
              </controlPr>
            </control>
          </mc:Choice>
        </mc:AlternateContent>
        <mc:AlternateContent xmlns:mc="http://schemas.openxmlformats.org/markup-compatibility/2006">
          <mc:Choice Requires="x14">
            <control shapeId="86054" r:id="rId41" name="Option Button 38">
              <controlPr defaultSize="0" autoFill="0" autoLine="0" autoPict="0">
                <anchor moveWithCells="1">
                  <from>
                    <xdr:col>3</xdr:col>
                    <xdr:colOff>222250</xdr:colOff>
                    <xdr:row>21</xdr:row>
                    <xdr:rowOff>19050</xdr:rowOff>
                  </from>
                  <to>
                    <xdr:col>3</xdr:col>
                    <xdr:colOff>412750</xdr:colOff>
                    <xdr:row>21</xdr:row>
                    <xdr:rowOff>228600</xdr:rowOff>
                  </to>
                </anchor>
              </controlPr>
            </control>
          </mc:Choice>
        </mc:AlternateContent>
        <mc:AlternateContent xmlns:mc="http://schemas.openxmlformats.org/markup-compatibility/2006">
          <mc:Choice Requires="x14">
            <control shapeId="86055" r:id="rId42" name="Option Button 39">
              <controlPr defaultSize="0" autoFill="0" autoLine="0" autoPict="0">
                <anchor moveWithCells="1">
                  <from>
                    <xdr:col>4</xdr:col>
                    <xdr:colOff>222250</xdr:colOff>
                    <xdr:row>21</xdr:row>
                    <xdr:rowOff>19050</xdr:rowOff>
                  </from>
                  <to>
                    <xdr:col>4</xdr:col>
                    <xdr:colOff>412750</xdr:colOff>
                    <xdr:row>21</xdr:row>
                    <xdr:rowOff>228600</xdr:rowOff>
                  </to>
                </anchor>
              </controlPr>
            </control>
          </mc:Choice>
        </mc:AlternateContent>
        <mc:AlternateContent xmlns:mc="http://schemas.openxmlformats.org/markup-compatibility/2006">
          <mc:Choice Requires="x14">
            <control shapeId="86056" r:id="rId43" name="Option Button 40">
              <controlPr defaultSize="0" autoFill="0" autoLine="0" autoPict="0">
                <anchor moveWithCells="1">
                  <from>
                    <xdr:col>5</xdr:col>
                    <xdr:colOff>222250</xdr:colOff>
                    <xdr:row>21</xdr:row>
                    <xdr:rowOff>19050</xdr:rowOff>
                  </from>
                  <to>
                    <xdr:col>5</xdr:col>
                    <xdr:colOff>412750</xdr:colOff>
                    <xdr:row>21</xdr:row>
                    <xdr:rowOff>228600</xdr:rowOff>
                  </to>
                </anchor>
              </controlPr>
            </control>
          </mc:Choice>
        </mc:AlternateContent>
        <mc:AlternateContent xmlns:mc="http://schemas.openxmlformats.org/markup-compatibility/2006">
          <mc:Choice Requires="x14">
            <control shapeId="86057" r:id="rId44" name="Option Button 41">
              <controlPr defaultSize="0" autoFill="0" autoLine="0" autoPict="0">
                <anchor moveWithCells="1">
                  <from>
                    <xdr:col>6</xdr:col>
                    <xdr:colOff>222250</xdr:colOff>
                    <xdr:row>21</xdr:row>
                    <xdr:rowOff>19050</xdr:rowOff>
                  </from>
                  <to>
                    <xdr:col>6</xdr:col>
                    <xdr:colOff>412750</xdr:colOff>
                    <xdr:row>21</xdr:row>
                    <xdr:rowOff>228600</xdr:rowOff>
                  </to>
                </anchor>
              </controlPr>
            </control>
          </mc:Choice>
        </mc:AlternateContent>
        <mc:AlternateContent xmlns:mc="http://schemas.openxmlformats.org/markup-compatibility/2006">
          <mc:Choice Requires="x14">
            <control shapeId="86058" r:id="rId45" name="Option Button 42">
              <controlPr defaultSize="0" autoFill="0" autoLine="0" autoPict="0">
                <anchor moveWithCells="1">
                  <from>
                    <xdr:col>3</xdr:col>
                    <xdr:colOff>222250</xdr:colOff>
                    <xdr:row>22</xdr:row>
                    <xdr:rowOff>19050</xdr:rowOff>
                  </from>
                  <to>
                    <xdr:col>3</xdr:col>
                    <xdr:colOff>412750</xdr:colOff>
                    <xdr:row>22</xdr:row>
                    <xdr:rowOff>228600</xdr:rowOff>
                  </to>
                </anchor>
              </controlPr>
            </control>
          </mc:Choice>
        </mc:AlternateContent>
        <mc:AlternateContent xmlns:mc="http://schemas.openxmlformats.org/markup-compatibility/2006">
          <mc:Choice Requires="x14">
            <control shapeId="86059" r:id="rId46" name="Option Button 43">
              <controlPr defaultSize="0" autoFill="0" autoLine="0" autoPict="0">
                <anchor moveWithCells="1">
                  <from>
                    <xdr:col>4</xdr:col>
                    <xdr:colOff>222250</xdr:colOff>
                    <xdr:row>22</xdr:row>
                    <xdr:rowOff>19050</xdr:rowOff>
                  </from>
                  <to>
                    <xdr:col>4</xdr:col>
                    <xdr:colOff>412750</xdr:colOff>
                    <xdr:row>22</xdr:row>
                    <xdr:rowOff>228600</xdr:rowOff>
                  </to>
                </anchor>
              </controlPr>
            </control>
          </mc:Choice>
        </mc:AlternateContent>
        <mc:AlternateContent xmlns:mc="http://schemas.openxmlformats.org/markup-compatibility/2006">
          <mc:Choice Requires="x14">
            <control shapeId="86060" r:id="rId47" name="Option Button 44">
              <controlPr defaultSize="0" autoFill="0" autoLine="0" autoPict="0">
                <anchor moveWithCells="1">
                  <from>
                    <xdr:col>5</xdr:col>
                    <xdr:colOff>222250</xdr:colOff>
                    <xdr:row>22</xdr:row>
                    <xdr:rowOff>19050</xdr:rowOff>
                  </from>
                  <to>
                    <xdr:col>5</xdr:col>
                    <xdr:colOff>412750</xdr:colOff>
                    <xdr:row>22</xdr:row>
                    <xdr:rowOff>228600</xdr:rowOff>
                  </to>
                </anchor>
              </controlPr>
            </control>
          </mc:Choice>
        </mc:AlternateContent>
        <mc:AlternateContent xmlns:mc="http://schemas.openxmlformats.org/markup-compatibility/2006">
          <mc:Choice Requires="x14">
            <control shapeId="86061" r:id="rId48" name="Option Button 45">
              <controlPr defaultSize="0" autoFill="0" autoLine="0" autoPict="0">
                <anchor moveWithCells="1">
                  <from>
                    <xdr:col>6</xdr:col>
                    <xdr:colOff>222250</xdr:colOff>
                    <xdr:row>22</xdr:row>
                    <xdr:rowOff>19050</xdr:rowOff>
                  </from>
                  <to>
                    <xdr:col>6</xdr:col>
                    <xdr:colOff>412750</xdr:colOff>
                    <xdr:row>22</xdr:row>
                    <xdr:rowOff>228600</xdr:rowOff>
                  </to>
                </anchor>
              </controlPr>
            </control>
          </mc:Choice>
        </mc:AlternateContent>
        <mc:AlternateContent xmlns:mc="http://schemas.openxmlformats.org/markup-compatibility/2006">
          <mc:Choice Requires="x14">
            <control shapeId="86062" r:id="rId49" name="Option Button 46">
              <controlPr defaultSize="0" autoFill="0" autoLine="0" autoPict="0">
                <anchor moveWithCells="1">
                  <from>
                    <xdr:col>3</xdr:col>
                    <xdr:colOff>222250</xdr:colOff>
                    <xdr:row>23</xdr:row>
                    <xdr:rowOff>19050</xdr:rowOff>
                  </from>
                  <to>
                    <xdr:col>3</xdr:col>
                    <xdr:colOff>412750</xdr:colOff>
                    <xdr:row>23</xdr:row>
                    <xdr:rowOff>228600</xdr:rowOff>
                  </to>
                </anchor>
              </controlPr>
            </control>
          </mc:Choice>
        </mc:AlternateContent>
        <mc:AlternateContent xmlns:mc="http://schemas.openxmlformats.org/markup-compatibility/2006">
          <mc:Choice Requires="x14">
            <control shapeId="86063" r:id="rId50" name="Option Button 47">
              <controlPr defaultSize="0" autoFill="0" autoLine="0" autoPict="0">
                <anchor moveWithCells="1">
                  <from>
                    <xdr:col>4</xdr:col>
                    <xdr:colOff>222250</xdr:colOff>
                    <xdr:row>23</xdr:row>
                    <xdr:rowOff>19050</xdr:rowOff>
                  </from>
                  <to>
                    <xdr:col>4</xdr:col>
                    <xdr:colOff>412750</xdr:colOff>
                    <xdr:row>23</xdr:row>
                    <xdr:rowOff>228600</xdr:rowOff>
                  </to>
                </anchor>
              </controlPr>
            </control>
          </mc:Choice>
        </mc:AlternateContent>
        <mc:AlternateContent xmlns:mc="http://schemas.openxmlformats.org/markup-compatibility/2006">
          <mc:Choice Requires="x14">
            <control shapeId="86064" r:id="rId51" name="Option Button 48">
              <controlPr defaultSize="0" autoFill="0" autoLine="0" autoPict="0">
                <anchor moveWithCells="1">
                  <from>
                    <xdr:col>5</xdr:col>
                    <xdr:colOff>222250</xdr:colOff>
                    <xdr:row>23</xdr:row>
                    <xdr:rowOff>19050</xdr:rowOff>
                  </from>
                  <to>
                    <xdr:col>5</xdr:col>
                    <xdr:colOff>412750</xdr:colOff>
                    <xdr:row>23</xdr:row>
                    <xdr:rowOff>228600</xdr:rowOff>
                  </to>
                </anchor>
              </controlPr>
            </control>
          </mc:Choice>
        </mc:AlternateContent>
        <mc:AlternateContent xmlns:mc="http://schemas.openxmlformats.org/markup-compatibility/2006">
          <mc:Choice Requires="x14">
            <control shapeId="86065" r:id="rId52" name="Option Button 49">
              <controlPr defaultSize="0" autoFill="0" autoLine="0" autoPict="0">
                <anchor moveWithCells="1">
                  <from>
                    <xdr:col>6</xdr:col>
                    <xdr:colOff>222250</xdr:colOff>
                    <xdr:row>23</xdr:row>
                    <xdr:rowOff>19050</xdr:rowOff>
                  </from>
                  <to>
                    <xdr:col>6</xdr:col>
                    <xdr:colOff>412750</xdr:colOff>
                    <xdr:row>23</xdr:row>
                    <xdr:rowOff>228600</xdr:rowOff>
                  </to>
                </anchor>
              </controlPr>
            </control>
          </mc:Choice>
        </mc:AlternateContent>
        <mc:AlternateContent xmlns:mc="http://schemas.openxmlformats.org/markup-compatibility/2006">
          <mc:Choice Requires="x14">
            <control shapeId="86066" r:id="rId53" name="Option Button 50">
              <controlPr defaultSize="0" autoFill="0" autoLine="0" autoPict="0">
                <anchor moveWithCells="1">
                  <from>
                    <xdr:col>3</xdr:col>
                    <xdr:colOff>222250</xdr:colOff>
                    <xdr:row>24</xdr:row>
                    <xdr:rowOff>19050</xdr:rowOff>
                  </from>
                  <to>
                    <xdr:col>3</xdr:col>
                    <xdr:colOff>412750</xdr:colOff>
                    <xdr:row>24</xdr:row>
                    <xdr:rowOff>228600</xdr:rowOff>
                  </to>
                </anchor>
              </controlPr>
            </control>
          </mc:Choice>
        </mc:AlternateContent>
        <mc:AlternateContent xmlns:mc="http://schemas.openxmlformats.org/markup-compatibility/2006">
          <mc:Choice Requires="x14">
            <control shapeId="86067" r:id="rId54" name="Option Button 51">
              <controlPr defaultSize="0" autoFill="0" autoLine="0" autoPict="0">
                <anchor moveWithCells="1">
                  <from>
                    <xdr:col>4</xdr:col>
                    <xdr:colOff>222250</xdr:colOff>
                    <xdr:row>24</xdr:row>
                    <xdr:rowOff>19050</xdr:rowOff>
                  </from>
                  <to>
                    <xdr:col>4</xdr:col>
                    <xdr:colOff>412750</xdr:colOff>
                    <xdr:row>24</xdr:row>
                    <xdr:rowOff>228600</xdr:rowOff>
                  </to>
                </anchor>
              </controlPr>
            </control>
          </mc:Choice>
        </mc:AlternateContent>
        <mc:AlternateContent xmlns:mc="http://schemas.openxmlformats.org/markup-compatibility/2006">
          <mc:Choice Requires="x14">
            <control shapeId="86068" r:id="rId55" name="Option Button 52">
              <controlPr defaultSize="0" autoFill="0" autoLine="0" autoPict="0">
                <anchor moveWithCells="1">
                  <from>
                    <xdr:col>5</xdr:col>
                    <xdr:colOff>222250</xdr:colOff>
                    <xdr:row>24</xdr:row>
                    <xdr:rowOff>19050</xdr:rowOff>
                  </from>
                  <to>
                    <xdr:col>5</xdr:col>
                    <xdr:colOff>412750</xdr:colOff>
                    <xdr:row>24</xdr:row>
                    <xdr:rowOff>228600</xdr:rowOff>
                  </to>
                </anchor>
              </controlPr>
            </control>
          </mc:Choice>
        </mc:AlternateContent>
        <mc:AlternateContent xmlns:mc="http://schemas.openxmlformats.org/markup-compatibility/2006">
          <mc:Choice Requires="x14">
            <control shapeId="86069" r:id="rId56" name="Option Button 53">
              <controlPr defaultSize="0" autoFill="0" autoLine="0" autoPict="0">
                <anchor moveWithCells="1">
                  <from>
                    <xdr:col>6</xdr:col>
                    <xdr:colOff>222250</xdr:colOff>
                    <xdr:row>24</xdr:row>
                    <xdr:rowOff>19050</xdr:rowOff>
                  </from>
                  <to>
                    <xdr:col>6</xdr:col>
                    <xdr:colOff>412750</xdr:colOff>
                    <xdr:row>24</xdr:row>
                    <xdr:rowOff>228600</xdr:rowOff>
                  </to>
                </anchor>
              </controlPr>
            </control>
          </mc:Choice>
        </mc:AlternateContent>
        <mc:AlternateContent xmlns:mc="http://schemas.openxmlformats.org/markup-compatibility/2006">
          <mc:Choice Requires="x14">
            <control shapeId="86070" r:id="rId57" name="Option Button 54">
              <controlPr defaultSize="0" autoFill="0" autoLine="0" autoPict="0">
                <anchor moveWithCells="1">
                  <from>
                    <xdr:col>3</xdr:col>
                    <xdr:colOff>222250</xdr:colOff>
                    <xdr:row>25</xdr:row>
                    <xdr:rowOff>19050</xdr:rowOff>
                  </from>
                  <to>
                    <xdr:col>3</xdr:col>
                    <xdr:colOff>412750</xdr:colOff>
                    <xdr:row>25</xdr:row>
                    <xdr:rowOff>228600</xdr:rowOff>
                  </to>
                </anchor>
              </controlPr>
            </control>
          </mc:Choice>
        </mc:AlternateContent>
        <mc:AlternateContent xmlns:mc="http://schemas.openxmlformats.org/markup-compatibility/2006">
          <mc:Choice Requires="x14">
            <control shapeId="86071" r:id="rId58" name="Option Button 55">
              <controlPr defaultSize="0" autoFill="0" autoLine="0" autoPict="0">
                <anchor moveWithCells="1">
                  <from>
                    <xdr:col>4</xdr:col>
                    <xdr:colOff>222250</xdr:colOff>
                    <xdr:row>25</xdr:row>
                    <xdr:rowOff>19050</xdr:rowOff>
                  </from>
                  <to>
                    <xdr:col>4</xdr:col>
                    <xdr:colOff>412750</xdr:colOff>
                    <xdr:row>25</xdr:row>
                    <xdr:rowOff>228600</xdr:rowOff>
                  </to>
                </anchor>
              </controlPr>
            </control>
          </mc:Choice>
        </mc:AlternateContent>
        <mc:AlternateContent xmlns:mc="http://schemas.openxmlformats.org/markup-compatibility/2006">
          <mc:Choice Requires="x14">
            <control shapeId="86072" r:id="rId59" name="Option Button 56">
              <controlPr defaultSize="0" autoFill="0" autoLine="0" autoPict="0">
                <anchor moveWithCells="1">
                  <from>
                    <xdr:col>5</xdr:col>
                    <xdr:colOff>222250</xdr:colOff>
                    <xdr:row>25</xdr:row>
                    <xdr:rowOff>19050</xdr:rowOff>
                  </from>
                  <to>
                    <xdr:col>5</xdr:col>
                    <xdr:colOff>412750</xdr:colOff>
                    <xdr:row>25</xdr:row>
                    <xdr:rowOff>228600</xdr:rowOff>
                  </to>
                </anchor>
              </controlPr>
            </control>
          </mc:Choice>
        </mc:AlternateContent>
        <mc:AlternateContent xmlns:mc="http://schemas.openxmlformats.org/markup-compatibility/2006">
          <mc:Choice Requires="x14">
            <control shapeId="86073" r:id="rId60" name="Option Button 57">
              <controlPr defaultSize="0" autoFill="0" autoLine="0" autoPict="0">
                <anchor moveWithCells="1">
                  <from>
                    <xdr:col>6</xdr:col>
                    <xdr:colOff>222250</xdr:colOff>
                    <xdr:row>25</xdr:row>
                    <xdr:rowOff>19050</xdr:rowOff>
                  </from>
                  <to>
                    <xdr:col>6</xdr:col>
                    <xdr:colOff>412750</xdr:colOff>
                    <xdr:row>25</xdr:row>
                    <xdr:rowOff>228600</xdr:rowOff>
                  </to>
                </anchor>
              </controlPr>
            </control>
          </mc:Choice>
        </mc:AlternateContent>
        <mc:AlternateContent xmlns:mc="http://schemas.openxmlformats.org/markup-compatibility/2006">
          <mc:Choice Requires="x14">
            <control shapeId="86074" r:id="rId61" name="Option Button 58">
              <controlPr defaultSize="0" autoFill="0" autoLine="0" autoPict="0">
                <anchor moveWithCells="1">
                  <from>
                    <xdr:col>3</xdr:col>
                    <xdr:colOff>222250</xdr:colOff>
                    <xdr:row>26</xdr:row>
                    <xdr:rowOff>19050</xdr:rowOff>
                  </from>
                  <to>
                    <xdr:col>3</xdr:col>
                    <xdr:colOff>412750</xdr:colOff>
                    <xdr:row>26</xdr:row>
                    <xdr:rowOff>228600</xdr:rowOff>
                  </to>
                </anchor>
              </controlPr>
            </control>
          </mc:Choice>
        </mc:AlternateContent>
        <mc:AlternateContent xmlns:mc="http://schemas.openxmlformats.org/markup-compatibility/2006">
          <mc:Choice Requires="x14">
            <control shapeId="86075" r:id="rId62" name="Option Button 59">
              <controlPr defaultSize="0" autoFill="0" autoLine="0" autoPict="0">
                <anchor moveWithCells="1">
                  <from>
                    <xdr:col>4</xdr:col>
                    <xdr:colOff>222250</xdr:colOff>
                    <xdr:row>26</xdr:row>
                    <xdr:rowOff>19050</xdr:rowOff>
                  </from>
                  <to>
                    <xdr:col>4</xdr:col>
                    <xdr:colOff>412750</xdr:colOff>
                    <xdr:row>26</xdr:row>
                    <xdr:rowOff>228600</xdr:rowOff>
                  </to>
                </anchor>
              </controlPr>
            </control>
          </mc:Choice>
        </mc:AlternateContent>
        <mc:AlternateContent xmlns:mc="http://schemas.openxmlformats.org/markup-compatibility/2006">
          <mc:Choice Requires="x14">
            <control shapeId="86076" r:id="rId63" name="Option Button 60">
              <controlPr defaultSize="0" autoFill="0" autoLine="0" autoPict="0">
                <anchor moveWithCells="1">
                  <from>
                    <xdr:col>5</xdr:col>
                    <xdr:colOff>222250</xdr:colOff>
                    <xdr:row>26</xdr:row>
                    <xdr:rowOff>19050</xdr:rowOff>
                  </from>
                  <to>
                    <xdr:col>5</xdr:col>
                    <xdr:colOff>412750</xdr:colOff>
                    <xdr:row>26</xdr:row>
                    <xdr:rowOff>228600</xdr:rowOff>
                  </to>
                </anchor>
              </controlPr>
            </control>
          </mc:Choice>
        </mc:AlternateContent>
        <mc:AlternateContent xmlns:mc="http://schemas.openxmlformats.org/markup-compatibility/2006">
          <mc:Choice Requires="x14">
            <control shapeId="86077" r:id="rId64" name="Option Button 61">
              <controlPr defaultSize="0" autoFill="0" autoLine="0" autoPict="0">
                <anchor moveWithCells="1">
                  <from>
                    <xdr:col>6</xdr:col>
                    <xdr:colOff>222250</xdr:colOff>
                    <xdr:row>26</xdr:row>
                    <xdr:rowOff>19050</xdr:rowOff>
                  </from>
                  <to>
                    <xdr:col>6</xdr:col>
                    <xdr:colOff>412750</xdr:colOff>
                    <xdr:row>26</xdr:row>
                    <xdr:rowOff>228600</xdr:rowOff>
                  </to>
                </anchor>
              </controlPr>
            </control>
          </mc:Choice>
        </mc:AlternateContent>
        <mc:AlternateContent xmlns:mc="http://schemas.openxmlformats.org/markup-compatibility/2006">
          <mc:Choice Requires="x14">
            <control shapeId="86078" r:id="rId65" name="Option Button 62">
              <controlPr defaultSize="0" autoFill="0" autoLine="0" autoPict="0">
                <anchor moveWithCells="1">
                  <from>
                    <xdr:col>3</xdr:col>
                    <xdr:colOff>222250</xdr:colOff>
                    <xdr:row>27</xdr:row>
                    <xdr:rowOff>19050</xdr:rowOff>
                  </from>
                  <to>
                    <xdr:col>3</xdr:col>
                    <xdr:colOff>412750</xdr:colOff>
                    <xdr:row>27</xdr:row>
                    <xdr:rowOff>228600</xdr:rowOff>
                  </to>
                </anchor>
              </controlPr>
            </control>
          </mc:Choice>
        </mc:AlternateContent>
        <mc:AlternateContent xmlns:mc="http://schemas.openxmlformats.org/markup-compatibility/2006">
          <mc:Choice Requires="x14">
            <control shapeId="86079" r:id="rId66" name="Option Button 63">
              <controlPr defaultSize="0" autoFill="0" autoLine="0" autoPict="0">
                <anchor moveWithCells="1">
                  <from>
                    <xdr:col>4</xdr:col>
                    <xdr:colOff>222250</xdr:colOff>
                    <xdr:row>27</xdr:row>
                    <xdr:rowOff>19050</xdr:rowOff>
                  </from>
                  <to>
                    <xdr:col>4</xdr:col>
                    <xdr:colOff>412750</xdr:colOff>
                    <xdr:row>27</xdr:row>
                    <xdr:rowOff>228600</xdr:rowOff>
                  </to>
                </anchor>
              </controlPr>
            </control>
          </mc:Choice>
        </mc:AlternateContent>
        <mc:AlternateContent xmlns:mc="http://schemas.openxmlformats.org/markup-compatibility/2006">
          <mc:Choice Requires="x14">
            <control shapeId="86080" r:id="rId67" name="Option Button 64">
              <controlPr defaultSize="0" autoFill="0" autoLine="0" autoPict="0">
                <anchor moveWithCells="1">
                  <from>
                    <xdr:col>5</xdr:col>
                    <xdr:colOff>222250</xdr:colOff>
                    <xdr:row>27</xdr:row>
                    <xdr:rowOff>19050</xdr:rowOff>
                  </from>
                  <to>
                    <xdr:col>5</xdr:col>
                    <xdr:colOff>412750</xdr:colOff>
                    <xdr:row>27</xdr:row>
                    <xdr:rowOff>228600</xdr:rowOff>
                  </to>
                </anchor>
              </controlPr>
            </control>
          </mc:Choice>
        </mc:AlternateContent>
        <mc:AlternateContent xmlns:mc="http://schemas.openxmlformats.org/markup-compatibility/2006">
          <mc:Choice Requires="x14">
            <control shapeId="86081" r:id="rId68" name="Option Button 65">
              <controlPr defaultSize="0" autoFill="0" autoLine="0" autoPict="0">
                <anchor moveWithCells="1">
                  <from>
                    <xdr:col>6</xdr:col>
                    <xdr:colOff>222250</xdr:colOff>
                    <xdr:row>27</xdr:row>
                    <xdr:rowOff>19050</xdr:rowOff>
                  </from>
                  <to>
                    <xdr:col>6</xdr:col>
                    <xdr:colOff>412750</xdr:colOff>
                    <xdr:row>27</xdr:row>
                    <xdr:rowOff>228600</xdr:rowOff>
                  </to>
                </anchor>
              </controlPr>
            </control>
          </mc:Choice>
        </mc:AlternateContent>
        <mc:AlternateContent xmlns:mc="http://schemas.openxmlformats.org/markup-compatibility/2006">
          <mc:Choice Requires="x14">
            <control shapeId="86082" r:id="rId69" name="Option Button 66">
              <controlPr defaultSize="0" autoFill="0" autoLine="0" autoPict="0">
                <anchor moveWithCells="1">
                  <from>
                    <xdr:col>3</xdr:col>
                    <xdr:colOff>222250</xdr:colOff>
                    <xdr:row>28</xdr:row>
                    <xdr:rowOff>19050</xdr:rowOff>
                  </from>
                  <to>
                    <xdr:col>3</xdr:col>
                    <xdr:colOff>412750</xdr:colOff>
                    <xdr:row>28</xdr:row>
                    <xdr:rowOff>228600</xdr:rowOff>
                  </to>
                </anchor>
              </controlPr>
            </control>
          </mc:Choice>
        </mc:AlternateContent>
        <mc:AlternateContent xmlns:mc="http://schemas.openxmlformats.org/markup-compatibility/2006">
          <mc:Choice Requires="x14">
            <control shapeId="86083" r:id="rId70" name="Option Button 67">
              <controlPr defaultSize="0" autoFill="0" autoLine="0" autoPict="0">
                <anchor moveWithCells="1">
                  <from>
                    <xdr:col>4</xdr:col>
                    <xdr:colOff>222250</xdr:colOff>
                    <xdr:row>28</xdr:row>
                    <xdr:rowOff>19050</xdr:rowOff>
                  </from>
                  <to>
                    <xdr:col>4</xdr:col>
                    <xdr:colOff>412750</xdr:colOff>
                    <xdr:row>28</xdr:row>
                    <xdr:rowOff>228600</xdr:rowOff>
                  </to>
                </anchor>
              </controlPr>
            </control>
          </mc:Choice>
        </mc:AlternateContent>
        <mc:AlternateContent xmlns:mc="http://schemas.openxmlformats.org/markup-compatibility/2006">
          <mc:Choice Requires="x14">
            <control shapeId="86084" r:id="rId71" name="Option Button 68">
              <controlPr defaultSize="0" autoFill="0" autoLine="0" autoPict="0">
                <anchor moveWithCells="1">
                  <from>
                    <xdr:col>5</xdr:col>
                    <xdr:colOff>222250</xdr:colOff>
                    <xdr:row>28</xdr:row>
                    <xdr:rowOff>19050</xdr:rowOff>
                  </from>
                  <to>
                    <xdr:col>5</xdr:col>
                    <xdr:colOff>412750</xdr:colOff>
                    <xdr:row>28</xdr:row>
                    <xdr:rowOff>228600</xdr:rowOff>
                  </to>
                </anchor>
              </controlPr>
            </control>
          </mc:Choice>
        </mc:AlternateContent>
        <mc:AlternateContent xmlns:mc="http://schemas.openxmlformats.org/markup-compatibility/2006">
          <mc:Choice Requires="x14">
            <control shapeId="86085" r:id="rId72" name="Option Button 69">
              <controlPr defaultSize="0" autoFill="0" autoLine="0" autoPict="0">
                <anchor moveWithCells="1">
                  <from>
                    <xdr:col>6</xdr:col>
                    <xdr:colOff>222250</xdr:colOff>
                    <xdr:row>28</xdr:row>
                    <xdr:rowOff>19050</xdr:rowOff>
                  </from>
                  <to>
                    <xdr:col>6</xdr:col>
                    <xdr:colOff>412750</xdr:colOff>
                    <xdr:row>28</xdr:row>
                    <xdr:rowOff>228600</xdr:rowOff>
                  </to>
                </anchor>
              </controlPr>
            </control>
          </mc:Choice>
        </mc:AlternateContent>
        <mc:AlternateContent xmlns:mc="http://schemas.openxmlformats.org/markup-compatibility/2006">
          <mc:Choice Requires="x14">
            <control shapeId="86086" r:id="rId73" name="Option Button 70">
              <controlPr defaultSize="0" autoFill="0" autoLine="0" autoPict="0">
                <anchor moveWithCells="1">
                  <from>
                    <xdr:col>3</xdr:col>
                    <xdr:colOff>222250</xdr:colOff>
                    <xdr:row>29</xdr:row>
                    <xdr:rowOff>19050</xdr:rowOff>
                  </from>
                  <to>
                    <xdr:col>3</xdr:col>
                    <xdr:colOff>412750</xdr:colOff>
                    <xdr:row>29</xdr:row>
                    <xdr:rowOff>228600</xdr:rowOff>
                  </to>
                </anchor>
              </controlPr>
            </control>
          </mc:Choice>
        </mc:AlternateContent>
        <mc:AlternateContent xmlns:mc="http://schemas.openxmlformats.org/markup-compatibility/2006">
          <mc:Choice Requires="x14">
            <control shapeId="86087" r:id="rId74" name="Option Button 71">
              <controlPr defaultSize="0" autoFill="0" autoLine="0" autoPict="0">
                <anchor moveWithCells="1">
                  <from>
                    <xdr:col>4</xdr:col>
                    <xdr:colOff>222250</xdr:colOff>
                    <xdr:row>29</xdr:row>
                    <xdr:rowOff>19050</xdr:rowOff>
                  </from>
                  <to>
                    <xdr:col>4</xdr:col>
                    <xdr:colOff>412750</xdr:colOff>
                    <xdr:row>29</xdr:row>
                    <xdr:rowOff>228600</xdr:rowOff>
                  </to>
                </anchor>
              </controlPr>
            </control>
          </mc:Choice>
        </mc:AlternateContent>
        <mc:AlternateContent xmlns:mc="http://schemas.openxmlformats.org/markup-compatibility/2006">
          <mc:Choice Requires="x14">
            <control shapeId="86088" r:id="rId75" name="Option Button 72">
              <controlPr defaultSize="0" autoFill="0" autoLine="0" autoPict="0">
                <anchor moveWithCells="1">
                  <from>
                    <xdr:col>5</xdr:col>
                    <xdr:colOff>222250</xdr:colOff>
                    <xdr:row>29</xdr:row>
                    <xdr:rowOff>19050</xdr:rowOff>
                  </from>
                  <to>
                    <xdr:col>5</xdr:col>
                    <xdr:colOff>412750</xdr:colOff>
                    <xdr:row>29</xdr:row>
                    <xdr:rowOff>228600</xdr:rowOff>
                  </to>
                </anchor>
              </controlPr>
            </control>
          </mc:Choice>
        </mc:AlternateContent>
        <mc:AlternateContent xmlns:mc="http://schemas.openxmlformats.org/markup-compatibility/2006">
          <mc:Choice Requires="x14">
            <control shapeId="86089" r:id="rId76" name="Option Button 73">
              <controlPr defaultSize="0" autoFill="0" autoLine="0" autoPict="0">
                <anchor moveWithCells="1">
                  <from>
                    <xdr:col>6</xdr:col>
                    <xdr:colOff>222250</xdr:colOff>
                    <xdr:row>29</xdr:row>
                    <xdr:rowOff>19050</xdr:rowOff>
                  </from>
                  <to>
                    <xdr:col>6</xdr:col>
                    <xdr:colOff>412750</xdr:colOff>
                    <xdr:row>29</xdr:row>
                    <xdr:rowOff>228600</xdr:rowOff>
                  </to>
                </anchor>
              </controlPr>
            </control>
          </mc:Choice>
        </mc:AlternateContent>
        <mc:AlternateContent xmlns:mc="http://schemas.openxmlformats.org/markup-compatibility/2006">
          <mc:Choice Requires="x14">
            <control shapeId="86090" r:id="rId77" name="Option Button 74">
              <controlPr defaultSize="0" autoFill="0" autoLine="0" autoPict="0">
                <anchor moveWithCells="1">
                  <from>
                    <xdr:col>3</xdr:col>
                    <xdr:colOff>222250</xdr:colOff>
                    <xdr:row>30</xdr:row>
                    <xdr:rowOff>19050</xdr:rowOff>
                  </from>
                  <to>
                    <xdr:col>3</xdr:col>
                    <xdr:colOff>412750</xdr:colOff>
                    <xdr:row>30</xdr:row>
                    <xdr:rowOff>228600</xdr:rowOff>
                  </to>
                </anchor>
              </controlPr>
            </control>
          </mc:Choice>
        </mc:AlternateContent>
        <mc:AlternateContent xmlns:mc="http://schemas.openxmlformats.org/markup-compatibility/2006">
          <mc:Choice Requires="x14">
            <control shapeId="86091" r:id="rId78" name="Option Button 75">
              <controlPr defaultSize="0" autoFill="0" autoLine="0" autoPict="0">
                <anchor moveWithCells="1">
                  <from>
                    <xdr:col>4</xdr:col>
                    <xdr:colOff>222250</xdr:colOff>
                    <xdr:row>30</xdr:row>
                    <xdr:rowOff>19050</xdr:rowOff>
                  </from>
                  <to>
                    <xdr:col>4</xdr:col>
                    <xdr:colOff>412750</xdr:colOff>
                    <xdr:row>30</xdr:row>
                    <xdr:rowOff>228600</xdr:rowOff>
                  </to>
                </anchor>
              </controlPr>
            </control>
          </mc:Choice>
        </mc:AlternateContent>
        <mc:AlternateContent xmlns:mc="http://schemas.openxmlformats.org/markup-compatibility/2006">
          <mc:Choice Requires="x14">
            <control shapeId="86092" r:id="rId79" name="Option Button 76">
              <controlPr defaultSize="0" autoFill="0" autoLine="0" autoPict="0">
                <anchor moveWithCells="1">
                  <from>
                    <xdr:col>5</xdr:col>
                    <xdr:colOff>222250</xdr:colOff>
                    <xdr:row>30</xdr:row>
                    <xdr:rowOff>19050</xdr:rowOff>
                  </from>
                  <to>
                    <xdr:col>5</xdr:col>
                    <xdr:colOff>412750</xdr:colOff>
                    <xdr:row>30</xdr:row>
                    <xdr:rowOff>228600</xdr:rowOff>
                  </to>
                </anchor>
              </controlPr>
            </control>
          </mc:Choice>
        </mc:AlternateContent>
        <mc:AlternateContent xmlns:mc="http://schemas.openxmlformats.org/markup-compatibility/2006">
          <mc:Choice Requires="x14">
            <control shapeId="86093" r:id="rId80" name="Option Button 77">
              <controlPr defaultSize="0" autoFill="0" autoLine="0" autoPict="0">
                <anchor moveWithCells="1">
                  <from>
                    <xdr:col>6</xdr:col>
                    <xdr:colOff>222250</xdr:colOff>
                    <xdr:row>30</xdr:row>
                    <xdr:rowOff>19050</xdr:rowOff>
                  </from>
                  <to>
                    <xdr:col>6</xdr:col>
                    <xdr:colOff>412750</xdr:colOff>
                    <xdr:row>30</xdr:row>
                    <xdr:rowOff>228600</xdr:rowOff>
                  </to>
                </anchor>
              </controlPr>
            </control>
          </mc:Choice>
        </mc:AlternateContent>
        <mc:AlternateContent xmlns:mc="http://schemas.openxmlformats.org/markup-compatibility/2006">
          <mc:Choice Requires="x14">
            <control shapeId="86094" r:id="rId81" name="Option Button 78">
              <controlPr defaultSize="0" autoFill="0" autoLine="0" autoPict="0">
                <anchor moveWithCells="1">
                  <from>
                    <xdr:col>3</xdr:col>
                    <xdr:colOff>222250</xdr:colOff>
                    <xdr:row>31</xdr:row>
                    <xdr:rowOff>19050</xdr:rowOff>
                  </from>
                  <to>
                    <xdr:col>3</xdr:col>
                    <xdr:colOff>412750</xdr:colOff>
                    <xdr:row>31</xdr:row>
                    <xdr:rowOff>228600</xdr:rowOff>
                  </to>
                </anchor>
              </controlPr>
            </control>
          </mc:Choice>
        </mc:AlternateContent>
        <mc:AlternateContent xmlns:mc="http://schemas.openxmlformats.org/markup-compatibility/2006">
          <mc:Choice Requires="x14">
            <control shapeId="86095" r:id="rId82" name="Option Button 79">
              <controlPr defaultSize="0" autoFill="0" autoLine="0" autoPict="0">
                <anchor moveWithCells="1">
                  <from>
                    <xdr:col>4</xdr:col>
                    <xdr:colOff>222250</xdr:colOff>
                    <xdr:row>31</xdr:row>
                    <xdr:rowOff>19050</xdr:rowOff>
                  </from>
                  <to>
                    <xdr:col>4</xdr:col>
                    <xdr:colOff>412750</xdr:colOff>
                    <xdr:row>31</xdr:row>
                    <xdr:rowOff>228600</xdr:rowOff>
                  </to>
                </anchor>
              </controlPr>
            </control>
          </mc:Choice>
        </mc:AlternateContent>
        <mc:AlternateContent xmlns:mc="http://schemas.openxmlformats.org/markup-compatibility/2006">
          <mc:Choice Requires="x14">
            <control shapeId="86096" r:id="rId83" name="Option Button 80">
              <controlPr defaultSize="0" autoFill="0" autoLine="0" autoPict="0">
                <anchor moveWithCells="1">
                  <from>
                    <xdr:col>5</xdr:col>
                    <xdr:colOff>222250</xdr:colOff>
                    <xdr:row>31</xdr:row>
                    <xdr:rowOff>19050</xdr:rowOff>
                  </from>
                  <to>
                    <xdr:col>5</xdr:col>
                    <xdr:colOff>412750</xdr:colOff>
                    <xdr:row>31</xdr:row>
                    <xdr:rowOff>228600</xdr:rowOff>
                  </to>
                </anchor>
              </controlPr>
            </control>
          </mc:Choice>
        </mc:AlternateContent>
        <mc:AlternateContent xmlns:mc="http://schemas.openxmlformats.org/markup-compatibility/2006">
          <mc:Choice Requires="x14">
            <control shapeId="86097" r:id="rId84" name="Option Button 81">
              <controlPr defaultSize="0" autoFill="0" autoLine="0" autoPict="0">
                <anchor moveWithCells="1">
                  <from>
                    <xdr:col>6</xdr:col>
                    <xdr:colOff>222250</xdr:colOff>
                    <xdr:row>31</xdr:row>
                    <xdr:rowOff>19050</xdr:rowOff>
                  </from>
                  <to>
                    <xdr:col>6</xdr:col>
                    <xdr:colOff>412750</xdr:colOff>
                    <xdr:row>31</xdr:row>
                    <xdr:rowOff>228600</xdr:rowOff>
                  </to>
                </anchor>
              </controlPr>
            </control>
          </mc:Choice>
        </mc:AlternateContent>
        <mc:AlternateContent xmlns:mc="http://schemas.openxmlformats.org/markup-compatibility/2006">
          <mc:Choice Requires="x14">
            <control shapeId="86098" r:id="rId85" name="Option Button 82">
              <controlPr defaultSize="0" autoFill="0" autoLine="0" autoPict="0">
                <anchor moveWithCells="1">
                  <from>
                    <xdr:col>3</xdr:col>
                    <xdr:colOff>222250</xdr:colOff>
                    <xdr:row>32</xdr:row>
                    <xdr:rowOff>19050</xdr:rowOff>
                  </from>
                  <to>
                    <xdr:col>3</xdr:col>
                    <xdr:colOff>412750</xdr:colOff>
                    <xdr:row>32</xdr:row>
                    <xdr:rowOff>228600</xdr:rowOff>
                  </to>
                </anchor>
              </controlPr>
            </control>
          </mc:Choice>
        </mc:AlternateContent>
        <mc:AlternateContent xmlns:mc="http://schemas.openxmlformats.org/markup-compatibility/2006">
          <mc:Choice Requires="x14">
            <control shapeId="86099" r:id="rId86" name="Option Button 83">
              <controlPr defaultSize="0" autoFill="0" autoLine="0" autoPict="0">
                <anchor moveWithCells="1">
                  <from>
                    <xdr:col>4</xdr:col>
                    <xdr:colOff>222250</xdr:colOff>
                    <xdr:row>32</xdr:row>
                    <xdr:rowOff>19050</xdr:rowOff>
                  </from>
                  <to>
                    <xdr:col>4</xdr:col>
                    <xdr:colOff>412750</xdr:colOff>
                    <xdr:row>32</xdr:row>
                    <xdr:rowOff>228600</xdr:rowOff>
                  </to>
                </anchor>
              </controlPr>
            </control>
          </mc:Choice>
        </mc:AlternateContent>
        <mc:AlternateContent xmlns:mc="http://schemas.openxmlformats.org/markup-compatibility/2006">
          <mc:Choice Requires="x14">
            <control shapeId="86100" r:id="rId87" name="Option Button 84">
              <controlPr defaultSize="0" autoFill="0" autoLine="0" autoPict="0">
                <anchor moveWithCells="1">
                  <from>
                    <xdr:col>5</xdr:col>
                    <xdr:colOff>222250</xdr:colOff>
                    <xdr:row>32</xdr:row>
                    <xdr:rowOff>19050</xdr:rowOff>
                  </from>
                  <to>
                    <xdr:col>5</xdr:col>
                    <xdr:colOff>412750</xdr:colOff>
                    <xdr:row>32</xdr:row>
                    <xdr:rowOff>228600</xdr:rowOff>
                  </to>
                </anchor>
              </controlPr>
            </control>
          </mc:Choice>
        </mc:AlternateContent>
        <mc:AlternateContent xmlns:mc="http://schemas.openxmlformats.org/markup-compatibility/2006">
          <mc:Choice Requires="x14">
            <control shapeId="86101" r:id="rId88" name="Option Button 85">
              <controlPr defaultSize="0" autoFill="0" autoLine="0" autoPict="0">
                <anchor moveWithCells="1">
                  <from>
                    <xdr:col>6</xdr:col>
                    <xdr:colOff>222250</xdr:colOff>
                    <xdr:row>32</xdr:row>
                    <xdr:rowOff>19050</xdr:rowOff>
                  </from>
                  <to>
                    <xdr:col>6</xdr:col>
                    <xdr:colOff>412750</xdr:colOff>
                    <xdr:row>32</xdr:row>
                    <xdr:rowOff>228600</xdr:rowOff>
                  </to>
                </anchor>
              </controlPr>
            </control>
          </mc:Choice>
        </mc:AlternateContent>
        <mc:AlternateContent xmlns:mc="http://schemas.openxmlformats.org/markup-compatibility/2006">
          <mc:Choice Requires="x14">
            <control shapeId="86102" r:id="rId89" name="Option Button 86">
              <controlPr defaultSize="0" autoFill="0" autoLine="0" autoPict="0">
                <anchor moveWithCells="1">
                  <from>
                    <xdr:col>3</xdr:col>
                    <xdr:colOff>222250</xdr:colOff>
                    <xdr:row>33</xdr:row>
                    <xdr:rowOff>19050</xdr:rowOff>
                  </from>
                  <to>
                    <xdr:col>3</xdr:col>
                    <xdr:colOff>412750</xdr:colOff>
                    <xdr:row>33</xdr:row>
                    <xdr:rowOff>228600</xdr:rowOff>
                  </to>
                </anchor>
              </controlPr>
            </control>
          </mc:Choice>
        </mc:AlternateContent>
        <mc:AlternateContent xmlns:mc="http://schemas.openxmlformats.org/markup-compatibility/2006">
          <mc:Choice Requires="x14">
            <control shapeId="86103" r:id="rId90" name="Option Button 87">
              <controlPr defaultSize="0" autoFill="0" autoLine="0" autoPict="0">
                <anchor moveWithCells="1">
                  <from>
                    <xdr:col>4</xdr:col>
                    <xdr:colOff>222250</xdr:colOff>
                    <xdr:row>33</xdr:row>
                    <xdr:rowOff>19050</xdr:rowOff>
                  </from>
                  <to>
                    <xdr:col>4</xdr:col>
                    <xdr:colOff>412750</xdr:colOff>
                    <xdr:row>33</xdr:row>
                    <xdr:rowOff>228600</xdr:rowOff>
                  </to>
                </anchor>
              </controlPr>
            </control>
          </mc:Choice>
        </mc:AlternateContent>
        <mc:AlternateContent xmlns:mc="http://schemas.openxmlformats.org/markup-compatibility/2006">
          <mc:Choice Requires="x14">
            <control shapeId="86104" r:id="rId91" name="Option Button 88">
              <controlPr defaultSize="0" autoFill="0" autoLine="0" autoPict="0">
                <anchor moveWithCells="1">
                  <from>
                    <xdr:col>5</xdr:col>
                    <xdr:colOff>222250</xdr:colOff>
                    <xdr:row>33</xdr:row>
                    <xdr:rowOff>19050</xdr:rowOff>
                  </from>
                  <to>
                    <xdr:col>5</xdr:col>
                    <xdr:colOff>412750</xdr:colOff>
                    <xdr:row>33</xdr:row>
                    <xdr:rowOff>228600</xdr:rowOff>
                  </to>
                </anchor>
              </controlPr>
            </control>
          </mc:Choice>
        </mc:AlternateContent>
        <mc:AlternateContent xmlns:mc="http://schemas.openxmlformats.org/markup-compatibility/2006">
          <mc:Choice Requires="x14">
            <control shapeId="86105" r:id="rId92" name="Option Button 89">
              <controlPr defaultSize="0" autoFill="0" autoLine="0" autoPict="0">
                <anchor moveWithCells="1">
                  <from>
                    <xdr:col>6</xdr:col>
                    <xdr:colOff>222250</xdr:colOff>
                    <xdr:row>33</xdr:row>
                    <xdr:rowOff>19050</xdr:rowOff>
                  </from>
                  <to>
                    <xdr:col>6</xdr:col>
                    <xdr:colOff>412750</xdr:colOff>
                    <xdr:row>33</xdr:row>
                    <xdr:rowOff>228600</xdr:rowOff>
                  </to>
                </anchor>
              </controlPr>
            </control>
          </mc:Choice>
        </mc:AlternateContent>
        <mc:AlternateContent xmlns:mc="http://schemas.openxmlformats.org/markup-compatibility/2006">
          <mc:Choice Requires="x14">
            <control shapeId="86106" r:id="rId93" name="Option Button 90">
              <controlPr defaultSize="0" autoFill="0" autoLine="0" autoPict="0">
                <anchor moveWithCells="1">
                  <from>
                    <xdr:col>3</xdr:col>
                    <xdr:colOff>222250</xdr:colOff>
                    <xdr:row>34</xdr:row>
                    <xdr:rowOff>19050</xdr:rowOff>
                  </from>
                  <to>
                    <xdr:col>3</xdr:col>
                    <xdr:colOff>412750</xdr:colOff>
                    <xdr:row>34</xdr:row>
                    <xdr:rowOff>228600</xdr:rowOff>
                  </to>
                </anchor>
              </controlPr>
            </control>
          </mc:Choice>
        </mc:AlternateContent>
        <mc:AlternateContent xmlns:mc="http://schemas.openxmlformats.org/markup-compatibility/2006">
          <mc:Choice Requires="x14">
            <control shapeId="86107" r:id="rId94" name="Option Button 91">
              <controlPr defaultSize="0" autoFill="0" autoLine="0" autoPict="0">
                <anchor moveWithCells="1">
                  <from>
                    <xdr:col>4</xdr:col>
                    <xdr:colOff>222250</xdr:colOff>
                    <xdr:row>34</xdr:row>
                    <xdr:rowOff>19050</xdr:rowOff>
                  </from>
                  <to>
                    <xdr:col>4</xdr:col>
                    <xdr:colOff>412750</xdr:colOff>
                    <xdr:row>34</xdr:row>
                    <xdr:rowOff>228600</xdr:rowOff>
                  </to>
                </anchor>
              </controlPr>
            </control>
          </mc:Choice>
        </mc:AlternateContent>
        <mc:AlternateContent xmlns:mc="http://schemas.openxmlformats.org/markup-compatibility/2006">
          <mc:Choice Requires="x14">
            <control shapeId="86108" r:id="rId95" name="Option Button 92">
              <controlPr defaultSize="0" autoFill="0" autoLine="0" autoPict="0">
                <anchor moveWithCells="1">
                  <from>
                    <xdr:col>5</xdr:col>
                    <xdr:colOff>222250</xdr:colOff>
                    <xdr:row>34</xdr:row>
                    <xdr:rowOff>19050</xdr:rowOff>
                  </from>
                  <to>
                    <xdr:col>5</xdr:col>
                    <xdr:colOff>412750</xdr:colOff>
                    <xdr:row>34</xdr:row>
                    <xdr:rowOff>228600</xdr:rowOff>
                  </to>
                </anchor>
              </controlPr>
            </control>
          </mc:Choice>
        </mc:AlternateContent>
        <mc:AlternateContent xmlns:mc="http://schemas.openxmlformats.org/markup-compatibility/2006">
          <mc:Choice Requires="x14">
            <control shapeId="86109" r:id="rId96" name="Option Button 93">
              <controlPr defaultSize="0" autoFill="0" autoLine="0" autoPict="0">
                <anchor moveWithCells="1">
                  <from>
                    <xdr:col>6</xdr:col>
                    <xdr:colOff>222250</xdr:colOff>
                    <xdr:row>34</xdr:row>
                    <xdr:rowOff>19050</xdr:rowOff>
                  </from>
                  <to>
                    <xdr:col>6</xdr:col>
                    <xdr:colOff>412750</xdr:colOff>
                    <xdr:row>34</xdr:row>
                    <xdr:rowOff>228600</xdr:rowOff>
                  </to>
                </anchor>
              </controlPr>
            </control>
          </mc:Choice>
        </mc:AlternateContent>
        <mc:AlternateContent xmlns:mc="http://schemas.openxmlformats.org/markup-compatibility/2006">
          <mc:Choice Requires="x14">
            <control shapeId="86110" r:id="rId97" name="Option Button 94">
              <controlPr defaultSize="0" autoFill="0" autoLine="0" autoPict="0">
                <anchor moveWithCells="1">
                  <from>
                    <xdr:col>3</xdr:col>
                    <xdr:colOff>222250</xdr:colOff>
                    <xdr:row>35</xdr:row>
                    <xdr:rowOff>19050</xdr:rowOff>
                  </from>
                  <to>
                    <xdr:col>3</xdr:col>
                    <xdr:colOff>412750</xdr:colOff>
                    <xdr:row>35</xdr:row>
                    <xdr:rowOff>228600</xdr:rowOff>
                  </to>
                </anchor>
              </controlPr>
            </control>
          </mc:Choice>
        </mc:AlternateContent>
        <mc:AlternateContent xmlns:mc="http://schemas.openxmlformats.org/markup-compatibility/2006">
          <mc:Choice Requires="x14">
            <control shapeId="86111" r:id="rId98" name="Option Button 95">
              <controlPr defaultSize="0" autoFill="0" autoLine="0" autoPict="0">
                <anchor moveWithCells="1">
                  <from>
                    <xdr:col>4</xdr:col>
                    <xdr:colOff>222250</xdr:colOff>
                    <xdr:row>35</xdr:row>
                    <xdr:rowOff>19050</xdr:rowOff>
                  </from>
                  <to>
                    <xdr:col>4</xdr:col>
                    <xdr:colOff>412750</xdr:colOff>
                    <xdr:row>35</xdr:row>
                    <xdr:rowOff>228600</xdr:rowOff>
                  </to>
                </anchor>
              </controlPr>
            </control>
          </mc:Choice>
        </mc:AlternateContent>
        <mc:AlternateContent xmlns:mc="http://schemas.openxmlformats.org/markup-compatibility/2006">
          <mc:Choice Requires="x14">
            <control shapeId="86112" r:id="rId99" name="Option Button 96">
              <controlPr defaultSize="0" autoFill="0" autoLine="0" autoPict="0">
                <anchor moveWithCells="1">
                  <from>
                    <xdr:col>5</xdr:col>
                    <xdr:colOff>222250</xdr:colOff>
                    <xdr:row>35</xdr:row>
                    <xdr:rowOff>19050</xdr:rowOff>
                  </from>
                  <to>
                    <xdr:col>5</xdr:col>
                    <xdr:colOff>412750</xdr:colOff>
                    <xdr:row>35</xdr:row>
                    <xdr:rowOff>228600</xdr:rowOff>
                  </to>
                </anchor>
              </controlPr>
            </control>
          </mc:Choice>
        </mc:AlternateContent>
        <mc:AlternateContent xmlns:mc="http://schemas.openxmlformats.org/markup-compatibility/2006">
          <mc:Choice Requires="x14">
            <control shapeId="86113" r:id="rId100" name="Option Button 97">
              <controlPr defaultSize="0" autoFill="0" autoLine="0" autoPict="0">
                <anchor moveWithCells="1">
                  <from>
                    <xdr:col>6</xdr:col>
                    <xdr:colOff>222250</xdr:colOff>
                    <xdr:row>35</xdr:row>
                    <xdr:rowOff>19050</xdr:rowOff>
                  </from>
                  <to>
                    <xdr:col>6</xdr:col>
                    <xdr:colOff>412750</xdr:colOff>
                    <xdr:row>35</xdr:row>
                    <xdr:rowOff>228600</xdr:rowOff>
                  </to>
                </anchor>
              </controlPr>
            </control>
          </mc:Choice>
        </mc:AlternateContent>
        <mc:AlternateContent xmlns:mc="http://schemas.openxmlformats.org/markup-compatibility/2006">
          <mc:Choice Requires="x14">
            <control shapeId="86114" r:id="rId101" name="Option Button 98">
              <controlPr defaultSize="0" autoFill="0" autoLine="0" autoPict="0">
                <anchor moveWithCells="1">
                  <from>
                    <xdr:col>3</xdr:col>
                    <xdr:colOff>222250</xdr:colOff>
                    <xdr:row>36</xdr:row>
                    <xdr:rowOff>19050</xdr:rowOff>
                  </from>
                  <to>
                    <xdr:col>3</xdr:col>
                    <xdr:colOff>412750</xdr:colOff>
                    <xdr:row>36</xdr:row>
                    <xdr:rowOff>228600</xdr:rowOff>
                  </to>
                </anchor>
              </controlPr>
            </control>
          </mc:Choice>
        </mc:AlternateContent>
        <mc:AlternateContent xmlns:mc="http://schemas.openxmlformats.org/markup-compatibility/2006">
          <mc:Choice Requires="x14">
            <control shapeId="86115" r:id="rId102" name="Option Button 99">
              <controlPr defaultSize="0" autoFill="0" autoLine="0" autoPict="0">
                <anchor moveWithCells="1">
                  <from>
                    <xdr:col>4</xdr:col>
                    <xdr:colOff>222250</xdr:colOff>
                    <xdr:row>36</xdr:row>
                    <xdr:rowOff>19050</xdr:rowOff>
                  </from>
                  <to>
                    <xdr:col>4</xdr:col>
                    <xdr:colOff>412750</xdr:colOff>
                    <xdr:row>36</xdr:row>
                    <xdr:rowOff>228600</xdr:rowOff>
                  </to>
                </anchor>
              </controlPr>
            </control>
          </mc:Choice>
        </mc:AlternateContent>
        <mc:AlternateContent xmlns:mc="http://schemas.openxmlformats.org/markup-compatibility/2006">
          <mc:Choice Requires="x14">
            <control shapeId="86116" r:id="rId103" name="Option Button 100">
              <controlPr defaultSize="0" autoFill="0" autoLine="0" autoPict="0">
                <anchor moveWithCells="1">
                  <from>
                    <xdr:col>5</xdr:col>
                    <xdr:colOff>222250</xdr:colOff>
                    <xdr:row>36</xdr:row>
                    <xdr:rowOff>19050</xdr:rowOff>
                  </from>
                  <to>
                    <xdr:col>5</xdr:col>
                    <xdr:colOff>412750</xdr:colOff>
                    <xdr:row>36</xdr:row>
                    <xdr:rowOff>228600</xdr:rowOff>
                  </to>
                </anchor>
              </controlPr>
            </control>
          </mc:Choice>
        </mc:AlternateContent>
        <mc:AlternateContent xmlns:mc="http://schemas.openxmlformats.org/markup-compatibility/2006">
          <mc:Choice Requires="x14">
            <control shapeId="86117" r:id="rId104" name="Option Button 101">
              <controlPr defaultSize="0" autoFill="0" autoLine="0" autoPict="0">
                <anchor moveWithCells="1">
                  <from>
                    <xdr:col>6</xdr:col>
                    <xdr:colOff>222250</xdr:colOff>
                    <xdr:row>36</xdr:row>
                    <xdr:rowOff>19050</xdr:rowOff>
                  </from>
                  <to>
                    <xdr:col>6</xdr:col>
                    <xdr:colOff>412750</xdr:colOff>
                    <xdr:row>36</xdr:row>
                    <xdr:rowOff>228600</xdr:rowOff>
                  </to>
                </anchor>
              </controlPr>
            </control>
          </mc:Choice>
        </mc:AlternateContent>
        <mc:AlternateContent xmlns:mc="http://schemas.openxmlformats.org/markup-compatibility/2006">
          <mc:Choice Requires="x14">
            <control shapeId="86118" r:id="rId105" name="Option Button 102">
              <controlPr defaultSize="0" autoFill="0" autoLine="0" autoPict="0">
                <anchor moveWithCells="1">
                  <from>
                    <xdr:col>3</xdr:col>
                    <xdr:colOff>222250</xdr:colOff>
                    <xdr:row>37</xdr:row>
                    <xdr:rowOff>19050</xdr:rowOff>
                  </from>
                  <to>
                    <xdr:col>3</xdr:col>
                    <xdr:colOff>412750</xdr:colOff>
                    <xdr:row>37</xdr:row>
                    <xdr:rowOff>228600</xdr:rowOff>
                  </to>
                </anchor>
              </controlPr>
            </control>
          </mc:Choice>
        </mc:AlternateContent>
        <mc:AlternateContent xmlns:mc="http://schemas.openxmlformats.org/markup-compatibility/2006">
          <mc:Choice Requires="x14">
            <control shapeId="86119" r:id="rId106" name="Option Button 103">
              <controlPr defaultSize="0" autoFill="0" autoLine="0" autoPict="0">
                <anchor moveWithCells="1">
                  <from>
                    <xdr:col>4</xdr:col>
                    <xdr:colOff>222250</xdr:colOff>
                    <xdr:row>37</xdr:row>
                    <xdr:rowOff>19050</xdr:rowOff>
                  </from>
                  <to>
                    <xdr:col>4</xdr:col>
                    <xdr:colOff>412750</xdr:colOff>
                    <xdr:row>37</xdr:row>
                    <xdr:rowOff>228600</xdr:rowOff>
                  </to>
                </anchor>
              </controlPr>
            </control>
          </mc:Choice>
        </mc:AlternateContent>
        <mc:AlternateContent xmlns:mc="http://schemas.openxmlformats.org/markup-compatibility/2006">
          <mc:Choice Requires="x14">
            <control shapeId="86120" r:id="rId107" name="Option Button 104">
              <controlPr defaultSize="0" autoFill="0" autoLine="0" autoPict="0">
                <anchor moveWithCells="1">
                  <from>
                    <xdr:col>5</xdr:col>
                    <xdr:colOff>222250</xdr:colOff>
                    <xdr:row>37</xdr:row>
                    <xdr:rowOff>19050</xdr:rowOff>
                  </from>
                  <to>
                    <xdr:col>5</xdr:col>
                    <xdr:colOff>412750</xdr:colOff>
                    <xdr:row>37</xdr:row>
                    <xdr:rowOff>228600</xdr:rowOff>
                  </to>
                </anchor>
              </controlPr>
            </control>
          </mc:Choice>
        </mc:AlternateContent>
        <mc:AlternateContent xmlns:mc="http://schemas.openxmlformats.org/markup-compatibility/2006">
          <mc:Choice Requires="x14">
            <control shapeId="86121" r:id="rId108" name="Option Button 105">
              <controlPr defaultSize="0" autoFill="0" autoLine="0" autoPict="0">
                <anchor moveWithCells="1">
                  <from>
                    <xdr:col>6</xdr:col>
                    <xdr:colOff>222250</xdr:colOff>
                    <xdr:row>37</xdr:row>
                    <xdr:rowOff>19050</xdr:rowOff>
                  </from>
                  <to>
                    <xdr:col>6</xdr:col>
                    <xdr:colOff>412750</xdr:colOff>
                    <xdr:row>37</xdr:row>
                    <xdr:rowOff>228600</xdr:rowOff>
                  </to>
                </anchor>
              </controlPr>
            </control>
          </mc:Choice>
        </mc:AlternateContent>
        <mc:AlternateContent xmlns:mc="http://schemas.openxmlformats.org/markup-compatibility/2006">
          <mc:Choice Requires="x14">
            <control shapeId="86122" r:id="rId109" name="Option Button 106">
              <controlPr defaultSize="0" autoFill="0" autoLine="0" autoPict="0">
                <anchor moveWithCells="1">
                  <from>
                    <xdr:col>3</xdr:col>
                    <xdr:colOff>222250</xdr:colOff>
                    <xdr:row>38</xdr:row>
                    <xdr:rowOff>19050</xdr:rowOff>
                  </from>
                  <to>
                    <xdr:col>3</xdr:col>
                    <xdr:colOff>412750</xdr:colOff>
                    <xdr:row>38</xdr:row>
                    <xdr:rowOff>228600</xdr:rowOff>
                  </to>
                </anchor>
              </controlPr>
            </control>
          </mc:Choice>
        </mc:AlternateContent>
        <mc:AlternateContent xmlns:mc="http://schemas.openxmlformats.org/markup-compatibility/2006">
          <mc:Choice Requires="x14">
            <control shapeId="86123" r:id="rId110" name="Option Button 107">
              <controlPr defaultSize="0" autoFill="0" autoLine="0" autoPict="0">
                <anchor moveWithCells="1">
                  <from>
                    <xdr:col>4</xdr:col>
                    <xdr:colOff>222250</xdr:colOff>
                    <xdr:row>38</xdr:row>
                    <xdr:rowOff>19050</xdr:rowOff>
                  </from>
                  <to>
                    <xdr:col>4</xdr:col>
                    <xdr:colOff>412750</xdr:colOff>
                    <xdr:row>38</xdr:row>
                    <xdr:rowOff>228600</xdr:rowOff>
                  </to>
                </anchor>
              </controlPr>
            </control>
          </mc:Choice>
        </mc:AlternateContent>
        <mc:AlternateContent xmlns:mc="http://schemas.openxmlformats.org/markup-compatibility/2006">
          <mc:Choice Requires="x14">
            <control shapeId="86124" r:id="rId111" name="Option Button 108">
              <controlPr defaultSize="0" autoFill="0" autoLine="0" autoPict="0">
                <anchor moveWithCells="1">
                  <from>
                    <xdr:col>5</xdr:col>
                    <xdr:colOff>222250</xdr:colOff>
                    <xdr:row>38</xdr:row>
                    <xdr:rowOff>19050</xdr:rowOff>
                  </from>
                  <to>
                    <xdr:col>5</xdr:col>
                    <xdr:colOff>412750</xdr:colOff>
                    <xdr:row>38</xdr:row>
                    <xdr:rowOff>228600</xdr:rowOff>
                  </to>
                </anchor>
              </controlPr>
            </control>
          </mc:Choice>
        </mc:AlternateContent>
        <mc:AlternateContent xmlns:mc="http://schemas.openxmlformats.org/markup-compatibility/2006">
          <mc:Choice Requires="x14">
            <control shapeId="86125" r:id="rId112" name="Option Button 109">
              <controlPr defaultSize="0" autoFill="0" autoLine="0" autoPict="0">
                <anchor moveWithCells="1">
                  <from>
                    <xdr:col>6</xdr:col>
                    <xdr:colOff>222250</xdr:colOff>
                    <xdr:row>38</xdr:row>
                    <xdr:rowOff>19050</xdr:rowOff>
                  </from>
                  <to>
                    <xdr:col>6</xdr:col>
                    <xdr:colOff>412750</xdr:colOff>
                    <xdr:row>38</xdr:row>
                    <xdr:rowOff>228600</xdr:rowOff>
                  </to>
                </anchor>
              </controlPr>
            </control>
          </mc:Choice>
        </mc:AlternateContent>
        <mc:AlternateContent xmlns:mc="http://schemas.openxmlformats.org/markup-compatibility/2006">
          <mc:Choice Requires="x14">
            <control shapeId="86126" r:id="rId113" name="Option Button 110">
              <controlPr defaultSize="0" autoFill="0" autoLine="0" autoPict="0">
                <anchor moveWithCells="1">
                  <from>
                    <xdr:col>3</xdr:col>
                    <xdr:colOff>222250</xdr:colOff>
                    <xdr:row>39</xdr:row>
                    <xdr:rowOff>19050</xdr:rowOff>
                  </from>
                  <to>
                    <xdr:col>3</xdr:col>
                    <xdr:colOff>412750</xdr:colOff>
                    <xdr:row>39</xdr:row>
                    <xdr:rowOff>228600</xdr:rowOff>
                  </to>
                </anchor>
              </controlPr>
            </control>
          </mc:Choice>
        </mc:AlternateContent>
        <mc:AlternateContent xmlns:mc="http://schemas.openxmlformats.org/markup-compatibility/2006">
          <mc:Choice Requires="x14">
            <control shapeId="86127" r:id="rId114" name="Option Button 111">
              <controlPr defaultSize="0" autoFill="0" autoLine="0" autoPict="0">
                <anchor moveWithCells="1">
                  <from>
                    <xdr:col>4</xdr:col>
                    <xdr:colOff>222250</xdr:colOff>
                    <xdr:row>39</xdr:row>
                    <xdr:rowOff>19050</xdr:rowOff>
                  </from>
                  <to>
                    <xdr:col>4</xdr:col>
                    <xdr:colOff>412750</xdr:colOff>
                    <xdr:row>39</xdr:row>
                    <xdr:rowOff>228600</xdr:rowOff>
                  </to>
                </anchor>
              </controlPr>
            </control>
          </mc:Choice>
        </mc:AlternateContent>
        <mc:AlternateContent xmlns:mc="http://schemas.openxmlformats.org/markup-compatibility/2006">
          <mc:Choice Requires="x14">
            <control shapeId="86128" r:id="rId115" name="Option Button 112">
              <controlPr defaultSize="0" autoFill="0" autoLine="0" autoPict="0">
                <anchor moveWithCells="1">
                  <from>
                    <xdr:col>5</xdr:col>
                    <xdr:colOff>222250</xdr:colOff>
                    <xdr:row>39</xdr:row>
                    <xdr:rowOff>19050</xdr:rowOff>
                  </from>
                  <to>
                    <xdr:col>5</xdr:col>
                    <xdr:colOff>412750</xdr:colOff>
                    <xdr:row>39</xdr:row>
                    <xdr:rowOff>228600</xdr:rowOff>
                  </to>
                </anchor>
              </controlPr>
            </control>
          </mc:Choice>
        </mc:AlternateContent>
        <mc:AlternateContent xmlns:mc="http://schemas.openxmlformats.org/markup-compatibility/2006">
          <mc:Choice Requires="x14">
            <control shapeId="86129" r:id="rId116" name="Option Button 113">
              <controlPr defaultSize="0" autoFill="0" autoLine="0" autoPict="0">
                <anchor moveWithCells="1">
                  <from>
                    <xdr:col>6</xdr:col>
                    <xdr:colOff>222250</xdr:colOff>
                    <xdr:row>39</xdr:row>
                    <xdr:rowOff>19050</xdr:rowOff>
                  </from>
                  <to>
                    <xdr:col>6</xdr:col>
                    <xdr:colOff>412750</xdr:colOff>
                    <xdr:row>39</xdr:row>
                    <xdr:rowOff>228600</xdr:rowOff>
                  </to>
                </anchor>
              </controlPr>
            </control>
          </mc:Choice>
        </mc:AlternateContent>
        <mc:AlternateContent xmlns:mc="http://schemas.openxmlformats.org/markup-compatibility/2006">
          <mc:Choice Requires="x14">
            <control shapeId="86130" r:id="rId117" name="Option Button 114">
              <controlPr defaultSize="0" autoFill="0" autoLine="0" autoPict="0">
                <anchor moveWithCells="1">
                  <from>
                    <xdr:col>3</xdr:col>
                    <xdr:colOff>222250</xdr:colOff>
                    <xdr:row>40</xdr:row>
                    <xdr:rowOff>19050</xdr:rowOff>
                  </from>
                  <to>
                    <xdr:col>3</xdr:col>
                    <xdr:colOff>412750</xdr:colOff>
                    <xdr:row>40</xdr:row>
                    <xdr:rowOff>228600</xdr:rowOff>
                  </to>
                </anchor>
              </controlPr>
            </control>
          </mc:Choice>
        </mc:AlternateContent>
        <mc:AlternateContent xmlns:mc="http://schemas.openxmlformats.org/markup-compatibility/2006">
          <mc:Choice Requires="x14">
            <control shapeId="86131" r:id="rId118" name="Option Button 115">
              <controlPr defaultSize="0" autoFill="0" autoLine="0" autoPict="0">
                <anchor moveWithCells="1">
                  <from>
                    <xdr:col>4</xdr:col>
                    <xdr:colOff>222250</xdr:colOff>
                    <xdr:row>40</xdr:row>
                    <xdr:rowOff>19050</xdr:rowOff>
                  </from>
                  <to>
                    <xdr:col>4</xdr:col>
                    <xdr:colOff>412750</xdr:colOff>
                    <xdr:row>40</xdr:row>
                    <xdr:rowOff>228600</xdr:rowOff>
                  </to>
                </anchor>
              </controlPr>
            </control>
          </mc:Choice>
        </mc:AlternateContent>
        <mc:AlternateContent xmlns:mc="http://schemas.openxmlformats.org/markup-compatibility/2006">
          <mc:Choice Requires="x14">
            <control shapeId="86132" r:id="rId119" name="Option Button 116">
              <controlPr defaultSize="0" autoFill="0" autoLine="0" autoPict="0">
                <anchor moveWithCells="1">
                  <from>
                    <xdr:col>5</xdr:col>
                    <xdr:colOff>222250</xdr:colOff>
                    <xdr:row>40</xdr:row>
                    <xdr:rowOff>19050</xdr:rowOff>
                  </from>
                  <to>
                    <xdr:col>5</xdr:col>
                    <xdr:colOff>412750</xdr:colOff>
                    <xdr:row>40</xdr:row>
                    <xdr:rowOff>228600</xdr:rowOff>
                  </to>
                </anchor>
              </controlPr>
            </control>
          </mc:Choice>
        </mc:AlternateContent>
        <mc:AlternateContent xmlns:mc="http://schemas.openxmlformats.org/markup-compatibility/2006">
          <mc:Choice Requires="x14">
            <control shapeId="86133" r:id="rId120" name="Option Button 117">
              <controlPr defaultSize="0" autoFill="0" autoLine="0" autoPict="0">
                <anchor moveWithCells="1">
                  <from>
                    <xdr:col>6</xdr:col>
                    <xdr:colOff>222250</xdr:colOff>
                    <xdr:row>40</xdr:row>
                    <xdr:rowOff>19050</xdr:rowOff>
                  </from>
                  <to>
                    <xdr:col>6</xdr:col>
                    <xdr:colOff>412750</xdr:colOff>
                    <xdr:row>40</xdr:row>
                    <xdr:rowOff>228600</xdr:rowOff>
                  </to>
                </anchor>
              </controlPr>
            </control>
          </mc:Choice>
        </mc:AlternateContent>
        <mc:AlternateContent xmlns:mc="http://schemas.openxmlformats.org/markup-compatibility/2006">
          <mc:Choice Requires="x14">
            <control shapeId="86134" r:id="rId121" name="Option Button 118">
              <controlPr defaultSize="0" autoFill="0" autoLine="0" autoPict="0">
                <anchor moveWithCells="1">
                  <from>
                    <xdr:col>3</xdr:col>
                    <xdr:colOff>222250</xdr:colOff>
                    <xdr:row>41</xdr:row>
                    <xdr:rowOff>19050</xdr:rowOff>
                  </from>
                  <to>
                    <xdr:col>3</xdr:col>
                    <xdr:colOff>412750</xdr:colOff>
                    <xdr:row>41</xdr:row>
                    <xdr:rowOff>228600</xdr:rowOff>
                  </to>
                </anchor>
              </controlPr>
            </control>
          </mc:Choice>
        </mc:AlternateContent>
        <mc:AlternateContent xmlns:mc="http://schemas.openxmlformats.org/markup-compatibility/2006">
          <mc:Choice Requires="x14">
            <control shapeId="86135" r:id="rId122" name="Option Button 119">
              <controlPr defaultSize="0" autoFill="0" autoLine="0" autoPict="0">
                <anchor moveWithCells="1">
                  <from>
                    <xdr:col>4</xdr:col>
                    <xdr:colOff>222250</xdr:colOff>
                    <xdr:row>41</xdr:row>
                    <xdr:rowOff>19050</xdr:rowOff>
                  </from>
                  <to>
                    <xdr:col>4</xdr:col>
                    <xdr:colOff>412750</xdr:colOff>
                    <xdr:row>41</xdr:row>
                    <xdr:rowOff>228600</xdr:rowOff>
                  </to>
                </anchor>
              </controlPr>
            </control>
          </mc:Choice>
        </mc:AlternateContent>
        <mc:AlternateContent xmlns:mc="http://schemas.openxmlformats.org/markup-compatibility/2006">
          <mc:Choice Requires="x14">
            <control shapeId="86136" r:id="rId123" name="Option Button 120">
              <controlPr defaultSize="0" autoFill="0" autoLine="0" autoPict="0">
                <anchor moveWithCells="1">
                  <from>
                    <xdr:col>5</xdr:col>
                    <xdr:colOff>222250</xdr:colOff>
                    <xdr:row>41</xdr:row>
                    <xdr:rowOff>19050</xdr:rowOff>
                  </from>
                  <to>
                    <xdr:col>5</xdr:col>
                    <xdr:colOff>412750</xdr:colOff>
                    <xdr:row>41</xdr:row>
                    <xdr:rowOff>228600</xdr:rowOff>
                  </to>
                </anchor>
              </controlPr>
            </control>
          </mc:Choice>
        </mc:AlternateContent>
        <mc:AlternateContent xmlns:mc="http://schemas.openxmlformats.org/markup-compatibility/2006">
          <mc:Choice Requires="x14">
            <control shapeId="86137" r:id="rId124" name="Option Button 121">
              <controlPr defaultSize="0" autoFill="0" autoLine="0" autoPict="0">
                <anchor moveWithCells="1">
                  <from>
                    <xdr:col>6</xdr:col>
                    <xdr:colOff>222250</xdr:colOff>
                    <xdr:row>41</xdr:row>
                    <xdr:rowOff>19050</xdr:rowOff>
                  </from>
                  <to>
                    <xdr:col>6</xdr:col>
                    <xdr:colOff>412750</xdr:colOff>
                    <xdr:row>41</xdr:row>
                    <xdr:rowOff>228600</xdr:rowOff>
                  </to>
                </anchor>
              </controlPr>
            </control>
          </mc:Choice>
        </mc:AlternateContent>
        <mc:AlternateContent xmlns:mc="http://schemas.openxmlformats.org/markup-compatibility/2006">
          <mc:Choice Requires="x14">
            <control shapeId="86138" r:id="rId125" name="Option Button 122">
              <controlPr defaultSize="0" autoFill="0" autoLine="0" autoPict="0">
                <anchor moveWithCells="1">
                  <from>
                    <xdr:col>3</xdr:col>
                    <xdr:colOff>222250</xdr:colOff>
                    <xdr:row>42</xdr:row>
                    <xdr:rowOff>19050</xdr:rowOff>
                  </from>
                  <to>
                    <xdr:col>3</xdr:col>
                    <xdr:colOff>412750</xdr:colOff>
                    <xdr:row>42</xdr:row>
                    <xdr:rowOff>228600</xdr:rowOff>
                  </to>
                </anchor>
              </controlPr>
            </control>
          </mc:Choice>
        </mc:AlternateContent>
        <mc:AlternateContent xmlns:mc="http://schemas.openxmlformats.org/markup-compatibility/2006">
          <mc:Choice Requires="x14">
            <control shapeId="86139" r:id="rId126" name="Option Button 123">
              <controlPr defaultSize="0" autoFill="0" autoLine="0" autoPict="0">
                <anchor moveWithCells="1">
                  <from>
                    <xdr:col>4</xdr:col>
                    <xdr:colOff>222250</xdr:colOff>
                    <xdr:row>42</xdr:row>
                    <xdr:rowOff>19050</xdr:rowOff>
                  </from>
                  <to>
                    <xdr:col>4</xdr:col>
                    <xdr:colOff>412750</xdr:colOff>
                    <xdr:row>42</xdr:row>
                    <xdr:rowOff>228600</xdr:rowOff>
                  </to>
                </anchor>
              </controlPr>
            </control>
          </mc:Choice>
        </mc:AlternateContent>
        <mc:AlternateContent xmlns:mc="http://schemas.openxmlformats.org/markup-compatibility/2006">
          <mc:Choice Requires="x14">
            <control shapeId="86140" r:id="rId127" name="Option Button 124">
              <controlPr defaultSize="0" autoFill="0" autoLine="0" autoPict="0">
                <anchor moveWithCells="1">
                  <from>
                    <xdr:col>5</xdr:col>
                    <xdr:colOff>222250</xdr:colOff>
                    <xdr:row>42</xdr:row>
                    <xdr:rowOff>19050</xdr:rowOff>
                  </from>
                  <to>
                    <xdr:col>5</xdr:col>
                    <xdr:colOff>412750</xdr:colOff>
                    <xdr:row>42</xdr:row>
                    <xdr:rowOff>228600</xdr:rowOff>
                  </to>
                </anchor>
              </controlPr>
            </control>
          </mc:Choice>
        </mc:AlternateContent>
        <mc:AlternateContent xmlns:mc="http://schemas.openxmlformats.org/markup-compatibility/2006">
          <mc:Choice Requires="x14">
            <control shapeId="86141" r:id="rId128" name="Option Button 125">
              <controlPr defaultSize="0" autoFill="0" autoLine="0" autoPict="0">
                <anchor moveWithCells="1">
                  <from>
                    <xdr:col>6</xdr:col>
                    <xdr:colOff>222250</xdr:colOff>
                    <xdr:row>42</xdr:row>
                    <xdr:rowOff>19050</xdr:rowOff>
                  </from>
                  <to>
                    <xdr:col>6</xdr:col>
                    <xdr:colOff>412750</xdr:colOff>
                    <xdr:row>42</xdr:row>
                    <xdr:rowOff>228600</xdr:rowOff>
                  </to>
                </anchor>
              </controlPr>
            </control>
          </mc:Choice>
        </mc:AlternateContent>
        <mc:AlternateContent xmlns:mc="http://schemas.openxmlformats.org/markup-compatibility/2006">
          <mc:Choice Requires="x14">
            <control shapeId="86142" r:id="rId129" name="Option Button 126">
              <controlPr defaultSize="0" autoFill="0" autoLine="0" autoPict="0">
                <anchor moveWithCells="1">
                  <from>
                    <xdr:col>3</xdr:col>
                    <xdr:colOff>222250</xdr:colOff>
                    <xdr:row>43</xdr:row>
                    <xdr:rowOff>19050</xdr:rowOff>
                  </from>
                  <to>
                    <xdr:col>3</xdr:col>
                    <xdr:colOff>412750</xdr:colOff>
                    <xdr:row>43</xdr:row>
                    <xdr:rowOff>228600</xdr:rowOff>
                  </to>
                </anchor>
              </controlPr>
            </control>
          </mc:Choice>
        </mc:AlternateContent>
        <mc:AlternateContent xmlns:mc="http://schemas.openxmlformats.org/markup-compatibility/2006">
          <mc:Choice Requires="x14">
            <control shapeId="86143" r:id="rId130" name="Option Button 127">
              <controlPr defaultSize="0" autoFill="0" autoLine="0" autoPict="0">
                <anchor moveWithCells="1">
                  <from>
                    <xdr:col>4</xdr:col>
                    <xdr:colOff>222250</xdr:colOff>
                    <xdr:row>43</xdr:row>
                    <xdr:rowOff>19050</xdr:rowOff>
                  </from>
                  <to>
                    <xdr:col>4</xdr:col>
                    <xdr:colOff>412750</xdr:colOff>
                    <xdr:row>43</xdr:row>
                    <xdr:rowOff>228600</xdr:rowOff>
                  </to>
                </anchor>
              </controlPr>
            </control>
          </mc:Choice>
        </mc:AlternateContent>
        <mc:AlternateContent xmlns:mc="http://schemas.openxmlformats.org/markup-compatibility/2006">
          <mc:Choice Requires="x14">
            <control shapeId="86144" r:id="rId131" name="Option Button 128">
              <controlPr defaultSize="0" autoFill="0" autoLine="0" autoPict="0">
                <anchor moveWithCells="1">
                  <from>
                    <xdr:col>5</xdr:col>
                    <xdr:colOff>222250</xdr:colOff>
                    <xdr:row>43</xdr:row>
                    <xdr:rowOff>19050</xdr:rowOff>
                  </from>
                  <to>
                    <xdr:col>5</xdr:col>
                    <xdr:colOff>412750</xdr:colOff>
                    <xdr:row>43</xdr:row>
                    <xdr:rowOff>228600</xdr:rowOff>
                  </to>
                </anchor>
              </controlPr>
            </control>
          </mc:Choice>
        </mc:AlternateContent>
        <mc:AlternateContent xmlns:mc="http://schemas.openxmlformats.org/markup-compatibility/2006">
          <mc:Choice Requires="x14">
            <control shapeId="86145" r:id="rId132" name="Option Button 129">
              <controlPr defaultSize="0" autoFill="0" autoLine="0" autoPict="0">
                <anchor moveWithCells="1">
                  <from>
                    <xdr:col>6</xdr:col>
                    <xdr:colOff>222250</xdr:colOff>
                    <xdr:row>43</xdr:row>
                    <xdr:rowOff>19050</xdr:rowOff>
                  </from>
                  <to>
                    <xdr:col>6</xdr:col>
                    <xdr:colOff>412750</xdr:colOff>
                    <xdr:row>43</xdr:row>
                    <xdr:rowOff>228600</xdr:rowOff>
                  </to>
                </anchor>
              </controlPr>
            </control>
          </mc:Choice>
        </mc:AlternateContent>
        <mc:AlternateContent xmlns:mc="http://schemas.openxmlformats.org/markup-compatibility/2006">
          <mc:Choice Requires="x14">
            <control shapeId="86146" r:id="rId133" name="Option Button 130">
              <controlPr defaultSize="0" autoFill="0" autoLine="0" autoPict="0">
                <anchor moveWithCells="1">
                  <from>
                    <xdr:col>3</xdr:col>
                    <xdr:colOff>222250</xdr:colOff>
                    <xdr:row>44</xdr:row>
                    <xdr:rowOff>19050</xdr:rowOff>
                  </from>
                  <to>
                    <xdr:col>3</xdr:col>
                    <xdr:colOff>412750</xdr:colOff>
                    <xdr:row>44</xdr:row>
                    <xdr:rowOff>228600</xdr:rowOff>
                  </to>
                </anchor>
              </controlPr>
            </control>
          </mc:Choice>
        </mc:AlternateContent>
        <mc:AlternateContent xmlns:mc="http://schemas.openxmlformats.org/markup-compatibility/2006">
          <mc:Choice Requires="x14">
            <control shapeId="86147" r:id="rId134" name="Option Button 131">
              <controlPr defaultSize="0" autoFill="0" autoLine="0" autoPict="0">
                <anchor moveWithCells="1">
                  <from>
                    <xdr:col>4</xdr:col>
                    <xdr:colOff>222250</xdr:colOff>
                    <xdr:row>44</xdr:row>
                    <xdr:rowOff>19050</xdr:rowOff>
                  </from>
                  <to>
                    <xdr:col>4</xdr:col>
                    <xdr:colOff>412750</xdr:colOff>
                    <xdr:row>44</xdr:row>
                    <xdr:rowOff>228600</xdr:rowOff>
                  </to>
                </anchor>
              </controlPr>
            </control>
          </mc:Choice>
        </mc:AlternateContent>
        <mc:AlternateContent xmlns:mc="http://schemas.openxmlformats.org/markup-compatibility/2006">
          <mc:Choice Requires="x14">
            <control shapeId="86148" r:id="rId135" name="Option Button 132">
              <controlPr defaultSize="0" autoFill="0" autoLine="0" autoPict="0">
                <anchor moveWithCells="1">
                  <from>
                    <xdr:col>5</xdr:col>
                    <xdr:colOff>222250</xdr:colOff>
                    <xdr:row>44</xdr:row>
                    <xdr:rowOff>19050</xdr:rowOff>
                  </from>
                  <to>
                    <xdr:col>5</xdr:col>
                    <xdr:colOff>412750</xdr:colOff>
                    <xdr:row>44</xdr:row>
                    <xdr:rowOff>228600</xdr:rowOff>
                  </to>
                </anchor>
              </controlPr>
            </control>
          </mc:Choice>
        </mc:AlternateContent>
        <mc:AlternateContent xmlns:mc="http://schemas.openxmlformats.org/markup-compatibility/2006">
          <mc:Choice Requires="x14">
            <control shapeId="86149" r:id="rId136" name="Option Button 133">
              <controlPr defaultSize="0" autoFill="0" autoLine="0" autoPict="0">
                <anchor moveWithCells="1">
                  <from>
                    <xdr:col>6</xdr:col>
                    <xdr:colOff>222250</xdr:colOff>
                    <xdr:row>44</xdr:row>
                    <xdr:rowOff>19050</xdr:rowOff>
                  </from>
                  <to>
                    <xdr:col>6</xdr:col>
                    <xdr:colOff>412750</xdr:colOff>
                    <xdr:row>44</xdr:row>
                    <xdr:rowOff>228600</xdr:rowOff>
                  </to>
                </anchor>
              </controlPr>
            </control>
          </mc:Choice>
        </mc:AlternateContent>
        <mc:AlternateContent xmlns:mc="http://schemas.openxmlformats.org/markup-compatibility/2006">
          <mc:Choice Requires="x14">
            <control shapeId="86150" r:id="rId137" name="Option Button 134">
              <controlPr defaultSize="0" autoFill="0" autoLine="0" autoPict="0">
                <anchor moveWithCells="1">
                  <from>
                    <xdr:col>3</xdr:col>
                    <xdr:colOff>222250</xdr:colOff>
                    <xdr:row>45</xdr:row>
                    <xdr:rowOff>19050</xdr:rowOff>
                  </from>
                  <to>
                    <xdr:col>3</xdr:col>
                    <xdr:colOff>412750</xdr:colOff>
                    <xdr:row>45</xdr:row>
                    <xdr:rowOff>228600</xdr:rowOff>
                  </to>
                </anchor>
              </controlPr>
            </control>
          </mc:Choice>
        </mc:AlternateContent>
        <mc:AlternateContent xmlns:mc="http://schemas.openxmlformats.org/markup-compatibility/2006">
          <mc:Choice Requires="x14">
            <control shapeId="86151" r:id="rId138" name="Option Button 135">
              <controlPr defaultSize="0" autoFill="0" autoLine="0" autoPict="0">
                <anchor moveWithCells="1">
                  <from>
                    <xdr:col>4</xdr:col>
                    <xdr:colOff>222250</xdr:colOff>
                    <xdr:row>45</xdr:row>
                    <xdr:rowOff>19050</xdr:rowOff>
                  </from>
                  <to>
                    <xdr:col>4</xdr:col>
                    <xdr:colOff>412750</xdr:colOff>
                    <xdr:row>45</xdr:row>
                    <xdr:rowOff>228600</xdr:rowOff>
                  </to>
                </anchor>
              </controlPr>
            </control>
          </mc:Choice>
        </mc:AlternateContent>
        <mc:AlternateContent xmlns:mc="http://schemas.openxmlformats.org/markup-compatibility/2006">
          <mc:Choice Requires="x14">
            <control shapeId="86152" r:id="rId139" name="Option Button 136">
              <controlPr defaultSize="0" autoFill="0" autoLine="0" autoPict="0">
                <anchor moveWithCells="1">
                  <from>
                    <xdr:col>5</xdr:col>
                    <xdr:colOff>222250</xdr:colOff>
                    <xdr:row>45</xdr:row>
                    <xdr:rowOff>19050</xdr:rowOff>
                  </from>
                  <to>
                    <xdr:col>5</xdr:col>
                    <xdr:colOff>412750</xdr:colOff>
                    <xdr:row>45</xdr:row>
                    <xdr:rowOff>228600</xdr:rowOff>
                  </to>
                </anchor>
              </controlPr>
            </control>
          </mc:Choice>
        </mc:AlternateContent>
        <mc:AlternateContent xmlns:mc="http://schemas.openxmlformats.org/markup-compatibility/2006">
          <mc:Choice Requires="x14">
            <control shapeId="86153" r:id="rId140" name="Option Button 137">
              <controlPr defaultSize="0" autoFill="0" autoLine="0" autoPict="0">
                <anchor moveWithCells="1">
                  <from>
                    <xdr:col>6</xdr:col>
                    <xdr:colOff>222250</xdr:colOff>
                    <xdr:row>45</xdr:row>
                    <xdr:rowOff>19050</xdr:rowOff>
                  </from>
                  <to>
                    <xdr:col>6</xdr:col>
                    <xdr:colOff>412750</xdr:colOff>
                    <xdr:row>45</xdr:row>
                    <xdr:rowOff>228600</xdr:rowOff>
                  </to>
                </anchor>
              </controlPr>
            </control>
          </mc:Choice>
        </mc:AlternateContent>
        <mc:AlternateContent xmlns:mc="http://schemas.openxmlformats.org/markup-compatibility/2006">
          <mc:Choice Requires="x14">
            <control shapeId="86154" r:id="rId141" name="Option Button 138">
              <controlPr defaultSize="0" autoFill="0" autoLine="0" autoPict="0">
                <anchor moveWithCells="1">
                  <from>
                    <xdr:col>3</xdr:col>
                    <xdr:colOff>222250</xdr:colOff>
                    <xdr:row>46</xdr:row>
                    <xdr:rowOff>19050</xdr:rowOff>
                  </from>
                  <to>
                    <xdr:col>3</xdr:col>
                    <xdr:colOff>412750</xdr:colOff>
                    <xdr:row>46</xdr:row>
                    <xdr:rowOff>228600</xdr:rowOff>
                  </to>
                </anchor>
              </controlPr>
            </control>
          </mc:Choice>
        </mc:AlternateContent>
        <mc:AlternateContent xmlns:mc="http://schemas.openxmlformats.org/markup-compatibility/2006">
          <mc:Choice Requires="x14">
            <control shapeId="86155" r:id="rId142" name="Option Button 139">
              <controlPr defaultSize="0" autoFill="0" autoLine="0" autoPict="0">
                <anchor moveWithCells="1">
                  <from>
                    <xdr:col>4</xdr:col>
                    <xdr:colOff>222250</xdr:colOff>
                    <xdr:row>46</xdr:row>
                    <xdr:rowOff>19050</xdr:rowOff>
                  </from>
                  <to>
                    <xdr:col>4</xdr:col>
                    <xdr:colOff>412750</xdr:colOff>
                    <xdr:row>46</xdr:row>
                    <xdr:rowOff>228600</xdr:rowOff>
                  </to>
                </anchor>
              </controlPr>
            </control>
          </mc:Choice>
        </mc:AlternateContent>
        <mc:AlternateContent xmlns:mc="http://schemas.openxmlformats.org/markup-compatibility/2006">
          <mc:Choice Requires="x14">
            <control shapeId="86156" r:id="rId143" name="Option Button 140">
              <controlPr defaultSize="0" autoFill="0" autoLine="0" autoPict="0">
                <anchor moveWithCells="1">
                  <from>
                    <xdr:col>5</xdr:col>
                    <xdr:colOff>222250</xdr:colOff>
                    <xdr:row>46</xdr:row>
                    <xdr:rowOff>19050</xdr:rowOff>
                  </from>
                  <to>
                    <xdr:col>5</xdr:col>
                    <xdr:colOff>412750</xdr:colOff>
                    <xdr:row>46</xdr:row>
                    <xdr:rowOff>228600</xdr:rowOff>
                  </to>
                </anchor>
              </controlPr>
            </control>
          </mc:Choice>
        </mc:AlternateContent>
        <mc:AlternateContent xmlns:mc="http://schemas.openxmlformats.org/markup-compatibility/2006">
          <mc:Choice Requires="x14">
            <control shapeId="86157" r:id="rId144" name="Option Button 141">
              <controlPr defaultSize="0" autoFill="0" autoLine="0" autoPict="0">
                <anchor moveWithCells="1">
                  <from>
                    <xdr:col>6</xdr:col>
                    <xdr:colOff>222250</xdr:colOff>
                    <xdr:row>46</xdr:row>
                    <xdr:rowOff>19050</xdr:rowOff>
                  </from>
                  <to>
                    <xdr:col>6</xdr:col>
                    <xdr:colOff>412750</xdr:colOff>
                    <xdr:row>46</xdr:row>
                    <xdr:rowOff>228600</xdr:rowOff>
                  </to>
                </anchor>
              </controlPr>
            </control>
          </mc:Choice>
        </mc:AlternateContent>
        <mc:AlternateContent xmlns:mc="http://schemas.openxmlformats.org/markup-compatibility/2006">
          <mc:Choice Requires="x14">
            <control shapeId="86158" r:id="rId145" name="Option Button 142">
              <controlPr defaultSize="0" autoFill="0" autoLine="0" autoPict="0">
                <anchor moveWithCells="1">
                  <from>
                    <xdr:col>3</xdr:col>
                    <xdr:colOff>222250</xdr:colOff>
                    <xdr:row>47</xdr:row>
                    <xdr:rowOff>19050</xdr:rowOff>
                  </from>
                  <to>
                    <xdr:col>3</xdr:col>
                    <xdr:colOff>412750</xdr:colOff>
                    <xdr:row>47</xdr:row>
                    <xdr:rowOff>228600</xdr:rowOff>
                  </to>
                </anchor>
              </controlPr>
            </control>
          </mc:Choice>
        </mc:AlternateContent>
        <mc:AlternateContent xmlns:mc="http://schemas.openxmlformats.org/markup-compatibility/2006">
          <mc:Choice Requires="x14">
            <control shapeId="86159" r:id="rId146" name="Option Button 143">
              <controlPr defaultSize="0" autoFill="0" autoLine="0" autoPict="0">
                <anchor moveWithCells="1">
                  <from>
                    <xdr:col>4</xdr:col>
                    <xdr:colOff>222250</xdr:colOff>
                    <xdr:row>47</xdr:row>
                    <xdr:rowOff>19050</xdr:rowOff>
                  </from>
                  <to>
                    <xdr:col>4</xdr:col>
                    <xdr:colOff>412750</xdr:colOff>
                    <xdr:row>47</xdr:row>
                    <xdr:rowOff>228600</xdr:rowOff>
                  </to>
                </anchor>
              </controlPr>
            </control>
          </mc:Choice>
        </mc:AlternateContent>
        <mc:AlternateContent xmlns:mc="http://schemas.openxmlformats.org/markup-compatibility/2006">
          <mc:Choice Requires="x14">
            <control shapeId="86160" r:id="rId147" name="Option Button 144">
              <controlPr defaultSize="0" autoFill="0" autoLine="0" autoPict="0">
                <anchor moveWithCells="1">
                  <from>
                    <xdr:col>5</xdr:col>
                    <xdr:colOff>222250</xdr:colOff>
                    <xdr:row>47</xdr:row>
                    <xdr:rowOff>19050</xdr:rowOff>
                  </from>
                  <to>
                    <xdr:col>5</xdr:col>
                    <xdr:colOff>412750</xdr:colOff>
                    <xdr:row>47</xdr:row>
                    <xdr:rowOff>228600</xdr:rowOff>
                  </to>
                </anchor>
              </controlPr>
            </control>
          </mc:Choice>
        </mc:AlternateContent>
        <mc:AlternateContent xmlns:mc="http://schemas.openxmlformats.org/markup-compatibility/2006">
          <mc:Choice Requires="x14">
            <control shapeId="86161" r:id="rId148" name="Option Button 145">
              <controlPr defaultSize="0" autoFill="0" autoLine="0" autoPict="0">
                <anchor moveWithCells="1">
                  <from>
                    <xdr:col>6</xdr:col>
                    <xdr:colOff>222250</xdr:colOff>
                    <xdr:row>47</xdr:row>
                    <xdr:rowOff>19050</xdr:rowOff>
                  </from>
                  <to>
                    <xdr:col>6</xdr:col>
                    <xdr:colOff>412750</xdr:colOff>
                    <xdr:row>47</xdr:row>
                    <xdr:rowOff>228600</xdr:rowOff>
                  </to>
                </anchor>
              </controlPr>
            </control>
          </mc:Choice>
        </mc:AlternateContent>
        <mc:AlternateContent xmlns:mc="http://schemas.openxmlformats.org/markup-compatibility/2006">
          <mc:Choice Requires="x14">
            <control shapeId="86162" r:id="rId149" name="Option Button 146">
              <controlPr defaultSize="0" autoFill="0" autoLine="0" autoPict="0">
                <anchor moveWithCells="1">
                  <from>
                    <xdr:col>3</xdr:col>
                    <xdr:colOff>222250</xdr:colOff>
                    <xdr:row>48</xdr:row>
                    <xdr:rowOff>19050</xdr:rowOff>
                  </from>
                  <to>
                    <xdr:col>3</xdr:col>
                    <xdr:colOff>412750</xdr:colOff>
                    <xdr:row>48</xdr:row>
                    <xdr:rowOff>228600</xdr:rowOff>
                  </to>
                </anchor>
              </controlPr>
            </control>
          </mc:Choice>
        </mc:AlternateContent>
        <mc:AlternateContent xmlns:mc="http://schemas.openxmlformats.org/markup-compatibility/2006">
          <mc:Choice Requires="x14">
            <control shapeId="86163" r:id="rId150" name="Option Button 147">
              <controlPr defaultSize="0" autoFill="0" autoLine="0" autoPict="0">
                <anchor moveWithCells="1">
                  <from>
                    <xdr:col>4</xdr:col>
                    <xdr:colOff>222250</xdr:colOff>
                    <xdr:row>48</xdr:row>
                    <xdr:rowOff>19050</xdr:rowOff>
                  </from>
                  <to>
                    <xdr:col>4</xdr:col>
                    <xdr:colOff>412750</xdr:colOff>
                    <xdr:row>48</xdr:row>
                    <xdr:rowOff>228600</xdr:rowOff>
                  </to>
                </anchor>
              </controlPr>
            </control>
          </mc:Choice>
        </mc:AlternateContent>
        <mc:AlternateContent xmlns:mc="http://schemas.openxmlformats.org/markup-compatibility/2006">
          <mc:Choice Requires="x14">
            <control shapeId="86164" r:id="rId151" name="Option Button 148">
              <controlPr defaultSize="0" autoFill="0" autoLine="0" autoPict="0">
                <anchor moveWithCells="1">
                  <from>
                    <xdr:col>5</xdr:col>
                    <xdr:colOff>222250</xdr:colOff>
                    <xdr:row>48</xdr:row>
                    <xdr:rowOff>19050</xdr:rowOff>
                  </from>
                  <to>
                    <xdr:col>5</xdr:col>
                    <xdr:colOff>412750</xdr:colOff>
                    <xdr:row>48</xdr:row>
                    <xdr:rowOff>228600</xdr:rowOff>
                  </to>
                </anchor>
              </controlPr>
            </control>
          </mc:Choice>
        </mc:AlternateContent>
        <mc:AlternateContent xmlns:mc="http://schemas.openxmlformats.org/markup-compatibility/2006">
          <mc:Choice Requires="x14">
            <control shapeId="86165" r:id="rId152" name="Option Button 149">
              <controlPr defaultSize="0" autoFill="0" autoLine="0" autoPict="0">
                <anchor moveWithCells="1">
                  <from>
                    <xdr:col>6</xdr:col>
                    <xdr:colOff>222250</xdr:colOff>
                    <xdr:row>48</xdr:row>
                    <xdr:rowOff>19050</xdr:rowOff>
                  </from>
                  <to>
                    <xdr:col>6</xdr:col>
                    <xdr:colOff>412750</xdr:colOff>
                    <xdr:row>48</xdr:row>
                    <xdr:rowOff>228600</xdr:rowOff>
                  </to>
                </anchor>
              </controlPr>
            </control>
          </mc:Choice>
        </mc:AlternateContent>
        <mc:AlternateContent xmlns:mc="http://schemas.openxmlformats.org/markup-compatibility/2006">
          <mc:Choice Requires="x14">
            <control shapeId="86166" r:id="rId153" name="Group Box 150">
              <controlPr defaultSize="0" print="0" autoFill="0" autoPict="0">
                <anchor moveWithCells="1">
                  <from>
                    <xdr:col>3</xdr:col>
                    <xdr:colOff>0</xdr:colOff>
                    <xdr:row>13</xdr:row>
                    <xdr:rowOff>0</xdr:rowOff>
                  </from>
                  <to>
                    <xdr:col>6</xdr:col>
                    <xdr:colOff>603250</xdr:colOff>
                    <xdr:row>14</xdr:row>
                    <xdr:rowOff>0</xdr:rowOff>
                  </to>
                </anchor>
              </controlPr>
            </control>
          </mc:Choice>
        </mc:AlternateContent>
        <mc:AlternateContent xmlns:mc="http://schemas.openxmlformats.org/markup-compatibility/2006">
          <mc:Choice Requires="x14">
            <control shapeId="86167" r:id="rId154" name="Group Box 151">
              <controlPr defaultSize="0" print="0" autoFill="0" autoPict="0">
                <anchor moveWithCells="1">
                  <from>
                    <xdr:col>3</xdr:col>
                    <xdr:colOff>0</xdr:colOff>
                    <xdr:row>14</xdr:row>
                    <xdr:rowOff>0</xdr:rowOff>
                  </from>
                  <to>
                    <xdr:col>6</xdr:col>
                    <xdr:colOff>603250</xdr:colOff>
                    <xdr:row>15</xdr:row>
                    <xdr:rowOff>0</xdr:rowOff>
                  </to>
                </anchor>
              </controlPr>
            </control>
          </mc:Choice>
        </mc:AlternateContent>
        <mc:AlternateContent xmlns:mc="http://schemas.openxmlformats.org/markup-compatibility/2006">
          <mc:Choice Requires="x14">
            <control shapeId="86168" r:id="rId155" name="Group Box 152">
              <controlPr defaultSize="0" print="0" autoFill="0" autoPict="0">
                <anchor moveWithCells="1">
                  <from>
                    <xdr:col>3</xdr:col>
                    <xdr:colOff>0</xdr:colOff>
                    <xdr:row>15</xdr:row>
                    <xdr:rowOff>0</xdr:rowOff>
                  </from>
                  <to>
                    <xdr:col>6</xdr:col>
                    <xdr:colOff>603250</xdr:colOff>
                    <xdr:row>16</xdr:row>
                    <xdr:rowOff>0</xdr:rowOff>
                  </to>
                </anchor>
              </controlPr>
            </control>
          </mc:Choice>
        </mc:AlternateContent>
        <mc:AlternateContent xmlns:mc="http://schemas.openxmlformats.org/markup-compatibility/2006">
          <mc:Choice Requires="x14">
            <control shapeId="86169" r:id="rId156" name="Group Box 153">
              <controlPr defaultSize="0" print="0" autoFill="0" autoPict="0">
                <anchor moveWithCells="1">
                  <from>
                    <xdr:col>3</xdr:col>
                    <xdr:colOff>0</xdr:colOff>
                    <xdr:row>16</xdr:row>
                    <xdr:rowOff>0</xdr:rowOff>
                  </from>
                  <to>
                    <xdr:col>6</xdr:col>
                    <xdr:colOff>603250</xdr:colOff>
                    <xdr:row>17</xdr:row>
                    <xdr:rowOff>0</xdr:rowOff>
                  </to>
                </anchor>
              </controlPr>
            </control>
          </mc:Choice>
        </mc:AlternateContent>
        <mc:AlternateContent xmlns:mc="http://schemas.openxmlformats.org/markup-compatibility/2006">
          <mc:Choice Requires="x14">
            <control shapeId="86170" r:id="rId157" name="Group Box 154">
              <controlPr defaultSize="0" print="0" autoFill="0" autoPict="0">
                <anchor moveWithCells="1">
                  <from>
                    <xdr:col>3</xdr:col>
                    <xdr:colOff>0</xdr:colOff>
                    <xdr:row>17</xdr:row>
                    <xdr:rowOff>0</xdr:rowOff>
                  </from>
                  <to>
                    <xdr:col>6</xdr:col>
                    <xdr:colOff>603250</xdr:colOff>
                    <xdr:row>18</xdr:row>
                    <xdr:rowOff>0</xdr:rowOff>
                  </to>
                </anchor>
              </controlPr>
            </control>
          </mc:Choice>
        </mc:AlternateContent>
        <mc:AlternateContent xmlns:mc="http://schemas.openxmlformats.org/markup-compatibility/2006">
          <mc:Choice Requires="x14">
            <control shapeId="86171" r:id="rId158" name="Group Box 155">
              <controlPr defaultSize="0" print="0" autoFill="0" autoPict="0">
                <anchor moveWithCells="1">
                  <from>
                    <xdr:col>3</xdr:col>
                    <xdr:colOff>0</xdr:colOff>
                    <xdr:row>18</xdr:row>
                    <xdr:rowOff>0</xdr:rowOff>
                  </from>
                  <to>
                    <xdr:col>6</xdr:col>
                    <xdr:colOff>603250</xdr:colOff>
                    <xdr:row>19</xdr:row>
                    <xdr:rowOff>0</xdr:rowOff>
                  </to>
                </anchor>
              </controlPr>
            </control>
          </mc:Choice>
        </mc:AlternateContent>
        <mc:AlternateContent xmlns:mc="http://schemas.openxmlformats.org/markup-compatibility/2006">
          <mc:Choice Requires="x14">
            <control shapeId="86172" r:id="rId159" name="Group Box 156">
              <controlPr defaultSize="0" print="0" autoFill="0" autoPict="0">
                <anchor moveWithCells="1">
                  <from>
                    <xdr:col>3</xdr:col>
                    <xdr:colOff>0</xdr:colOff>
                    <xdr:row>19</xdr:row>
                    <xdr:rowOff>0</xdr:rowOff>
                  </from>
                  <to>
                    <xdr:col>6</xdr:col>
                    <xdr:colOff>603250</xdr:colOff>
                    <xdr:row>20</xdr:row>
                    <xdr:rowOff>0</xdr:rowOff>
                  </to>
                </anchor>
              </controlPr>
            </control>
          </mc:Choice>
        </mc:AlternateContent>
        <mc:AlternateContent xmlns:mc="http://schemas.openxmlformats.org/markup-compatibility/2006">
          <mc:Choice Requires="x14">
            <control shapeId="86173" r:id="rId160" name="Group Box 157">
              <controlPr defaultSize="0" print="0" autoFill="0" autoPict="0">
                <anchor moveWithCells="1">
                  <from>
                    <xdr:col>3</xdr:col>
                    <xdr:colOff>0</xdr:colOff>
                    <xdr:row>20</xdr:row>
                    <xdr:rowOff>0</xdr:rowOff>
                  </from>
                  <to>
                    <xdr:col>6</xdr:col>
                    <xdr:colOff>603250</xdr:colOff>
                    <xdr:row>21</xdr:row>
                    <xdr:rowOff>0</xdr:rowOff>
                  </to>
                </anchor>
              </controlPr>
            </control>
          </mc:Choice>
        </mc:AlternateContent>
        <mc:AlternateContent xmlns:mc="http://schemas.openxmlformats.org/markup-compatibility/2006">
          <mc:Choice Requires="x14">
            <control shapeId="86174" r:id="rId161" name="Group Box 158">
              <controlPr defaultSize="0" print="0" autoFill="0" autoPict="0">
                <anchor moveWithCells="1">
                  <from>
                    <xdr:col>3</xdr:col>
                    <xdr:colOff>0</xdr:colOff>
                    <xdr:row>21</xdr:row>
                    <xdr:rowOff>0</xdr:rowOff>
                  </from>
                  <to>
                    <xdr:col>6</xdr:col>
                    <xdr:colOff>603250</xdr:colOff>
                    <xdr:row>22</xdr:row>
                    <xdr:rowOff>0</xdr:rowOff>
                  </to>
                </anchor>
              </controlPr>
            </control>
          </mc:Choice>
        </mc:AlternateContent>
        <mc:AlternateContent xmlns:mc="http://schemas.openxmlformats.org/markup-compatibility/2006">
          <mc:Choice Requires="x14">
            <control shapeId="86175" r:id="rId162" name="Group Box 159">
              <controlPr defaultSize="0" print="0" autoFill="0" autoPict="0">
                <anchor moveWithCells="1">
                  <from>
                    <xdr:col>3</xdr:col>
                    <xdr:colOff>0</xdr:colOff>
                    <xdr:row>22</xdr:row>
                    <xdr:rowOff>0</xdr:rowOff>
                  </from>
                  <to>
                    <xdr:col>6</xdr:col>
                    <xdr:colOff>603250</xdr:colOff>
                    <xdr:row>23</xdr:row>
                    <xdr:rowOff>0</xdr:rowOff>
                  </to>
                </anchor>
              </controlPr>
            </control>
          </mc:Choice>
        </mc:AlternateContent>
        <mc:AlternateContent xmlns:mc="http://schemas.openxmlformats.org/markup-compatibility/2006">
          <mc:Choice Requires="x14">
            <control shapeId="86176" r:id="rId163" name="Group Box 160">
              <controlPr defaultSize="0" print="0" autoFill="0" autoPict="0">
                <anchor moveWithCells="1">
                  <from>
                    <xdr:col>3</xdr:col>
                    <xdr:colOff>0</xdr:colOff>
                    <xdr:row>23</xdr:row>
                    <xdr:rowOff>0</xdr:rowOff>
                  </from>
                  <to>
                    <xdr:col>6</xdr:col>
                    <xdr:colOff>603250</xdr:colOff>
                    <xdr:row>24</xdr:row>
                    <xdr:rowOff>0</xdr:rowOff>
                  </to>
                </anchor>
              </controlPr>
            </control>
          </mc:Choice>
        </mc:AlternateContent>
        <mc:AlternateContent xmlns:mc="http://schemas.openxmlformats.org/markup-compatibility/2006">
          <mc:Choice Requires="x14">
            <control shapeId="86177" r:id="rId164" name="Group Box 161">
              <controlPr defaultSize="0" print="0" autoFill="0" autoPict="0">
                <anchor moveWithCells="1">
                  <from>
                    <xdr:col>3</xdr:col>
                    <xdr:colOff>0</xdr:colOff>
                    <xdr:row>24</xdr:row>
                    <xdr:rowOff>0</xdr:rowOff>
                  </from>
                  <to>
                    <xdr:col>6</xdr:col>
                    <xdr:colOff>603250</xdr:colOff>
                    <xdr:row>25</xdr:row>
                    <xdr:rowOff>0</xdr:rowOff>
                  </to>
                </anchor>
              </controlPr>
            </control>
          </mc:Choice>
        </mc:AlternateContent>
        <mc:AlternateContent xmlns:mc="http://schemas.openxmlformats.org/markup-compatibility/2006">
          <mc:Choice Requires="x14">
            <control shapeId="86178" r:id="rId165" name="Group Box 162">
              <controlPr defaultSize="0" print="0" autoFill="0" autoPict="0">
                <anchor moveWithCells="1">
                  <from>
                    <xdr:col>3</xdr:col>
                    <xdr:colOff>0</xdr:colOff>
                    <xdr:row>25</xdr:row>
                    <xdr:rowOff>0</xdr:rowOff>
                  </from>
                  <to>
                    <xdr:col>6</xdr:col>
                    <xdr:colOff>603250</xdr:colOff>
                    <xdr:row>26</xdr:row>
                    <xdr:rowOff>0</xdr:rowOff>
                  </to>
                </anchor>
              </controlPr>
            </control>
          </mc:Choice>
        </mc:AlternateContent>
        <mc:AlternateContent xmlns:mc="http://schemas.openxmlformats.org/markup-compatibility/2006">
          <mc:Choice Requires="x14">
            <control shapeId="86179" r:id="rId166" name="Group Box 163">
              <controlPr defaultSize="0" print="0" autoFill="0" autoPict="0">
                <anchor moveWithCells="1">
                  <from>
                    <xdr:col>3</xdr:col>
                    <xdr:colOff>0</xdr:colOff>
                    <xdr:row>26</xdr:row>
                    <xdr:rowOff>0</xdr:rowOff>
                  </from>
                  <to>
                    <xdr:col>6</xdr:col>
                    <xdr:colOff>603250</xdr:colOff>
                    <xdr:row>27</xdr:row>
                    <xdr:rowOff>0</xdr:rowOff>
                  </to>
                </anchor>
              </controlPr>
            </control>
          </mc:Choice>
        </mc:AlternateContent>
        <mc:AlternateContent xmlns:mc="http://schemas.openxmlformats.org/markup-compatibility/2006">
          <mc:Choice Requires="x14">
            <control shapeId="86180" r:id="rId167" name="Group Box 164">
              <controlPr defaultSize="0" print="0" autoFill="0" autoPict="0">
                <anchor moveWithCells="1">
                  <from>
                    <xdr:col>3</xdr:col>
                    <xdr:colOff>0</xdr:colOff>
                    <xdr:row>27</xdr:row>
                    <xdr:rowOff>0</xdr:rowOff>
                  </from>
                  <to>
                    <xdr:col>6</xdr:col>
                    <xdr:colOff>603250</xdr:colOff>
                    <xdr:row>28</xdr:row>
                    <xdr:rowOff>0</xdr:rowOff>
                  </to>
                </anchor>
              </controlPr>
            </control>
          </mc:Choice>
        </mc:AlternateContent>
        <mc:AlternateContent xmlns:mc="http://schemas.openxmlformats.org/markup-compatibility/2006">
          <mc:Choice Requires="x14">
            <control shapeId="86181" r:id="rId168" name="Group Box 165">
              <controlPr defaultSize="0" print="0" autoFill="0" autoPict="0">
                <anchor moveWithCells="1">
                  <from>
                    <xdr:col>3</xdr:col>
                    <xdr:colOff>0</xdr:colOff>
                    <xdr:row>28</xdr:row>
                    <xdr:rowOff>0</xdr:rowOff>
                  </from>
                  <to>
                    <xdr:col>6</xdr:col>
                    <xdr:colOff>603250</xdr:colOff>
                    <xdr:row>29</xdr:row>
                    <xdr:rowOff>0</xdr:rowOff>
                  </to>
                </anchor>
              </controlPr>
            </control>
          </mc:Choice>
        </mc:AlternateContent>
        <mc:AlternateContent xmlns:mc="http://schemas.openxmlformats.org/markup-compatibility/2006">
          <mc:Choice Requires="x14">
            <control shapeId="86182" r:id="rId169" name="Group Box 166">
              <controlPr defaultSize="0" print="0" autoFill="0" autoPict="0">
                <anchor moveWithCells="1">
                  <from>
                    <xdr:col>3</xdr:col>
                    <xdr:colOff>0</xdr:colOff>
                    <xdr:row>29</xdr:row>
                    <xdr:rowOff>0</xdr:rowOff>
                  </from>
                  <to>
                    <xdr:col>6</xdr:col>
                    <xdr:colOff>603250</xdr:colOff>
                    <xdr:row>30</xdr:row>
                    <xdr:rowOff>0</xdr:rowOff>
                  </to>
                </anchor>
              </controlPr>
            </control>
          </mc:Choice>
        </mc:AlternateContent>
        <mc:AlternateContent xmlns:mc="http://schemas.openxmlformats.org/markup-compatibility/2006">
          <mc:Choice Requires="x14">
            <control shapeId="86183" r:id="rId170" name="Group Box 167">
              <controlPr defaultSize="0" print="0" autoFill="0" autoPict="0">
                <anchor moveWithCells="1">
                  <from>
                    <xdr:col>3</xdr:col>
                    <xdr:colOff>0</xdr:colOff>
                    <xdr:row>30</xdr:row>
                    <xdr:rowOff>0</xdr:rowOff>
                  </from>
                  <to>
                    <xdr:col>6</xdr:col>
                    <xdr:colOff>603250</xdr:colOff>
                    <xdr:row>31</xdr:row>
                    <xdr:rowOff>0</xdr:rowOff>
                  </to>
                </anchor>
              </controlPr>
            </control>
          </mc:Choice>
        </mc:AlternateContent>
        <mc:AlternateContent xmlns:mc="http://schemas.openxmlformats.org/markup-compatibility/2006">
          <mc:Choice Requires="x14">
            <control shapeId="86184" r:id="rId171" name="Group Box 168">
              <controlPr defaultSize="0" print="0" autoFill="0" autoPict="0">
                <anchor moveWithCells="1">
                  <from>
                    <xdr:col>3</xdr:col>
                    <xdr:colOff>0</xdr:colOff>
                    <xdr:row>31</xdr:row>
                    <xdr:rowOff>0</xdr:rowOff>
                  </from>
                  <to>
                    <xdr:col>6</xdr:col>
                    <xdr:colOff>603250</xdr:colOff>
                    <xdr:row>32</xdr:row>
                    <xdr:rowOff>0</xdr:rowOff>
                  </to>
                </anchor>
              </controlPr>
            </control>
          </mc:Choice>
        </mc:AlternateContent>
        <mc:AlternateContent xmlns:mc="http://schemas.openxmlformats.org/markup-compatibility/2006">
          <mc:Choice Requires="x14">
            <control shapeId="86185" r:id="rId172" name="Group Box 169">
              <controlPr defaultSize="0" print="0" autoFill="0" autoPict="0">
                <anchor moveWithCells="1">
                  <from>
                    <xdr:col>3</xdr:col>
                    <xdr:colOff>0</xdr:colOff>
                    <xdr:row>32</xdr:row>
                    <xdr:rowOff>0</xdr:rowOff>
                  </from>
                  <to>
                    <xdr:col>6</xdr:col>
                    <xdr:colOff>603250</xdr:colOff>
                    <xdr:row>33</xdr:row>
                    <xdr:rowOff>0</xdr:rowOff>
                  </to>
                </anchor>
              </controlPr>
            </control>
          </mc:Choice>
        </mc:AlternateContent>
        <mc:AlternateContent xmlns:mc="http://schemas.openxmlformats.org/markup-compatibility/2006">
          <mc:Choice Requires="x14">
            <control shapeId="86186" r:id="rId173" name="Group Box 170">
              <controlPr defaultSize="0" print="0" autoFill="0" autoPict="0">
                <anchor moveWithCells="1">
                  <from>
                    <xdr:col>3</xdr:col>
                    <xdr:colOff>0</xdr:colOff>
                    <xdr:row>33</xdr:row>
                    <xdr:rowOff>0</xdr:rowOff>
                  </from>
                  <to>
                    <xdr:col>6</xdr:col>
                    <xdr:colOff>603250</xdr:colOff>
                    <xdr:row>34</xdr:row>
                    <xdr:rowOff>0</xdr:rowOff>
                  </to>
                </anchor>
              </controlPr>
            </control>
          </mc:Choice>
        </mc:AlternateContent>
        <mc:AlternateContent xmlns:mc="http://schemas.openxmlformats.org/markup-compatibility/2006">
          <mc:Choice Requires="x14">
            <control shapeId="86187" r:id="rId174" name="Group Box 171">
              <controlPr defaultSize="0" print="0" autoFill="0" autoPict="0">
                <anchor moveWithCells="1">
                  <from>
                    <xdr:col>3</xdr:col>
                    <xdr:colOff>0</xdr:colOff>
                    <xdr:row>34</xdr:row>
                    <xdr:rowOff>0</xdr:rowOff>
                  </from>
                  <to>
                    <xdr:col>6</xdr:col>
                    <xdr:colOff>603250</xdr:colOff>
                    <xdr:row>35</xdr:row>
                    <xdr:rowOff>0</xdr:rowOff>
                  </to>
                </anchor>
              </controlPr>
            </control>
          </mc:Choice>
        </mc:AlternateContent>
        <mc:AlternateContent xmlns:mc="http://schemas.openxmlformats.org/markup-compatibility/2006">
          <mc:Choice Requires="x14">
            <control shapeId="86188" r:id="rId175" name="Group Box 172">
              <controlPr defaultSize="0" print="0" autoFill="0" autoPict="0">
                <anchor moveWithCells="1">
                  <from>
                    <xdr:col>3</xdr:col>
                    <xdr:colOff>0</xdr:colOff>
                    <xdr:row>35</xdr:row>
                    <xdr:rowOff>0</xdr:rowOff>
                  </from>
                  <to>
                    <xdr:col>6</xdr:col>
                    <xdr:colOff>603250</xdr:colOff>
                    <xdr:row>36</xdr:row>
                    <xdr:rowOff>0</xdr:rowOff>
                  </to>
                </anchor>
              </controlPr>
            </control>
          </mc:Choice>
        </mc:AlternateContent>
        <mc:AlternateContent xmlns:mc="http://schemas.openxmlformats.org/markup-compatibility/2006">
          <mc:Choice Requires="x14">
            <control shapeId="86189" r:id="rId176" name="Group Box 173">
              <controlPr defaultSize="0" print="0" autoFill="0" autoPict="0">
                <anchor moveWithCells="1">
                  <from>
                    <xdr:col>3</xdr:col>
                    <xdr:colOff>0</xdr:colOff>
                    <xdr:row>36</xdr:row>
                    <xdr:rowOff>0</xdr:rowOff>
                  </from>
                  <to>
                    <xdr:col>6</xdr:col>
                    <xdr:colOff>603250</xdr:colOff>
                    <xdr:row>37</xdr:row>
                    <xdr:rowOff>0</xdr:rowOff>
                  </to>
                </anchor>
              </controlPr>
            </control>
          </mc:Choice>
        </mc:AlternateContent>
        <mc:AlternateContent xmlns:mc="http://schemas.openxmlformats.org/markup-compatibility/2006">
          <mc:Choice Requires="x14">
            <control shapeId="86190" r:id="rId177" name="Group Box 174">
              <controlPr defaultSize="0" print="0" autoFill="0" autoPict="0">
                <anchor moveWithCells="1">
                  <from>
                    <xdr:col>3</xdr:col>
                    <xdr:colOff>0</xdr:colOff>
                    <xdr:row>37</xdr:row>
                    <xdr:rowOff>0</xdr:rowOff>
                  </from>
                  <to>
                    <xdr:col>6</xdr:col>
                    <xdr:colOff>603250</xdr:colOff>
                    <xdr:row>38</xdr:row>
                    <xdr:rowOff>0</xdr:rowOff>
                  </to>
                </anchor>
              </controlPr>
            </control>
          </mc:Choice>
        </mc:AlternateContent>
        <mc:AlternateContent xmlns:mc="http://schemas.openxmlformats.org/markup-compatibility/2006">
          <mc:Choice Requires="x14">
            <control shapeId="86191" r:id="rId178" name="Group Box 175">
              <controlPr defaultSize="0" print="0" autoFill="0" autoPict="0">
                <anchor moveWithCells="1">
                  <from>
                    <xdr:col>3</xdr:col>
                    <xdr:colOff>0</xdr:colOff>
                    <xdr:row>38</xdr:row>
                    <xdr:rowOff>0</xdr:rowOff>
                  </from>
                  <to>
                    <xdr:col>6</xdr:col>
                    <xdr:colOff>603250</xdr:colOff>
                    <xdr:row>39</xdr:row>
                    <xdr:rowOff>0</xdr:rowOff>
                  </to>
                </anchor>
              </controlPr>
            </control>
          </mc:Choice>
        </mc:AlternateContent>
        <mc:AlternateContent xmlns:mc="http://schemas.openxmlformats.org/markup-compatibility/2006">
          <mc:Choice Requires="x14">
            <control shapeId="86192" r:id="rId179" name="Group Box 176">
              <controlPr defaultSize="0" print="0" autoFill="0" autoPict="0">
                <anchor moveWithCells="1">
                  <from>
                    <xdr:col>3</xdr:col>
                    <xdr:colOff>0</xdr:colOff>
                    <xdr:row>39</xdr:row>
                    <xdr:rowOff>0</xdr:rowOff>
                  </from>
                  <to>
                    <xdr:col>6</xdr:col>
                    <xdr:colOff>603250</xdr:colOff>
                    <xdr:row>40</xdr:row>
                    <xdr:rowOff>0</xdr:rowOff>
                  </to>
                </anchor>
              </controlPr>
            </control>
          </mc:Choice>
        </mc:AlternateContent>
        <mc:AlternateContent xmlns:mc="http://schemas.openxmlformats.org/markup-compatibility/2006">
          <mc:Choice Requires="x14">
            <control shapeId="86193" r:id="rId180" name="Group Box 177">
              <controlPr defaultSize="0" print="0" autoFill="0" autoPict="0">
                <anchor moveWithCells="1">
                  <from>
                    <xdr:col>3</xdr:col>
                    <xdr:colOff>0</xdr:colOff>
                    <xdr:row>40</xdr:row>
                    <xdr:rowOff>0</xdr:rowOff>
                  </from>
                  <to>
                    <xdr:col>6</xdr:col>
                    <xdr:colOff>603250</xdr:colOff>
                    <xdr:row>41</xdr:row>
                    <xdr:rowOff>0</xdr:rowOff>
                  </to>
                </anchor>
              </controlPr>
            </control>
          </mc:Choice>
        </mc:AlternateContent>
        <mc:AlternateContent xmlns:mc="http://schemas.openxmlformats.org/markup-compatibility/2006">
          <mc:Choice Requires="x14">
            <control shapeId="86194" r:id="rId181" name="Group Box 178">
              <controlPr defaultSize="0" print="0" autoFill="0" autoPict="0">
                <anchor moveWithCells="1">
                  <from>
                    <xdr:col>3</xdr:col>
                    <xdr:colOff>0</xdr:colOff>
                    <xdr:row>41</xdr:row>
                    <xdr:rowOff>0</xdr:rowOff>
                  </from>
                  <to>
                    <xdr:col>6</xdr:col>
                    <xdr:colOff>603250</xdr:colOff>
                    <xdr:row>42</xdr:row>
                    <xdr:rowOff>0</xdr:rowOff>
                  </to>
                </anchor>
              </controlPr>
            </control>
          </mc:Choice>
        </mc:AlternateContent>
        <mc:AlternateContent xmlns:mc="http://schemas.openxmlformats.org/markup-compatibility/2006">
          <mc:Choice Requires="x14">
            <control shapeId="86195" r:id="rId182" name="Group Box 179">
              <controlPr defaultSize="0" print="0" autoFill="0" autoPict="0">
                <anchor moveWithCells="1">
                  <from>
                    <xdr:col>3</xdr:col>
                    <xdr:colOff>0</xdr:colOff>
                    <xdr:row>42</xdr:row>
                    <xdr:rowOff>0</xdr:rowOff>
                  </from>
                  <to>
                    <xdr:col>6</xdr:col>
                    <xdr:colOff>603250</xdr:colOff>
                    <xdr:row>43</xdr:row>
                    <xdr:rowOff>0</xdr:rowOff>
                  </to>
                </anchor>
              </controlPr>
            </control>
          </mc:Choice>
        </mc:AlternateContent>
        <mc:AlternateContent xmlns:mc="http://schemas.openxmlformats.org/markup-compatibility/2006">
          <mc:Choice Requires="x14">
            <control shapeId="86196" r:id="rId183" name="Group Box 180">
              <controlPr defaultSize="0" print="0" autoFill="0" autoPict="0">
                <anchor moveWithCells="1">
                  <from>
                    <xdr:col>3</xdr:col>
                    <xdr:colOff>0</xdr:colOff>
                    <xdr:row>43</xdr:row>
                    <xdr:rowOff>0</xdr:rowOff>
                  </from>
                  <to>
                    <xdr:col>6</xdr:col>
                    <xdr:colOff>603250</xdr:colOff>
                    <xdr:row>44</xdr:row>
                    <xdr:rowOff>0</xdr:rowOff>
                  </to>
                </anchor>
              </controlPr>
            </control>
          </mc:Choice>
        </mc:AlternateContent>
        <mc:AlternateContent xmlns:mc="http://schemas.openxmlformats.org/markup-compatibility/2006">
          <mc:Choice Requires="x14">
            <control shapeId="86197" r:id="rId184" name="Group Box 181">
              <controlPr defaultSize="0" print="0" autoFill="0" autoPict="0">
                <anchor moveWithCells="1">
                  <from>
                    <xdr:col>3</xdr:col>
                    <xdr:colOff>0</xdr:colOff>
                    <xdr:row>44</xdr:row>
                    <xdr:rowOff>0</xdr:rowOff>
                  </from>
                  <to>
                    <xdr:col>6</xdr:col>
                    <xdr:colOff>603250</xdr:colOff>
                    <xdr:row>45</xdr:row>
                    <xdr:rowOff>0</xdr:rowOff>
                  </to>
                </anchor>
              </controlPr>
            </control>
          </mc:Choice>
        </mc:AlternateContent>
        <mc:AlternateContent xmlns:mc="http://schemas.openxmlformats.org/markup-compatibility/2006">
          <mc:Choice Requires="x14">
            <control shapeId="86198" r:id="rId185" name="Group Box 182">
              <controlPr defaultSize="0" print="0" autoFill="0" autoPict="0">
                <anchor moveWithCells="1">
                  <from>
                    <xdr:col>3</xdr:col>
                    <xdr:colOff>0</xdr:colOff>
                    <xdr:row>45</xdr:row>
                    <xdr:rowOff>0</xdr:rowOff>
                  </from>
                  <to>
                    <xdr:col>6</xdr:col>
                    <xdr:colOff>603250</xdr:colOff>
                    <xdr:row>46</xdr:row>
                    <xdr:rowOff>0</xdr:rowOff>
                  </to>
                </anchor>
              </controlPr>
            </control>
          </mc:Choice>
        </mc:AlternateContent>
        <mc:AlternateContent xmlns:mc="http://schemas.openxmlformats.org/markup-compatibility/2006">
          <mc:Choice Requires="x14">
            <control shapeId="86199" r:id="rId186" name="Group Box 183">
              <controlPr defaultSize="0" print="0" autoFill="0" autoPict="0">
                <anchor moveWithCells="1">
                  <from>
                    <xdr:col>3</xdr:col>
                    <xdr:colOff>0</xdr:colOff>
                    <xdr:row>46</xdr:row>
                    <xdr:rowOff>0</xdr:rowOff>
                  </from>
                  <to>
                    <xdr:col>6</xdr:col>
                    <xdr:colOff>603250</xdr:colOff>
                    <xdr:row>47</xdr:row>
                    <xdr:rowOff>0</xdr:rowOff>
                  </to>
                </anchor>
              </controlPr>
            </control>
          </mc:Choice>
        </mc:AlternateContent>
        <mc:AlternateContent xmlns:mc="http://schemas.openxmlformats.org/markup-compatibility/2006">
          <mc:Choice Requires="x14">
            <control shapeId="86200" r:id="rId187" name="Group Box 184">
              <controlPr defaultSize="0" print="0" autoFill="0" autoPict="0">
                <anchor moveWithCells="1">
                  <from>
                    <xdr:col>3</xdr:col>
                    <xdr:colOff>0</xdr:colOff>
                    <xdr:row>47</xdr:row>
                    <xdr:rowOff>0</xdr:rowOff>
                  </from>
                  <to>
                    <xdr:col>6</xdr:col>
                    <xdr:colOff>603250</xdr:colOff>
                    <xdr:row>48</xdr:row>
                    <xdr:rowOff>0</xdr:rowOff>
                  </to>
                </anchor>
              </controlPr>
            </control>
          </mc:Choice>
        </mc:AlternateContent>
        <mc:AlternateContent xmlns:mc="http://schemas.openxmlformats.org/markup-compatibility/2006">
          <mc:Choice Requires="x14">
            <control shapeId="86201" r:id="rId188" name="Group Box 185">
              <controlPr defaultSize="0" print="0" autoFill="0" autoPict="0">
                <anchor moveWithCells="1">
                  <from>
                    <xdr:col>3</xdr:col>
                    <xdr:colOff>0</xdr:colOff>
                    <xdr:row>48</xdr:row>
                    <xdr:rowOff>0</xdr:rowOff>
                  </from>
                  <to>
                    <xdr:col>6</xdr:col>
                    <xdr:colOff>603250</xdr:colOff>
                    <xdr:row>49</xdr:row>
                    <xdr:rowOff>0</xdr:rowOff>
                  </to>
                </anchor>
              </controlPr>
            </control>
          </mc:Choice>
        </mc:AlternateContent>
        <mc:AlternateContent xmlns:mc="http://schemas.openxmlformats.org/markup-compatibility/2006">
          <mc:Choice Requires="x14">
            <control shapeId="86202" r:id="rId189" name="Group Box 186">
              <controlPr defaultSize="0" print="0" autoFill="0" autoPict="0">
                <anchor moveWithCells="1">
                  <from>
                    <xdr:col>3</xdr:col>
                    <xdr:colOff>0</xdr:colOff>
                    <xdr:row>49</xdr:row>
                    <xdr:rowOff>0</xdr:rowOff>
                  </from>
                  <to>
                    <xdr:col>6</xdr:col>
                    <xdr:colOff>603250</xdr:colOff>
                    <xdr:row>50</xdr:row>
                    <xdr:rowOff>0</xdr:rowOff>
                  </to>
                </anchor>
              </controlPr>
            </control>
          </mc:Choice>
        </mc:AlternateContent>
        <mc:AlternateContent xmlns:mc="http://schemas.openxmlformats.org/markup-compatibility/2006">
          <mc:Choice Requires="x14">
            <control shapeId="86203" r:id="rId190" name="Group Box 187">
              <controlPr defaultSize="0" print="0" autoFill="0" autoPict="0">
                <anchor moveWithCells="1">
                  <from>
                    <xdr:col>3</xdr:col>
                    <xdr:colOff>0</xdr:colOff>
                    <xdr:row>50</xdr:row>
                    <xdr:rowOff>0</xdr:rowOff>
                  </from>
                  <to>
                    <xdr:col>6</xdr:col>
                    <xdr:colOff>603250</xdr:colOff>
                    <xdr:row>51</xdr:row>
                    <xdr:rowOff>0</xdr:rowOff>
                  </to>
                </anchor>
              </controlPr>
            </control>
          </mc:Choice>
        </mc:AlternateContent>
        <mc:AlternateContent xmlns:mc="http://schemas.openxmlformats.org/markup-compatibility/2006">
          <mc:Choice Requires="x14">
            <control shapeId="86204" r:id="rId191" name="Group Box 188">
              <controlPr defaultSize="0" print="0" autoFill="0" autoPict="0">
                <anchor moveWithCells="1">
                  <from>
                    <xdr:col>3</xdr:col>
                    <xdr:colOff>0</xdr:colOff>
                    <xdr:row>51</xdr:row>
                    <xdr:rowOff>0</xdr:rowOff>
                  </from>
                  <to>
                    <xdr:col>6</xdr:col>
                    <xdr:colOff>603250</xdr:colOff>
                    <xdr:row>52</xdr:row>
                    <xdr:rowOff>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pageSetUpPr fitToPage="1"/>
  </sheetPr>
  <dimension ref="B2:AU46"/>
  <sheetViews>
    <sheetView showGridLines="0" showRowColHeaders="0" zoomScale="75" zoomScaleNormal="75" workbookViewId="0">
      <selection activeCell="O4" sqref="O4:V4"/>
    </sheetView>
  </sheetViews>
  <sheetFormatPr defaultColWidth="9.1796875" defaultRowHeight="12.5" x14ac:dyDescent="0.25"/>
  <cols>
    <col min="1" max="3" width="4.81640625" style="51" customWidth="1"/>
    <col min="4" max="4" width="4.81640625" style="54" customWidth="1"/>
    <col min="5" max="5" width="57" style="51" bestFit="1" customWidth="1"/>
    <col min="6" max="41" width="4.81640625" style="51" customWidth="1"/>
    <col min="42" max="16384" width="9.1796875" style="51"/>
  </cols>
  <sheetData>
    <row r="2" spans="2:47" ht="15" customHeight="1" x14ac:dyDescent="0.25">
      <c r="B2" s="1333" t="s">
        <v>515</v>
      </c>
      <c r="C2" s="1333"/>
      <c r="D2" s="1333"/>
      <c r="E2" s="1333"/>
      <c r="F2" s="414">
        <v>1</v>
      </c>
      <c r="G2" s="414">
        <v>2</v>
      </c>
      <c r="H2" s="414">
        <v>3</v>
      </c>
      <c r="I2" s="414">
        <v>4</v>
      </c>
      <c r="J2" s="414">
        <v>5</v>
      </c>
      <c r="K2" s="414">
        <v>6</v>
      </c>
      <c r="L2" s="414">
        <v>7</v>
      </c>
      <c r="M2" s="414">
        <v>8</v>
      </c>
      <c r="N2" s="414">
        <v>9</v>
      </c>
      <c r="O2" s="414">
        <v>10</v>
      </c>
      <c r="P2" s="414">
        <v>11</v>
      </c>
      <c r="Q2" s="414">
        <v>12</v>
      </c>
      <c r="R2" s="414">
        <v>13</v>
      </c>
      <c r="S2" s="414">
        <v>14</v>
      </c>
      <c r="T2" s="414">
        <v>15</v>
      </c>
      <c r="U2" s="414">
        <v>16</v>
      </c>
      <c r="V2" s="414">
        <v>17</v>
      </c>
      <c r="W2" s="414">
        <v>18</v>
      </c>
      <c r="X2" s="414">
        <v>19</v>
      </c>
      <c r="Y2" s="414">
        <v>20</v>
      </c>
      <c r="Z2" s="414">
        <v>21</v>
      </c>
      <c r="AA2" s="414">
        <v>22</v>
      </c>
      <c r="AB2" s="414">
        <v>23</v>
      </c>
      <c r="AC2" s="414">
        <v>24</v>
      </c>
      <c r="AD2" s="414">
        <v>25</v>
      </c>
      <c r="AE2" s="414">
        <v>26</v>
      </c>
      <c r="AF2" s="414">
        <v>27</v>
      </c>
      <c r="AG2" s="414">
        <v>28</v>
      </c>
      <c r="AH2" s="414">
        <v>29</v>
      </c>
      <c r="AI2" s="414">
        <v>30</v>
      </c>
      <c r="AJ2" s="414">
        <v>31</v>
      </c>
      <c r="AK2" s="414">
        <v>32</v>
      </c>
      <c r="AL2" s="414">
        <v>33</v>
      </c>
      <c r="AM2" s="414">
        <v>34</v>
      </c>
      <c r="AN2" s="414">
        <v>35</v>
      </c>
      <c r="AO2" s="414">
        <v>36</v>
      </c>
      <c r="AP2" s="381"/>
      <c r="AQ2" s="381"/>
      <c r="AR2" s="381"/>
      <c r="AS2" s="381"/>
      <c r="AT2" s="381"/>
      <c r="AU2" s="381"/>
    </row>
    <row r="3" spans="2:47" ht="132" customHeight="1" x14ac:dyDescent="0.25">
      <c r="B3" s="420"/>
      <c r="C3" s="382"/>
      <c r="D3" s="383"/>
      <c r="E3" s="384"/>
      <c r="F3" s="419" t="str">
        <f>BEGINBLAD!$C$4</f>
        <v>leerling 1</v>
      </c>
      <c r="G3" s="418" t="str">
        <f>BEGINBLAD!$C$5</f>
        <v>leerling 2</v>
      </c>
      <c r="H3" s="418" t="str">
        <f>BEGINBLAD!$C$6</f>
        <v>leerling 3</v>
      </c>
      <c r="I3" s="418" t="str">
        <f>BEGINBLAD!$C$7</f>
        <v>leerling 4</v>
      </c>
      <c r="J3" s="418" t="str">
        <f>BEGINBLAD!$C$8</f>
        <v>leerling 5</v>
      </c>
      <c r="K3" s="418" t="str">
        <f>BEGINBLAD!$C$9</f>
        <v>leerling 6</v>
      </c>
      <c r="L3" s="418" t="str">
        <f>BEGINBLAD!$C$10</f>
        <v>leerling 7</v>
      </c>
      <c r="M3" s="418" t="str">
        <f>BEGINBLAD!$C$11</f>
        <v>leerling 8</v>
      </c>
      <c r="N3" s="418">
        <f>BEGINBLAD!$C$12</f>
        <v>0</v>
      </c>
      <c r="O3" s="418">
        <f>BEGINBLAD!$C$13</f>
        <v>0</v>
      </c>
      <c r="P3" s="418">
        <f>BEGINBLAD!$C$14</f>
        <v>0</v>
      </c>
      <c r="Q3" s="418">
        <f>BEGINBLAD!$C$15</f>
        <v>0</v>
      </c>
      <c r="R3" s="418">
        <f>BEGINBLAD!$C$16</f>
        <v>0</v>
      </c>
      <c r="S3" s="418">
        <f>BEGINBLAD!$C$17</f>
        <v>0</v>
      </c>
      <c r="T3" s="418">
        <f>BEGINBLAD!$C$18</f>
        <v>0</v>
      </c>
      <c r="U3" s="418">
        <f>BEGINBLAD!$C$19</f>
        <v>0</v>
      </c>
      <c r="V3" s="418">
        <f>BEGINBLAD!$C$20</f>
        <v>0</v>
      </c>
      <c r="W3" s="418">
        <f>BEGINBLAD!$C$21</f>
        <v>0</v>
      </c>
      <c r="X3" s="418">
        <f>BEGINBLAD!$C$22</f>
        <v>0</v>
      </c>
      <c r="Y3" s="418">
        <f>BEGINBLAD!$C$23</f>
        <v>0</v>
      </c>
      <c r="Z3" s="418">
        <f>BEGINBLAD!$C$24</f>
        <v>0</v>
      </c>
      <c r="AA3" s="418">
        <f>BEGINBLAD!$C$25</f>
        <v>0</v>
      </c>
      <c r="AB3" s="418">
        <f>BEGINBLAD!$C$26</f>
        <v>0</v>
      </c>
      <c r="AC3" s="418">
        <f>BEGINBLAD!$C$27</f>
        <v>0</v>
      </c>
      <c r="AD3" s="418">
        <f>BEGINBLAD!$C$28</f>
        <v>0</v>
      </c>
      <c r="AE3" s="418">
        <f>BEGINBLAD!$C$29</f>
        <v>0</v>
      </c>
      <c r="AF3" s="418">
        <f>BEGINBLAD!$C$30</f>
        <v>0</v>
      </c>
      <c r="AG3" s="418">
        <f>BEGINBLAD!$C$31</f>
        <v>0</v>
      </c>
      <c r="AH3" s="418">
        <f>BEGINBLAD!$C$32</f>
        <v>0</v>
      </c>
      <c r="AI3" s="418">
        <f>BEGINBLAD!$C$33</f>
        <v>0</v>
      </c>
      <c r="AJ3" s="418">
        <f>BEGINBLAD!$C$34</f>
        <v>0</v>
      </c>
      <c r="AK3" s="418">
        <f>BEGINBLAD!$C$35</f>
        <v>0</v>
      </c>
      <c r="AL3" s="418">
        <f>BEGINBLAD!$C$36</f>
        <v>0</v>
      </c>
      <c r="AM3" s="418">
        <f>BEGINBLAD!$C$37</f>
        <v>0</v>
      </c>
      <c r="AN3" s="418">
        <f>BEGINBLAD!$C$38</f>
        <v>0</v>
      </c>
      <c r="AO3" s="418">
        <f>BEGINBLAD!$C$39</f>
        <v>0</v>
      </c>
    </row>
    <row r="4" spans="2:47" ht="25" customHeight="1" x14ac:dyDescent="0.25">
      <c r="B4" s="1334" t="s">
        <v>516</v>
      </c>
      <c r="C4" s="1335"/>
      <c r="D4" s="1335"/>
      <c r="E4" s="1335"/>
      <c r="F4" s="385">
        <v>4</v>
      </c>
      <c r="G4" s="385">
        <v>5</v>
      </c>
      <c r="H4" s="385">
        <v>5</v>
      </c>
      <c r="I4" s="385">
        <v>5</v>
      </c>
      <c r="J4" s="385">
        <v>5</v>
      </c>
      <c r="K4" s="385">
        <v>3</v>
      </c>
      <c r="L4" s="385">
        <v>2</v>
      </c>
      <c r="M4" s="385">
        <v>3</v>
      </c>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row>
    <row r="5" spans="2:47" s="386" customFormat="1" ht="60" customHeight="1" x14ac:dyDescent="0.25">
      <c r="B5" s="1336"/>
      <c r="C5" s="1336"/>
      <c r="D5" s="1336"/>
      <c r="E5" s="1336"/>
      <c r="F5" s="413" t="str">
        <f>IF(F4=0,"",IF(F4=1,"zwak",IF(F4=2,"beneden gemiddeld",IF(F4=3,"gemiddeld",IF(F4=4,"boven gemiddeld",IF(F4=5,"goed"))))))</f>
        <v>boven gemiddeld</v>
      </c>
      <c r="G5" s="413" t="str">
        <f t="shared" ref="G5:AO5" si="0">IF(G4=0,"",IF(G4=1,"zwak",IF(G4=2,"beneden gemiddeld",IF(G4=3,"gemiddeld",IF(G4=4,"boven gemiddeld",IF(G4=5,"goed"))))))</f>
        <v>goed</v>
      </c>
      <c r="H5" s="413" t="str">
        <f t="shared" si="0"/>
        <v>goed</v>
      </c>
      <c r="I5" s="413" t="str">
        <f t="shared" si="0"/>
        <v>goed</v>
      </c>
      <c r="J5" s="413" t="str">
        <f t="shared" si="0"/>
        <v>goed</v>
      </c>
      <c r="K5" s="413" t="str">
        <f t="shared" si="0"/>
        <v>gemiddeld</v>
      </c>
      <c r="L5" s="413" t="str">
        <f t="shared" si="0"/>
        <v>beneden gemiddeld</v>
      </c>
      <c r="M5" s="413" t="str">
        <f t="shared" si="0"/>
        <v>gemiddeld</v>
      </c>
      <c r="N5" s="413" t="str">
        <f t="shared" si="0"/>
        <v/>
      </c>
      <c r="O5" s="413" t="str">
        <f t="shared" si="0"/>
        <v/>
      </c>
      <c r="P5" s="413" t="str">
        <f t="shared" si="0"/>
        <v/>
      </c>
      <c r="Q5" s="413" t="str">
        <f t="shared" si="0"/>
        <v/>
      </c>
      <c r="R5" s="413" t="str">
        <f t="shared" si="0"/>
        <v/>
      </c>
      <c r="S5" s="413" t="str">
        <f t="shared" si="0"/>
        <v/>
      </c>
      <c r="T5" s="413" t="str">
        <f t="shared" si="0"/>
        <v/>
      </c>
      <c r="U5" s="413" t="str">
        <f t="shared" si="0"/>
        <v/>
      </c>
      <c r="V5" s="413" t="str">
        <f t="shared" si="0"/>
        <v/>
      </c>
      <c r="W5" s="413" t="str">
        <f t="shared" si="0"/>
        <v/>
      </c>
      <c r="X5" s="413" t="str">
        <f t="shared" si="0"/>
        <v/>
      </c>
      <c r="Y5" s="413" t="str">
        <f t="shared" si="0"/>
        <v/>
      </c>
      <c r="Z5" s="413" t="str">
        <f t="shared" si="0"/>
        <v/>
      </c>
      <c r="AA5" s="413" t="str">
        <f t="shared" si="0"/>
        <v/>
      </c>
      <c r="AB5" s="413" t="str">
        <f t="shared" si="0"/>
        <v/>
      </c>
      <c r="AC5" s="413" t="str">
        <f t="shared" si="0"/>
        <v/>
      </c>
      <c r="AD5" s="413" t="str">
        <f t="shared" si="0"/>
        <v/>
      </c>
      <c r="AE5" s="413" t="str">
        <f t="shared" si="0"/>
        <v/>
      </c>
      <c r="AF5" s="413" t="str">
        <f t="shared" si="0"/>
        <v/>
      </c>
      <c r="AG5" s="413" t="str">
        <f t="shared" si="0"/>
        <v/>
      </c>
      <c r="AH5" s="413" t="str">
        <f t="shared" si="0"/>
        <v/>
      </c>
      <c r="AI5" s="413" t="str">
        <f t="shared" si="0"/>
        <v/>
      </c>
      <c r="AJ5" s="413" t="str">
        <f t="shared" si="0"/>
        <v/>
      </c>
      <c r="AK5" s="413" t="str">
        <f t="shared" si="0"/>
        <v/>
      </c>
      <c r="AL5" s="413" t="str">
        <f t="shared" si="0"/>
        <v/>
      </c>
      <c r="AM5" s="413" t="str">
        <f t="shared" si="0"/>
        <v/>
      </c>
      <c r="AN5" s="413" t="str">
        <f t="shared" si="0"/>
        <v/>
      </c>
      <c r="AO5" s="413" t="str">
        <f t="shared" si="0"/>
        <v/>
      </c>
    </row>
    <row r="6" spans="2:47" s="386" customFormat="1" ht="115" customHeight="1" x14ac:dyDescent="0.25">
      <c r="B6" s="422"/>
      <c r="C6" s="387"/>
      <c r="D6" s="387"/>
      <c r="E6" s="423"/>
      <c r="F6" s="421" t="str">
        <f>IF(F4="","",IF(F4&gt;3,"vraag 1-12",IF(F4&gt;0,"signalering stopt")))</f>
        <v>vraag 1-12</v>
      </c>
      <c r="G6" s="413" t="str">
        <f t="shared" ref="G6:AO6" si="1">IF(G4="","",IF(G4&gt;3,"vraag 1-12",IF(G4&gt;0,"signalering stopt")))</f>
        <v>vraag 1-12</v>
      </c>
      <c r="H6" s="413" t="str">
        <f t="shared" si="1"/>
        <v>vraag 1-12</v>
      </c>
      <c r="I6" s="413" t="str">
        <f t="shared" si="1"/>
        <v>vraag 1-12</v>
      </c>
      <c r="J6" s="413" t="str">
        <f t="shared" si="1"/>
        <v>vraag 1-12</v>
      </c>
      <c r="K6" s="413" t="str">
        <f t="shared" si="1"/>
        <v>signalering stopt</v>
      </c>
      <c r="L6" s="413" t="str">
        <f t="shared" si="1"/>
        <v>signalering stopt</v>
      </c>
      <c r="M6" s="413" t="str">
        <f t="shared" si="1"/>
        <v>signalering stopt</v>
      </c>
      <c r="N6" s="413" t="str">
        <f t="shared" si="1"/>
        <v/>
      </c>
      <c r="O6" s="413" t="str">
        <f t="shared" si="1"/>
        <v/>
      </c>
      <c r="P6" s="413" t="str">
        <f t="shared" si="1"/>
        <v/>
      </c>
      <c r="Q6" s="413" t="str">
        <f t="shared" si="1"/>
        <v/>
      </c>
      <c r="R6" s="413" t="str">
        <f t="shared" si="1"/>
        <v/>
      </c>
      <c r="S6" s="413" t="str">
        <f t="shared" si="1"/>
        <v/>
      </c>
      <c r="T6" s="413" t="str">
        <f t="shared" si="1"/>
        <v/>
      </c>
      <c r="U6" s="413" t="str">
        <f t="shared" si="1"/>
        <v/>
      </c>
      <c r="V6" s="413" t="str">
        <f t="shared" si="1"/>
        <v/>
      </c>
      <c r="W6" s="413" t="str">
        <f t="shared" si="1"/>
        <v/>
      </c>
      <c r="X6" s="413" t="str">
        <f t="shared" si="1"/>
        <v/>
      </c>
      <c r="Y6" s="413" t="str">
        <f t="shared" si="1"/>
        <v/>
      </c>
      <c r="Z6" s="413" t="str">
        <f t="shared" si="1"/>
        <v/>
      </c>
      <c r="AA6" s="413" t="str">
        <f t="shared" si="1"/>
        <v/>
      </c>
      <c r="AB6" s="413" t="str">
        <f t="shared" si="1"/>
        <v/>
      </c>
      <c r="AC6" s="413" t="str">
        <f t="shared" si="1"/>
        <v/>
      </c>
      <c r="AD6" s="413" t="str">
        <f t="shared" si="1"/>
        <v/>
      </c>
      <c r="AE6" s="413" t="str">
        <f t="shared" si="1"/>
        <v/>
      </c>
      <c r="AF6" s="413" t="str">
        <f t="shared" si="1"/>
        <v/>
      </c>
      <c r="AG6" s="413" t="str">
        <f t="shared" si="1"/>
        <v/>
      </c>
      <c r="AH6" s="413" t="str">
        <f t="shared" si="1"/>
        <v/>
      </c>
      <c r="AI6" s="413" t="str">
        <f t="shared" si="1"/>
        <v/>
      </c>
      <c r="AJ6" s="413" t="str">
        <f t="shared" si="1"/>
        <v/>
      </c>
      <c r="AK6" s="413" t="str">
        <f t="shared" si="1"/>
        <v/>
      </c>
      <c r="AL6" s="413" t="str">
        <f t="shared" si="1"/>
        <v/>
      </c>
      <c r="AM6" s="413" t="str">
        <f t="shared" si="1"/>
        <v/>
      </c>
      <c r="AN6" s="413" t="str">
        <f t="shared" si="1"/>
        <v/>
      </c>
      <c r="AO6" s="413" t="str">
        <f t="shared" si="1"/>
        <v/>
      </c>
    </row>
    <row r="7" spans="2:47" ht="25" customHeight="1" x14ac:dyDescent="0.25">
      <c r="B7" s="1331" t="s">
        <v>517</v>
      </c>
      <c r="C7" s="1331"/>
      <c r="D7" s="1331"/>
      <c r="E7" s="1331"/>
      <c r="F7" s="1332"/>
      <c r="G7" s="1332"/>
      <c r="H7" s="1332"/>
      <c r="I7" s="1332"/>
      <c r="J7" s="1332"/>
      <c r="K7" s="1332"/>
      <c r="L7" s="1332"/>
      <c r="M7" s="1332"/>
      <c r="N7" s="1332"/>
      <c r="O7" s="1332"/>
      <c r="P7" s="1332"/>
      <c r="Q7" s="1332"/>
      <c r="R7" s="1332"/>
      <c r="S7" s="1332"/>
      <c r="T7" s="1332"/>
      <c r="U7" s="1332"/>
      <c r="V7" s="1332"/>
      <c r="W7" s="1332"/>
      <c r="X7" s="1332"/>
      <c r="Y7" s="1332"/>
      <c r="Z7" s="1332"/>
      <c r="AA7" s="1332"/>
      <c r="AB7" s="1332"/>
      <c r="AC7" s="1332"/>
      <c r="AD7" s="1332"/>
      <c r="AE7" s="1332"/>
      <c r="AF7" s="1332"/>
      <c r="AG7" s="1332"/>
      <c r="AH7" s="1332"/>
      <c r="AI7" s="1332"/>
      <c r="AJ7" s="1332"/>
      <c r="AK7" s="1332"/>
      <c r="AL7" s="1332"/>
      <c r="AM7" s="1332"/>
      <c r="AN7" s="1332"/>
      <c r="AO7" s="1332"/>
    </row>
    <row r="8" spans="2:47" ht="25" customHeight="1" x14ac:dyDescent="0.25">
      <c r="B8" s="1337" t="s">
        <v>518</v>
      </c>
      <c r="C8" s="1337"/>
      <c r="D8" s="414">
        <v>1</v>
      </c>
      <c r="E8" s="415" t="s">
        <v>519</v>
      </c>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row>
    <row r="9" spans="2:47" ht="25" customHeight="1" x14ac:dyDescent="0.25">
      <c r="B9" s="1337"/>
      <c r="C9" s="1337"/>
      <c r="D9" s="414">
        <v>2</v>
      </c>
      <c r="E9" s="415" t="s">
        <v>520</v>
      </c>
      <c r="F9" s="390"/>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390"/>
      <c r="AO9" s="390"/>
    </row>
    <row r="10" spans="2:47" ht="25" customHeight="1" x14ac:dyDescent="0.25">
      <c r="B10" s="1337"/>
      <c r="C10" s="1337"/>
      <c r="D10" s="414">
        <v>3</v>
      </c>
      <c r="E10" s="416" t="s">
        <v>521</v>
      </c>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row>
    <row r="11" spans="2:47" ht="25" customHeight="1" x14ac:dyDescent="0.25">
      <c r="B11" s="1337"/>
      <c r="C11" s="1337"/>
      <c r="D11" s="414">
        <v>4</v>
      </c>
      <c r="E11" s="415" t="s">
        <v>522</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0"/>
      <c r="AM11" s="390"/>
      <c r="AN11" s="390"/>
      <c r="AO11" s="390"/>
    </row>
    <row r="12" spans="2:47" ht="25" customHeight="1" x14ac:dyDescent="0.25">
      <c r="B12" s="1337"/>
      <c r="C12" s="1337"/>
      <c r="D12" s="414">
        <v>5</v>
      </c>
      <c r="E12" s="415" t="s">
        <v>523</v>
      </c>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row>
    <row r="13" spans="2:47" ht="25" customHeight="1" x14ac:dyDescent="0.25">
      <c r="B13" s="1337"/>
      <c r="C13" s="1337"/>
      <c r="D13" s="414">
        <v>6</v>
      </c>
      <c r="E13" s="415" t="s">
        <v>524</v>
      </c>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row>
    <row r="14" spans="2:47" ht="25" customHeight="1" x14ac:dyDescent="0.25">
      <c r="B14" s="1337"/>
      <c r="C14" s="1337"/>
      <c r="D14" s="414">
        <v>7</v>
      </c>
      <c r="E14" s="415" t="s">
        <v>525</v>
      </c>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row>
    <row r="15" spans="2:47" ht="25" customHeight="1" x14ac:dyDescent="0.25">
      <c r="B15" s="1337"/>
      <c r="C15" s="1337"/>
      <c r="D15" s="414">
        <v>8</v>
      </c>
      <c r="E15" s="416" t="s">
        <v>526</v>
      </c>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90"/>
      <c r="AO15" s="390"/>
    </row>
    <row r="16" spans="2:47" ht="25" customHeight="1" x14ac:dyDescent="0.25">
      <c r="B16" s="1337"/>
      <c r="C16" s="1337"/>
      <c r="D16" s="414">
        <v>9</v>
      </c>
      <c r="E16" s="415" t="s">
        <v>527</v>
      </c>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0"/>
      <c r="AI16" s="390"/>
      <c r="AJ16" s="390"/>
      <c r="AK16" s="390"/>
      <c r="AL16" s="390"/>
      <c r="AM16" s="390"/>
      <c r="AN16" s="390"/>
      <c r="AO16" s="390"/>
    </row>
    <row r="17" spans="2:41" ht="25" customHeight="1" x14ac:dyDescent="0.25">
      <c r="B17" s="1337"/>
      <c r="C17" s="1337"/>
      <c r="D17" s="414">
        <v>10</v>
      </c>
      <c r="E17" s="415" t="s">
        <v>528</v>
      </c>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0"/>
      <c r="AI17" s="390"/>
      <c r="AJ17" s="390"/>
      <c r="AK17" s="390"/>
      <c r="AL17" s="390"/>
      <c r="AM17" s="390"/>
      <c r="AN17" s="390"/>
      <c r="AO17" s="390"/>
    </row>
    <row r="18" spans="2:41" ht="25" customHeight="1" x14ac:dyDescent="0.25">
      <c r="B18" s="1337"/>
      <c r="C18" s="1337"/>
      <c r="D18" s="414">
        <v>11</v>
      </c>
      <c r="E18" s="415" t="s">
        <v>529</v>
      </c>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row>
    <row r="19" spans="2:41" ht="25" customHeight="1" x14ac:dyDescent="0.25">
      <c r="B19" s="1337"/>
      <c r="C19" s="1337"/>
      <c r="D19" s="414">
        <v>12</v>
      </c>
      <c r="E19" s="415" t="s">
        <v>530</v>
      </c>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row>
    <row r="20" spans="2:41" ht="25" customHeight="1" x14ac:dyDescent="0.25">
      <c r="B20" s="1337"/>
      <c r="C20" s="1337"/>
      <c r="D20" s="414"/>
      <c r="E20" s="417" t="s">
        <v>531</v>
      </c>
      <c r="F20" s="395">
        <f>COUNTA(F8:F19)</f>
        <v>0</v>
      </c>
      <c r="G20" s="395">
        <f t="shared" ref="G20:AO20" si="2">COUNTA(G8:G19)</f>
        <v>0</v>
      </c>
      <c r="H20" s="395">
        <f t="shared" si="2"/>
        <v>0</v>
      </c>
      <c r="I20" s="395">
        <f t="shared" si="2"/>
        <v>0</v>
      </c>
      <c r="J20" s="395">
        <f t="shared" si="2"/>
        <v>0</v>
      </c>
      <c r="K20" s="395">
        <f t="shared" si="2"/>
        <v>0</v>
      </c>
      <c r="L20" s="395">
        <f t="shared" si="2"/>
        <v>0</v>
      </c>
      <c r="M20" s="395">
        <f t="shared" si="2"/>
        <v>0</v>
      </c>
      <c r="N20" s="395">
        <f t="shared" si="2"/>
        <v>0</v>
      </c>
      <c r="O20" s="395">
        <f t="shared" si="2"/>
        <v>0</v>
      </c>
      <c r="P20" s="395">
        <f t="shared" si="2"/>
        <v>0</v>
      </c>
      <c r="Q20" s="395">
        <f t="shared" si="2"/>
        <v>0</v>
      </c>
      <c r="R20" s="395">
        <f t="shared" si="2"/>
        <v>0</v>
      </c>
      <c r="S20" s="395">
        <f t="shared" si="2"/>
        <v>0</v>
      </c>
      <c r="T20" s="395">
        <f t="shared" si="2"/>
        <v>0</v>
      </c>
      <c r="U20" s="395">
        <f t="shared" si="2"/>
        <v>0</v>
      </c>
      <c r="V20" s="395">
        <f t="shared" si="2"/>
        <v>0</v>
      </c>
      <c r="W20" s="395">
        <f t="shared" si="2"/>
        <v>0</v>
      </c>
      <c r="X20" s="395">
        <f t="shared" si="2"/>
        <v>0</v>
      </c>
      <c r="Y20" s="395">
        <f t="shared" si="2"/>
        <v>0</v>
      </c>
      <c r="Z20" s="395">
        <f t="shared" si="2"/>
        <v>0</v>
      </c>
      <c r="AA20" s="395">
        <f t="shared" si="2"/>
        <v>0</v>
      </c>
      <c r="AB20" s="395">
        <f t="shared" si="2"/>
        <v>0</v>
      </c>
      <c r="AC20" s="395">
        <f t="shared" si="2"/>
        <v>0</v>
      </c>
      <c r="AD20" s="395">
        <f t="shared" si="2"/>
        <v>0</v>
      </c>
      <c r="AE20" s="395">
        <f t="shared" si="2"/>
        <v>0</v>
      </c>
      <c r="AF20" s="395">
        <f t="shared" si="2"/>
        <v>0</v>
      </c>
      <c r="AG20" s="395">
        <f t="shared" si="2"/>
        <v>0</v>
      </c>
      <c r="AH20" s="395">
        <f t="shared" si="2"/>
        <v>0</v>
      </c>
      <c r="AI20" s="395">
        <f t="shared" si="2"/>
        <v>0</v>
      </c>
      <c r="AJ20" s="395">
        <f t="shared" si="2"/>
        <v>0</v>
      </c>
      <c r="AK20" s="395">
        <f t="shared" si="2"/>
        <v>0</v>
      </c>
      <c r="AL20" s="395">
        <f t="shared" si="2"/>
        <v>0</v>
      </c>
      <c r="AM20" s="395">
        <f t="shared" si="2"/>
        <v>0</v>
      </c>
      <c r="AN20" s="395">
        <f t="shared" si="2"/>
        <v>0</v>
      </c>
      <c r="AO20" s="395">
        <f t="shared" si="2"/>
        <v>0</v>
      </c>
    </row>
    <row r="21" spans="2:41" ht="40" hidden="1" customHeight="1" x14ac:dyDescent="0.25">
      <c r="B21" s="425"/>
      <c r="C21" s="425"/>
      <c r="D21" s="875"/>
      <c r="E21" s="426"/>
      <c r="F21" s="395">
        <f>COUNTIF(F8:F19,"x")</f>
        <v>0</v>
      </c>
      <c r="G21" s="395">
        <f t="shared" ref="G21:AO21" si="3">COUNTIF(G8:G19,"x")</f>
        <v>0</v>
      </c>
      <c r="H21" s="395">
        <f t="shared" si="3"/>
        <v>0</v>
      </c>
      <c r="I21" s="395">
        <f t="shared" si="3"/>
        <v>0</v>
      </c>
      <c r="J21" s="395">
        <f t="shared" si="3"/>
        <v>0</v>
      </c>
      <c r="K21" s="395">
        <f t="shared" si="3"/>
        <v>0</v>
      </c>
      <c r="L21" s="395">
        <f t="shared" si="3"/>
        <v>0</v>
      </c>
      <c r="M21" s="395">
        <f t="shared" si="3"/>
        <v>0</v>
      </c>
      <c r="N21" s="395">
        <f t="shared" si="3"/>
        <v>0</v>
      </c>
      <c r="O21" s="395">
        <f t="shared" si="3"/>
        <v>0</v>
      </c>
      <c r="P21" s="395">
        <f t="shared" si="3"/>
        <v>0</v>
      </c>
      <c r="Q21" s="395">
        <f t="shared" si="3"/>
        <v>0</v>
      </c>
      <c r="R21" s="395">
        <f t="shared" si="3"/>
        <v>0</v>
      </c>
      <c r="S21" s="395">
        <f t="shared" si="3"/>
        <v>0</v>
      </c>
      <c r="T21" s="395">
        <f t="shared" si="3"/>
        <v>0</v>
      </c>
      <c r="U21" s="395">
        <f t="shared" si="3"/>
        <v>0</v>
      </c>
      <c r="V21" s="395">
        <f t="shared" si="3"/>
        <v>0</v>
      </c>
      <c r="W21" s="395">
        <f t="shared" si="3"/>
        <v>0</v>
      </c>
      <c r="X21" s="395">
        <f t="shared" si="3"/>
        <v>0</v>
      </c>
      <c r="Y21" s="395">
        <f t="shared" si="3"/>
        <v>0</v>
      </c>
      <c r="Z21" s="395">
        <f t="shared" si="3"/>
        <v>0</v>
      </c>
      <c r="AA21" s="395">
        <f t="shared" si="3"/>
        <v>0</v>
      </c>
      <c r="AB21" s="395">
        <f t="shared" si="3"/>
        <v>0</v>
      </c>
      <c r="AC21" s="395">
        <f t="shared" si="3"/>
        <v>0</v>
      </c>
      <c r="AD21" s="395">
        <f t="shared" si="3"/>
        <v>0</v>
      </c>
      <c r="AE21" s="395">
        <f t="shared" si="3"/>
        <v>0</v>
      </c>
      <c r="AF21" s="395">
        <f t="shared" si="3"/>
        <v>0</v>
      </c>
      <c r="AG21" s="395">
        <f t="shared" si="3"/>
        <v>0</v>
      </c>
      <c r="AH21" s="395">
        <f t="shared" si="3"/>
        <v>0</v>
      </c>
      <c r="AI21" s="395">
        <f t="shared" si="3"/>
        <v>0</v>
      </c>
      <c r="AJ21" s="395">
        <f t="shared" si="3"/>
        <v>0</v>
      </c>
      <c r="AK21" s="395">
        <f t="shared" si="3"/>
        <v>0</v>
      </c>
      <c r="AL21" s="395">
        <f t="shared" si="3"/>
        <v>0</v>
      </c>
      <c r="AM21" s="395">
        <f t="shared" si="3"/>
        <v>0</v>
      </c>
      <c r="AN21" s="395">
        <f t="shared" si="3"/>
        <v>0</v>
      </c>
      <c r="AO21" s="395">
        <f t="shared" si="3"/>
        <v>0</v>
      </c>
    </row>
    <row r="22" spans="2:41" s="393" customFormat="1" ht="133.5" customHeight="1" x14ac:dyDescent="0.25">
      <c r="B22" s="427"/>
      <c r="C22" s="392"/>
      <c r="D22" s="428"/>
      <c r="E22" s="391"/>
      <c r="F22" s="424" t="str">
        <f>IF(F3=0,"",IF(F20&lt;5,"signalering stopt",IF(F20&gt;4,"vervolg de vragenlijst")))</f>
        <v>signalering stopt</v>
      </c>
      <c r="G22" s="424" t="str">
        <f t="shared" ref="G22:AO22" si="4">IF(G3=0,"",IF(G20&lt;5,"signalering stopt",IF(G20&gt;4,"vervolg de vragenlijst")))</f>
        <v>signalering stopt</v>
      </c>
      <c r="H22" s="424" t="str">
        <f t="shared" si="4"/>
        <v>signalering stopt</v>
      </c>
      <c r="I22" s="424" t="str">
        <f t="shared" si="4"/>
        <v>signalering stopt</v>
      </c>
      <c r="J22" s="424" t="str">
        <f t="shared" si="4"/>
        <v>signalering stopt</v>
      </c>
      <c r="K22" s="424" t="str">
        <f t="shared" si="4"/>
        <v>signalering stopt</v>
      </c>
      <c r="L22" s="424" t="str">
        <f t="shared" si="4"/>
        <v>signalering stopt</v>
      </c>
      <c r="M22" s="424" t="str">
        <f t="shared" si="4"/>
        <v>signalering stopt</v>
      </c>
      <c r="N22" s="424" t="str">
        <f t="shared" si="4"/>
        <v/>
      </c>
      <c r="O22" s="424" t="str">
        <f t="shared" si="4"/>
        <v/>
      </c>
      <c r="P22" s="424" t="str">
        <f t="shared" si="4"/>
        <v/>
      </c>
      <c r="Q22" s="424" t="str">
        <f t="shared" si="4"/>
        <v/>
      </c>
      <c r="R22" s="424" t="str">
        <f t="shared" si="4"/>
        <v/>
      </c>
      <c r="S22" s="424" t="str">
        <f t="shared" si="4"/>
        <v/>
      </c>
      <c r="T22" s="424" t="str">
        <f t="shared" si="4"/>
        <v/>
      </c>
      <c r="U22" s="424" t="str">
        <f t="shared" si="4"/>
        <v/>
      </c>
      <c r="V22" s="424" t="str">
        <f t="shared" si="4"/>
        <v/>
      </c>
      <c r="W22" s="424" t="str">
        <f t="shared" si="4"/>
        <v/>
      </c>
      <c r="X22" s="424" t="str">
        <f t="shared" si="4"/>
        <v/>
      </c>
      <c r="Y22" s="424" t="str">
        <f t="shared" si="4"/>
        <v/>
      </c>
      <c r="Z22" s="424" t="str">
        <f t="shared" si="4"/>
        <v/>
      </c>
      <c r="AA22" s="424" t="str">
        <f t="shared" si="4"/>
        <v/>
      </c>
      <c r="AB22" s="424" t="str">
        <f t="shared" si="4"/>
        <v/>
      </c>
      <c r="AC22" s="424" t="str">
        <f t="shared" si="4"/>
        <v/>
      </c>
      <c r="AD22" s="424" t="str">
        <f t="shared" si="4"/>
        <v/>
      </c>
      <c r="AE22" s="424" t="str">
        <f t="shared" si="4"/>
        <v/>
      </c>
      <c r="AF22" s="424" t="str">
        <f t="shared" si="4"/>
        <v/>
      </c>
      <c r="AG22" s="424" t="str">
        <f t="shared" si="4"/>
        <v/>
      </c>
      <c r="AH22" s="424" t="str">
        <f t="shared" si="4"/>
        <v/>
      </c>
      <c r="AI22" s="424" t="str">
        <f t="shared" si="4"/>
        <v/>
      </c>
      <c r="AJ22" s="424" t="str">
        <f t="shared" si="4"/>
        <v/>
      </c>
      <c r="AK22" s="424" t="str">
        <f t="shared" si="4"/>
        <v/>
      </c>
      <c r="AL22" s="424" t="str">
        <f t="shared" si="4"/>
        <v/>
      </c>
      <c r="AM22" s="424" t="str">
        <f t="shared" si="4"/>
        <v/>
      </c>
      <c r="AN22" s="424" t="str">
        <f t="shared" si="4"/>
        <v/>
      </c>
      <c r="AO22" s="424" t="str">
        <f t="shared" si="4"/>
        <v/>
      </c>
    </row>
    <row r="23" spans="2:41" ht="25" customHeight="1" x14ac:dyDescent="0.25">
      <c r="B23" s="1331" t="s">
        <v>532</v>
      </c>
      <c r="C23" s="1331"/>
      <c r="D23" s="1331"/>
      <c r="E23" s="1331"/>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row>
    <row r="24" spans="2:41" ht="25" customHeight="1" x14ac:dyDescent="0.25">
      <c r="B24" s="1337" t="s">
        <v>533</v>
      </c>
      <c r="C24" s="1339" t="s">
        <v>534</v>
      </c>
      <c r="D24" s="414">
        <v>1</v>
      </c>
      <c r="E24" s="416" t="s">
        <v>535</v>
      </c>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t="s">
        <v>536</v>
      </c>
      <c r="AO24" s="390" t="s">
        <v>536</v>
      </c>
    </row>
    <row r="25" spans="2:41" s="394" customFormat="1" ht="25" customHeight="1" x14ac:dyDescent="0.3">
      <c r="B25" s="1338"/>
      <c r="C25" s="1337"/>
      <c r="D25" s="414">
        <v>2</v>
      </c>
      <c r="E25" s="416" t="s">
        <v>537</v>
      </c>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t="s">
        <v>536</v>
      </c>
      <c r="AO25" s="390" t="s">
        <v>536</v>
      </c>
    </row>
    <row r="26" spans="2:41" s="394" customFormat="1" ht="25" customHeight="1" x14ac:dyDescent="0.3">
      <c r="B26" s="1338"/>
      <c r="C26" s="1337"/>
      <c r="D26" s="414">
        <v>3</v>
      </c>
      <c r="E26" s="416" t="s">
        <v>538</v>
      </c>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t="s">
        <v>536</v>
      </c>
      <c r="AO26" s="390" t="s">
        <v>536</v>
      </c>
    </row>
    <row r="27" spans="2:41" s="394" customFormat="1" ht="25" customHeight="1" x14ac:dyDescent="0.3">
      <c r="B27" s="1338"/>
      <c r="C27" s="1339" t="s">
        <v>539</v>
      </c>
      <c r="D27" s="414">
        <v>4</v>
      </c>
      <c r="E27" s="415" t="s">
        <v>540</v>
      </c>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t="s">
        <v>536</v>
      </c>
      <c r="AO27" s="390" t="s">
        <v>536</v>
      </c>
    </row>
    <row r="28" spans="2:41" s="394" customFormat="1" ht="25" customHeight="1" x14ac:dyDescent="0.3">
      <c r="B28" s="1338"/>
      <c r="C28" s="1337"/>
      <c r="D28" s="414">
        <v>5</v>
      </c>
      <c r="E28" s="415" t="s">
        <v>541</v>
      </c>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t="s">
        <v>536</v>
      </c>
      <c r="AO28" s="390" t="s">
        <v>536</v>
      </c>
    </row>
    <row r="29" spans="2:41" s="394" customFormat="1" ht="25" customHeight="1" x14ac:dyDescent="0.3">
      <c r="B29" s="1338"/>
      <c r="C29" s="1337"/>
      <c r="D29" s="414">
        <v>6</v>
      </c>
      <c r="E29" s="416" t="s">
        <v>542</v>
      </c>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t="s">
        <v>536</v>
      </c>
      <c r="AO29" s="390" t="s">
        <v>536</v>
      </c>
    </row>
    <row r="30" spans="2:41" s="394" customFormat="1" ht="25" customHeight="1" x14ac:dyDescent="0.3">
      <c r="B30" s="1338"/>
      <c r="C30" s="1339" t="s">
        <v>543</v>
      </c>
      <c r="D30" s="414">
        <v>7</v>
      </c>
      <c r="E30" s="416" t="s">
        <v>544</v>
      </c>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t="s">
        <v>536</v>
      </c>
      <c r="AO30" s="390" t="s">
        <v>536</v>
      </c>
    </row>
    <row r="31" spans="2:41" s="394" customFormat="1" ht="25" customHeight="1" x14ac:dyDescent="0.3">
      <c r="B31" s="1338"/>
      <c r="C31" s="1337"/>
      <c r="D31" s="414">
        <v>8</v>
      </c>
      <c r="E31" s="416" t="s">
        <v>545</v>
      </c>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90" t="s">
        <v>536</v>
      </c>
      <c r="AO31" s="390" t="s">
        <v>536</v>
      </c>
    </row>
    <row r="32" spans="2:41" s="394" customFormat="1" ht="25" customHeight="1" x14ac:dyDescent="0.3">
      <c r="B32" s="1338"/>
      <c r="C32" s="1337"/>
      <c r="D32" s="414">
        <v>9</v>
      </c>
      <c r="E32" s="415" t="s">
        <v>546</v>
      </c>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90" t="s">
        <v>536</v>
      </c>
      <c r="AO32" s="390" t="s">
        <v>536</v>
      </c>
    </row>
    <row r="33" spans="2:41" s="394" customFormat="1" ht="25" customHeight="1" x14ac:dyDescent="0.3">
      <c r="B33" s="305"/>
      <c r="C33" s="305"/>
      <c r="D33" s="414"/>
      <c r="E33" s="417" t="s">
        <v>547</v>
      </c>
      <c r="F33" s="395">
        <f t="shared" ref="F33:AO33" si="5">COUNTA(F24:F32)</f>
        <v>0</v>
      </c>
      <c r="G33" s="395">
        <f t="shared" si="5"/>
        <v>0</v>
      </c>
      <c r="H33" s="395">
        <f t="shared" si="5"/>
        <v>0</v>
      </c>
      <c r="I33" s="395">
        <f t="shared" si="5"/>
        <v>0</v>
      </c>
      <c r="J33" s="395">
        <f t="shared" si="5"/>
        <v>0</v>
      </c>
      <c r="K33" s="395">
        <f t="shared" si="5"/>
        <v>0</v>
      </c>
      <c r="L33" s="395">
        <f t="shared" si="5"/>
        <v>0</v>
      </c>
      <c r="M33" s="395">
        <f t="shared" si="5"/>
        <v>0</v>
      </c>
      <c r="N33" s="395">
        <f t="shared" si="5"/>
        <v>0</v>
      </c>
      <c r="O33" s="395">
        <f t="shared" si="5"/>
        <v>0</v>
      </c>
      <c r="P33" s="395">
        <f t="shared" si="5"/>
        <v>0</v>
      </c>
      <c r="Q33" s="395">
        <f t="shared" si="5"/>
        <v>0</v>
      </c>
      <c r="R33" s="395">
        <f t="shared" si="5"/>
        <v>0</v>
      </c>
      <c r="S33" s="395">
        <f t="shared" si="5"/>
        <v>0</v>
      </c>
      <c r="T33" s="395">
        <f t="shared" si="5"/>
        <v>0</v>
      </c>
      <c r="U33" s="395">
        <f t="shared" si="5"/>
        <v>0</v>
      </c>
      <c r="V33" s="395">
        <f t="shared" si="5"/>
        <v>0</v>
      </c>
      <c r="W33" s="395">
        <f t="shared" si="5"/>
        <v>0</v>
      </c>
      <c r="X33" s="395">
        <f t="shared" si="5"/>
        <v>0</v>
      </c>
      <c r="Y33" s="395">
        <f t="shared" si="5"/>
        <v>0</v>
      </c>
      <c r="Z33" s="395">
        <f t="shared" si="5"/>
        <v>0</v>
      </c>
      <c r="AA33" s="395">
        <f t="shared" si="5"/>
        <v>0</v>
      </c>
      <c r="AB33" s="395">
        <f t="shared" si="5"/>
        <v>0</v>
      </c>
      <c r="AC33" s="395">
        <f t="shared" si="5"/>
        <v>0</v>
      </c>
      <c r="AD33" s="395">
        <f t="shared" si="5"/>
        <v>0</v>
      </c>
      <c r="AE33" s="395">
        <f t="shared" si="5"/>
        <v>0</v>
      </c>
      <c r="AF33" s="395">
        <f t="shared" si="5"/>
        <v>0</v>
      </c>
      <c r="AG33" s="395">
        <f t="shared" si="5"/>
        <v>0</v>
      </c>
      <c r="AH33" s="395">
        <f t="shared" si="5"/>
        <v>0</v>
      </c>
      <c r="AI33" s="395">
        <f t="shared" si="5"/>
        <v>0</v>
      </c>
      <c r="AJ33" s="395">
        <f t="shared" si="5"/>
        <v>0</v>
      </c>
      <c r="AK33" s="395">
        <f t="shared" si="5"/>
        <v>0</v>
      </c>
      <c r="AL33" s="395">
        <f t="shared" si="5"/>
        <v>0</v>
      </c>
      <c r="AM33" s="395">
        <f t="shared" si="5"/>
        <v>0</v>
      </c>
      <c r="AN33" s="395">
        <f t="shared" si="5"/>
        <v>9</v>
      </c>
      <c r="AO33" s="395">
        <f t="shared" si="5"/>
        <v>9</v>
      </c>
    </row>
    <row r="34" spans="2:41" s="394" customFormat="1" ht="40" hidden="1" customHeight="1" x14ac:dyDescent="0.3">
      <c r="B34" s="877"/>
      <c r="C34" s="876"/>
      <c r="D34" s="414"/>
      <c r="E34" s="415" t="s">
        <v>548</v>
      </c>
      <c r="F34" s="396" t="str">
        <f>IF(F21=0,"",IF(F21&gt;6,1,IF(F21&lt;=6,0)))</f>
        <v/>
      </c>
      <c r="G34" s="396" t="str">
        <f t="shared" ref="G34:AO34" si="6">IF(G21=0,"",IF(G21&gt;6,1,IF(G21&lt;=6,0)))</f>
        <v/>
      </c>
      <c r="H34" s="396" t="str">
        <f t="shared" si="6"/>
        <v/>
      </c>
      <c r="I34" s="396" t="str">
        <f t="shared" si="6"/>
        <v/>
      </c>
      <c r="J34" s="396" t="str">
        <f t="shared" si="6"/>
        <v/>
      </c>
      <c r="K34" s="396" t="str">
        <f t="shared" si="6"/>
        <v/>
      </c>
      <c r="L34" s="396" t="str">
        <f t="shared" si="6"/>
        <v/>
      </c>
      <c r="M34" s="396" t="str">
        <f t="shared" si="6"/>
        <v/>
      </c>
      <c r="N34" s="396" t="str">
        <f t="shared" si="6"/>
        <v/>
      </c>
      <c r="O34" s="396" t="str">
        <f t="shared" si="6"/>
        <v/>
      </c>
      <c r="P34" s="396" t="str">
        <f t="shared" si="6"/>
        <v/>
      </c>
      <c r="Q34" s="396" t="str">
        <f t="shared" si="6"/>
        <v/>
      </c>
      <c r="R34" s="396" t="str">
        <f t="shared" si="6"/>
        <v/>
      </c>
      <c r="S34" s="396" t="str">
        <f t="shared" si="6"/>
        <v/>
      </c>
      <c r="T34" s="396" t="str">
        <f t="shared" si="6"/>
        <v/>
      </c>
      <c r="U34" s="396" t="str">
        <f t="shared" si="6"/>
        <v/>
      </c>
      <c r="V34" s="396" t="str">
        <f t="shared" si="6"/>
        <v/>
      </c>
      <c r="W34" s="396" t="str">
        <f t="shared" si="6"/>
        <v/>
      </c>
      <c r="X34" s="396" t="str">
        <f t="shared" si="6"/>
        <v/>
      </c>
      <c r="Y34" s="396" t="str">
        <f t="shared" si="6"/>
        <v/>
      </c>
      <c r="Z34" s="396" t="str">
        <f t="shared" si="6"/>
        <v/>
      </c>
      <c r="AA34" s="396" t="str">
        <f t="shared" si="6"/>
        <v/>
      </c>
      <c r="AB34" s="396" t="str">
        <f t="shared" si="6"/>
        <v/>
      </c>
      <c r="AC34" s="396" t="str">
        <f t="shared" si="6"/>
        <v/>
      </c>
      <c r="AD34" s="396" t="str">
        <f t="shared" si="6"/>
        <v/>
      </c>
      <c r="AE34" s="396" t="str">
        <f t="shared" si="6"/>
        <v/>
      </c>
      <c r="AF34" s="396" t="str">
        <f t="shared" si="6"/>
        <v/>
      </c>
      <c r="AG34" s="396" t="str">
        <f t="shared" si="6"/>
        <v/>
      </c>
      <c r="AH34" s="396" t="str">
        <f t="shared" si="6"/>
        <v/>
      </c>
      <c r="AI34" s="396" t="str">
        <f t="shared" si="6"/>
        <v/>
      </c>
      <c r="AJ34" s="396" t="str">
        <f t="shared" si="6"/>
        <v/>
      </c>
      <c r="AK34" s="396" t="str">
        <f t="shared" si="6"/>
        <v/>
      </c>
      <c r="AL34" s="396" t="str">
        <f t="shared" si="6"/>
        <v/>
      </c>
      <c r="AM34" s="396" t="str">
        <f t="shared" si="6"/>
        <v/>
      </c>
      <c r="AN34" s="396" t="str">
        <f t="shared" si="6"/>
        <v/>
      </c>
      <c r="AO34" s="396" t="str">
        <f t="shared" si="6"/>
        <v/>
      </c>
    </row>
    <row r="35" spans="2:41" s="394" customFormat="1" ht="40" hidden="1" customHeight="1" x14ac:dyDescent="0.3">
      <c r="B35" s="877"/>
      <c r="C35" s="876"/>
      <c r="D35" s="414"/>
      <c r="E35" s="415" t="s">
        <v>549</v>
      </c>
      <c r="F35" s="396" t="str">
        <f>IF(F21=0,"",IF(F33=0,1,IF(F33&gt;0,0)))</f>
        <v/>
      </c>
      <c r="G35" s="396" t="str">
        <f t="shared" ref="G35:AO35" si="7">IF(G21=0,"",IF(G33=0,1,IF(G33&gt;0,0)))</f>
        <v/>
      </c>
      <c r="H35" s="396" t="str">
        <f t="shared" si="7"/>
        <v/>
      </c>
      <c r="I35" s="396" t="str">
        <f t="shared" si="7"/>
        <v/>
      </c>
      <c r="J35" s="396" t="str">
        <f t="shared" si="7"/>
        <v/>
      </c>
      <c r="K35" s="396" t="str">
        <f t="shared" si="7"/>
        <v/>
      </c>
      <c r="L35" s="396" t="str">
        <f t="shared" si="7"/>
        <v/>
      </c>
      <c r="M35" s="396" t="str">
        <f t="shared" si="7"/>
        <v/>
      </c>
      <c r="N35" s="396" t="str">
        <f t="shared" si="7"/>
        <v/>
      </c>
      <c r="O35" s="396" t="str">
        <f t="shared" si="7"/>
        <v/>
      </c>
      <c r="P35" s="396" t="str">
        <f t="shared" si="7"/>
        <v/>
      </c>
      <c r="Q35" s="396" t="str">
        <f t="shared" si="7"/>
        <v/>
      </c>
      <c r="R35" s="396" t="str">
        <f t="shared" si="7"/>
        <v/>
      </c>
      <c r="S35" s="396" t="str">
        <f t="shared" si="7"/>
        <v/>
      </c>
      <c r="T35" s="396" t="str">
        <f t="shared" si="7"/>
        <v/>
      </c>
      <c r="U35" s="396" t="str">
        <f t="shared" si="7"/>
        <v/>
      </c>
      <c r="V35" s="396" t="str">
        <f t="shared" si="7"/>
        <v/>
      </c>
      <c r="W35" s="396" t="str">
        <f t="shared" si="7"/>
        <v/>
      </c>
      <c r="X35" s="396" t="str">
        <f t="shared" si="7"/>
        <v/>
      </c>
      <c r="Y35" s="396" t="str">
        <f t="shared" si="7"/>
        <v/>
      </c>
      <c r="Z35" s="396" t="str">
        <f t="shared" si="7"/>
        <v/>
      </c>
      <c r="AA35" s="396" t="str">
        <f t="shared" si="7"/>
        <v/>
      </c>
      <c r="AB35" s="396" t="str">
        <f t="shared" si="7"/>
        <v/>
      </c>
      <c r="AC35" s="396" t="str">
        <f t="shared" si="7"/>
        <v/>
      </c>
      <c r="AD35" s="396" t="str">
        <f t="shared" si="7"/>
        <v/>
      </c>
      <c r="AE35" s="396" t="str">
        <f t="shared" si="7"/>
        <v/>
      </c>
      <c r="AF35" s="396" t="str">
        <f t="shared" si="7"/>
        <v/>
      </c>
      <c r="AG35" s="396" t="str">
        <f t="shared" si="7"/>
        <v/>
      </c>
      <c r="AH35" s="396" t="str">
        <f t="shared" si="7"/>
        <v/>
      </c>
      <c r="AI35" s="396" t="str">
        <f t="shared" si="7"/>
        <v/>
      </c>
      <c r="AJ35" s="396" t="str">
        <f t="shared" si="7"/>
        <v/>
      </c>
      <c r="AK35" s="396" t="str">
        <f t="shared" si="7"/>
        <v/>
      </c>
      <c r="AL35" s="396" t="str">
        <f t="shared" si="7"/>
        <v/>
      </c>
      <c r="AM35" s="396" t="str">
        <f t="shared" si="7"/>
        <v/>
      </c>
      <c r="AN35" s="396" t="str">
        <f t="shared" si="7"/>
        <v/>
      </c>
      <c r="AO35" s="396" t="str">
        <f t="shared" si="7"/>
        <v/>
      </c>
    </row>
    <row r="36" spans="2:41" s="394" customFormat="1" ht="40" hidden="1" customHeight="1" x14ac:dyDescent="0.3">
      <c r="B36" s="430"/>
      <c r="C36" s="425"/>
      <c r="D36" s="875"/>
      <c r="E36" s="431" t="s">
        <v>69</v>
      </c>
      <c r="F36" s="396">
        <f>IF(F33&gt;=0,SUM(F34:F35))</f>
        <v>0</v>
      </c>
      <c r="G36" s="396">
        <f t="shared" ref="G36:AO36" si="8">IF(G33&gt;=0,SUM(G34:G35))</f>
        <v>0</v>
      </c>
      <c r="H36" s="396">
        <f t="shared" si="8"/>
        <v>0</v>
      </c>
      <c r="I36" s="396">
        <f t="shared" si="8"/>
        <v>0</v>
      </c>
      <c r="J36" s="396">
        <f t="shared" si="8"/>
        <v>0</v>
      </c>
      <c r="K36" s="396">
        <f t="shared" si="8"/>
        <v>0</v>
      </c>
      <c r="L36" s="396">
        <f t="shared" si="8"/>
        <v>0</v>
      </c>
      <c r="M36" s="396">
        <f t="shared" si="8"/>
        <v>0</v>
      </c>
      <c r="N36" s="396">
        <f t="shared" si="8"/>
        <v>0</v>
      </c>
      <c r="O36" s="396">
        <f t="shared" si="8"/>
        <v>0</v>
      </c>
      <c r="P36" s="396">
        <f t="shared" si="8"/>
        <v>0</v>
      </c>
      <c r="Q36" s="396">
        <f t="shared" si="8"/>
        <v>0</v>
      </c>
      <c r="R36" s="396">
        <f t="shared" si="8"/>
        <v>0</v>
      </c>
      <c r="S36" s="396">
        <f t="shared" si="8"/>
        <v>0</v>
      </c>
      <c r="T36" s="396">
        <f t="shared" si="8"/>
        <v>0</v>
      </c>
      <c r="U36" s="396">
        <f t="shared" si="8"/>
        <v>0</v>
      </c>
      <c r="V36" s="396">
        <f t="shared" si="8"/>
        <v>0</v>
      </c>
      <c r="W36" s="396">
        <f t="shared" si="8"/>
        <v>0</v>
      </c>
      <c r="X36" s="396">
        <f t="shared" si="8"/>
        <v>0</v>
      </c>
      <c r="Y36" s="396">
        <f t="shared" si="8"/>
        <v>0</v>
      </c>
      <c r="Z36" s="396">
        <f t="shared" si="8"/>
        <v>0</v>
      </c>
      <c r="AA36" s="396">
        <f t="shared" si="8"/>
        <v>0</v>
      </c>
      <c r="AB36" s="396">
        <f t="shared" si="8"/>
        <v>0</v>
      </c>
      <c r="AC36" s="396">
        <f t="shared" si="8"/>
        <v>0</v>
      </c>
      <c r="AD36" s="396">
        <f t="shared" si="8"/>
        <v>0</v>
      </c>
      <c r="AE36" s="396">
        <f t="shared" si="8"/>
        <v>0</v>
      </c>
      <c r="AF36" s="396">
        <f t="shared" si="8"/>
        <v>0</v>
      </c>
      <c r="AG36" s="396">
        <f t="shared" si="8"/>
        <v>0</v>
      </c>
      <c r="AH36" s="396">
        <f t="shared" si="8"/>
        <v>0</v>
      </c>
      <c r="AI36" s="396">
        <f t="shared" si="8"/>
        <v>0</v>
      </c>
      <c r="AJ36" s="396">
        <f t="shared" si="8"/>
        <v>0</v>
      </c>
      <c r="AK36" s="396">
        <f t="shared" si="8"/>
        <v>0</v>
      </c>
      <c r="AL36" s="396">
        <f t="shared" si="8"/>
        <v>0</v>
      </c>
      <c r="AM36" s="396">
        <f t="shared" si="8"/>
        <v>0</v>
      </c>
      <c r="AN36" s="396">
        <f t="shared" si="8"/>
        <v>0</v>
      </c>
      <c r="AO36" s="396">
        <f t="shared" si="8"/>
        <v>0</v>
      </c>
    </row>
    <row r="37" spans="2:41" ht="123.75" customHeight="1" x14ac:dyDescent="0.25">
      <c r="B37" s="420"/>
      <c r="C37" s="382"/>
      <c r="D37" s="388"/>
      <c r="E37" s="389"/>
      <c r="F37" s="429" t="str">
        <f>IF(F3=0,"",IF(F22="signalering stopt","",IF(F36&lt;2,"observatie + gesprek",IF(F36=2,"vul SiDi-PO in"))))</f>
        <v/>
      </c>
      <c r="G37" s="429" t="str">
        <f t="shared" ref="G37:AO37" si="9">IF(G3=0,"",IF(G22="signalering stopt","",IF(G36&lt;2,"observatie + gesprek",IF(G36=2,"vul SiDi-PO in"))))</f>
        <v/>
      </c>
      <c r="H37" s="429" t="str">
        <f t="shared" si="9"/>
        <v/>
      </c>
      <c r="I37" s="429" t="str">
        <f t="shared" si="9"/>
        <v/>
      </c>
      <c r="J37" s="429" t="str">
        <f t="shared" si="9"/>
        <v/>
      </c>
      <c r="K37" s="429" t="str">
        <f t="shared" si="9"/>
        <v/>
      </c>
      <c r="L37" s="429" t="str">
        <f t="shared" si="9"/>
        <v/>
      </c>
      <c r="M37" s="429" t="str">
        <f t="shared" si="9"/>
        <v/>
      </c>
      <c r="N37" s="429" t="str">
        <f t="shared" si="9"/>
        <v/>
      </c>
      <c r="O37" s="429" t="str">
        <f t="shared" si="9"/>
        <v/>
      </c>
      <c r="P37" s="429" t="str">
        <f t="shared" si="9"/>
        <v/>
      </c>
      <c r="Q37" s="429" t="str">
        <f t="shared" si="9"/>
        <v/>
      </c>
      <c r="R37" s="429" t="str">
        <f t="shared" si="9"/>
        <v/>
      </c>
      <c r="S37" s="429" t="str">
        <f t="shared" si="9"/>
        <v/>
      </c>
      <c r="T37" s="429" t="str">
        <f t="shared" si="9"/>
        <v/>
      </c>
      <c r="U37" s="429" t="str">
        <f t="shared" si="9"/>
        <v/>
      </c>
      <c r="V37" s="429" t="str">
        <f t="shared" si="9"/>
        <v/>
      </c>
      <c r="W37" s="429" t="str">
        <f t="shared" si="9"/>
        <v/>
      </c>
      <c r="X37" s="429" t="str">
        <f t="shared" si="9"/>
        <v/>
      </c>
      <c r="Y37" s="429" t="str">
        <f t="shared" si="9"/>
        <v/>
      </c>
      <c r="Z37" s="429" t="str">
        <f t="shared" si="9"/>
        <v/>
      </c>
      <c r="AA37" s="429" t="str">
        <f t="shared" si="9"/>
        <v/>
      </c>
      <c r="AB37" s="429" t="str">
        <f t="shared" si="9"/>
        <v/>
      </c>
      <c r="AC37" s="429" t="str">
        <f t="shared" si="9"/>
        <v/>
      </c>
      <c r="AD37" s="429" t="str">
        <f t="shared" si="9"/>
        <v/>
      </c>
      <c r="AE37" s="429" t="str">
        <f t="shared" si="9"/>
        <v/>
      </c>
      <c r="AF37" s="429" t="str">
        <f t="shared" si="9"/>
        <v/>
      </c>
      <c r="AG37" s="429" t="str">
        <f t="shared" si="9"/>
        <v/>
      </c>
      <c r="AH37" s="429" t="str">
        <f t="shared" si="9"/>
        <v/>
      </c>
      <c r="AI37" s="429" t="str">
        <f t="shared" si="9"/>
        <v/>
      </c>
      <c r="AJ37" s="429" t="str">
        <f t="shared" si="9"/>
        <v/>
      </c>
      <c r="AK37" s="429" t="str">
        <f t="shared" si="9"/>
        <v/>
      </c>
      <c r="AL37" s="429" t="str">
        <f t="shared" si="9"/>
        <v/>
      </c>
      <c r="AM37" s="429" t="str">
        <f t="shared" si="9"/>
        <v/>
      </c>
      <c r="AN37" s="429" t="str">
        <f t="shared" si="9"/>
        <v/>
      </c>
      <c r="AO37" s="429" t="str">
        <f t="shared" si="9"/>
        <v/>
      </c>
    </row>
    <row r="38" spans="2:41" ht="40" customHeight="1" x14ac:dyDescent="0.25">
      <c r="D38" s="397"/>
      <c r="E38" s="398"/>
    </row>
    <row r="39" spans="2:41" ht="40" customHeight="1" x14ac:dyDescent="0.25">
      <c r="D39" s="397"/>
      <c r="E39" s="398"/>
    </row>
    <row r="40" spans="2:41" ht="40" customHeight="1" x14ac:dyDescent="0.25">
      <c r="D40" s="397"/>
      <c r="E40" s="398"/>
    </row>
    <row r="41" spans="2:41" ht="40" customHeight="1" x14ac:dyDescent="0.25">
      <c r="D41" s="397"/>
      <c r="E41" s="398"/>
    </row>
    <row r="42" spans="2:41" ht="40" customHeight="1" x14ac:dyDescent="0.25">
      <c r="D42" s="397"/>
      <c r="E42" s="398"/>
    </row>
    <row r="43" spans="2:41" ht="40" customHeight="1" x14ac:dyDescent="0.25">
      <c r="D43" s="397"/>
      <c r="E43" s="398"/>
    </row>
    <row r="44" spans="2:41" ht="40" customHeight="1" x14ac:dyDescent="0.25">
      <c r="E44" s="398"/>
    </row>
    <row r="45" spans="2:41" ht="40" customHeight="1" x14ac:dyDescent="0.25">
      <c r="E45" s="398"/>
    </row>
    <row r="46" spans="2:41" ht="40" customHeight="1" x14ac:dyDescent="0.25"/>
  </sheetData>
  <sheetProtection sheet="1" objects="1" scenarios="1"/>
  <mergeCells count="9">
    <mergeCell ref="B23:AO23"/>
    <mergeCell ref="B2:E2"/>
    <mergeCell ref="B4:E5"/>
    <mergeCell ref="B8:C20"/>
    <mergeCell ref="B24:B32"/>
    <mergeCell ref="C24:C26"/>
    <mergeCell ref="C27:C29"/>
    <mergeCell ref="C30:C32"/>
    <mergeCell ref="B7:AO7"/>
  </mergeCells>
  <conditionalFormatting sqref="F3:AO3">
    <cfRule type="cellIs" dxfId="25" priority="10" stopIfTrue="1" operator="equal">
      <formula>0</formula>
    </cfRule>
  </conditionalFormatting>
  <conditionalFormatting sqref="F5:AO5">
    <cfRule type="cellIs" dxfId="24" priority="6" stopIfTrue="1" operator="equal">
      <formula>"signalering stopt"</formula>
    </cfRule>
    <cfRule type="cellIs" dxfId="23" priority="7" stopIfTrue="1" operator="equal">
      <formula>"vraag 1-12"</formula>
    </cfRule>
  </conditionalFormatting>
  <conditionalFormatting sqref="F6:AO6">
    <cfRule type="cellIs" dxfId="22" priority="4" operator="equal">
      <formula>"signalering stopt"</formula>
    </cfRule>
    <cfRule type="cellIs" dxfId="21" priority="5" operator="equal">
      <formula>"vraag 1-12"</formula>
    </cfRule>
  </conditionalFormatting>
  <conditionalFormatting sqref="F8:AO19">
    <cfRule type="cellIs" dxfId="20" priority="2" stopIfTrue="1" operator="equal">
      <formula>"x"</formula>
    </cfRule>
    <cfRule type="cellIs" dxfId="19" priority="3" stopIfTrue="1" operator="equal">
      <formula>"?"</formula>
    </cfRule>
  </conditionalFormatting>
  <conditionalFormatting sqref="F20:AO21 F33:AO33">
    <cfRule type="cellIs" dxfId="18" priority="13" stopIfTrue="1" operator="equal">
      <formula>0</formula>
    </cfRule>
    <cfRule type="cellIs" dxfId="17" priority="14" stopIfTrue="1" operator="notEqual">
      <formula>0</formula>
    </cfRule>
  </conditionalFormatting>
  <conditionalFormatting sqref="F22:AO22">
    <cfRule type="cellIs" dxfId="16" priority="17" stopIfTrue="1" operator="equal">
      <formula>"vervolg de vragenlijst"</formula>
    </cfRule>
  </conditionalFormatting>
  <conditionalFormatting sqref="F24:AO32">
    <cfRule type="cellIs" dxfId="15" priority="1" stopIfTrue="1" operator="equal">
      <formula>"x"</formula>
    </cfRule>
  </conditionalFormatting>
  <conditionalFormatting sqref="F34:AO36">
    <cfRule type="cellIs" dxfId="14" priority="15" stopIfTrue="1" operator="equal">
      <formula>"x"</formula>
    </cfRule>
  </conditionalFormatting>
  <conditionalFormatting sqref="F37:AO37">
    <cfRule type="cellIs" dxfId="13" priority="8" stopIfTrue="1" operator="equal">
      <formula>"observatie + gesprek"</formula>
    </cfRule>
    <cfRule type="cellIs" dxfId="12" priority="9" stopIfTrue="1" operator="equal">
      <formula>"vul SiDi-PO in"</formula>
    </cfRule>
  </conditionalFormatting>
  <dataValidations count="1">
    <dataValidation type="list" allowBlank="1" showInputMessage="1" showErrorMessage="1" sqref="F4:AO4" xr:uid="{00000000-0002-0000-2E00-000000000000}">
      <formula1>"1,2,3,4,5,"</formula1>
    </dataValidation>
  </dataValidations>
  <pageMargins left="0.66" right="0.45" top="0.43" bottom="0.5" header="0.2" footer="0.25"/>
  <pageSetup paperSize="9" scale="44" orientation="landscape" r:id="rId1"/>
  <headerFooter alignWithMargins="0">
    <oddHeader>&amp;C&amp;"Verdana,Standaard"&amp;26Jaarlijkse signalering - groep 3-8</oddHeader>
    <oddFooter>&amp;L© Eduforce / Meesterharrie.nl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pageSetUpPr fitToPage="1"/>
  </sheetPr>
  <dimension ref="B3:O50"/>
  <sheetViews>
    <sheetView showGridLines="0" showRowColHeaders="0" zoomScale="50" zoomScaleNormal="50" workbookViewId="0"/>
  </sheetViews>
  <sheetFormatPr defaultColWidth="9.1796875" defaultRowHeight="12.5" x14ac:dyDescent="0.25"/>
  <cols>
    <col min="1" max="2" width="9.1796875" style="51"/>
    <col min="3" max="3" width="41.54296875" style="51" customWidth="1"/>
    <col min="4" max="7" width="9.1796875" style="51"/>
    <col min="8" max="8" width="9.1796875" style="54"/>
    <col min="9" max="9" width="57" style="51" bestFit="1" customWidth="1"/>
    <col min="10" max="10" width="9.1796875" style="51" customWidth="1"/>
    <col min="11" max="16384" width="9.1796875" style="51"/>
  </cols>
  <sheetData>
    <row r="3" spans="2:15" ht="40" customHeight="1" x14ac:dyDescent="0.25">
      <c r="F3" s="1343">
        <v>2</v>
      </c>
      <c r="G3" s="1343"/>
      <c r="H3" s="1340" t="str">
        <f>VLOOKUP(F3,B7:C42,2)</f>
        <v>leerling 2</v>
      </c>
      <c r="I3" s="1341"/>
      <c r="J3" s="1342"/>
      <c r="K3" s="399"/>
      <c r="L3" s="399"/>
      <c r="M3" s="399"/>
      <c r="N3" s="399"/>
      <c r="O3" s="399"/>
    </row>
    <row r="4" spans="2:15" ht="40" customHeight="1" x14ac:dyDescent="0.25">
      <c r="F4" s="1352" t="s">
        <v>550</v>
      </c>
      <c r="G4" s="1353"/>
      <c r="H4" s="1344" t="str">
        <f>HLOOKUP($F$3,'[4]Jaarlijkse signalering 3-8'!$F$2:$AN$37,4)</f>
        <v>zwak</v>
      </c>
      <c r="I4" s="1344"/>
      <c r="J4" s="1344"/>
      <c r="K4" s="399"/>
      <c r="L4" s="399"/>
      <c r="M4" s="399"/>
      <c r="N4" s="399"/>
      <c r="O4" s="399"/>
    </row>
    <row r="5" spans="2:15" ht="200.15" customHeight="1" x14ac:dyDescent="0.25">
      <c r="F5" s="420"/>
      <c r="G5" s="382"/>
      <c r="H5" s="432"/>
      <c r="I5" s="433"/>
      <c r="J5" s="434"/>
    </row>
    <row r="6" spans="2:15" ht="40" customHeight="1" x14ac:dyDescent="0.25">
      <c r="B6" s="400"/>
      <c r="C6" s="401" t="str">
        <f>'[4] Namenlijst 3-8'!C5</f>
        <v>Namen leerlingen:</v>
      </c>
      <c r="F6" s="1354" t="s">
        <v>551</v>
      </c>
      <c r="G6" s="1355"/>
      <c r="H6" s="1355"/>
      <c r="I6" s="1355"/>
      <c r="J6" s="1356"/>
    </row>
    <row r="7" spans="2:15" ht="40" customHeight="1" x14ac:dyDescent="0.25">
      <c r="B7" s="400">
        <v>1</v>
      </c>
      <c r="C7" s="402" t="str">
        <f>BEGINBLAD!C4</f>
        <v>leerling 1</v>
      </c>
      <c r="F7" s="1357" t="s">
        <v>518</v>
      </c>
      <c r="G7" s="1358"/>
      <c r="H7" s="403">
        <v>1</v>
      </c>
      <c r="I7" s="404" t="s">
        <v>519</v>
      </c>
      <c r="J7" s="435">
        <f>HLOOKUP($F$3,'SIGNALERING HB'!$F$2:$AN$37,7)</f>
        <v>0</v>
      </c>
    </row>
    <row r="8" spans="2:15" ht="40" customHeight="1" x14ac:dyDescent="0.25">
      <c r="B8" s="400">
        <v>2</v>
      </c>
      <c r="C8" s="402" t="str">
        <f>BEGINBLAD!C5</f>
        <v>leerling 2</v>
      </c>
      <c r="F8" s="1359"/>
      <c r="G8" s="1360"/>
      <c r="H8" s="403">
        <v>2</v>
      </c>
      <c r="I8" s="404" t="s">
        <v>520</v>
      </c>
      <c r="J8" s="435">
        <f>HLOOKUP($F$3,'SIGNALERING HB'!$F$2:$AN$37,8)</f>
        <v>0</v>
      </c>
    </row>
    <row r="9" spans="2:15" ht="40" customHeight="1" x14ac:dyDescent="0.25">
      <c r="B9" s="400">
        <v>3</v>
      </c>
      <c r="C9" s="402" t="str">
        <f>BEGINBLAD!C6</f>
        <v>leerling 3</v>
      </c>
      <c r="F9" s="1359"/>
      <c r="G9" s="1360"/>
      <c r="H9" s="403">
        <v>3</v>
      </c>
      <c r="I9" s="405" t="s">
        <v>521</v>
      </c>
      <c r="J9" s="435">
        <f>HLOOKUP($F$3,'SIGNALERING HB'!$F$2:$AN$37,9)</f>
        <v>0</v>
      </c>
    </row>
    <row r="10" spans="2:15" ht="40" customHeight="1" x14ac:dyDescent="0.25">
      <c r="B10" s="400">
        <v>4</v>
      </c>
      <c r="C10" s="402" t="str">
        <f>BEGINBLAD!C7</f>
        <v>leerling 4</v>
      </c>
      <c r="F10" s="1359"/>
      <c r="G10" s="1360"/>
      <c r="H10" s="403">
        <v>4</v>
      </c>
      <c r="I10" s="404" t="s">
        <v>522</v>
      </c>
      <c r="J10" s="435">
        <f>HLOOKUP($F$3,'SIGNALERING HB'!$F$2:$AN$37,10)</f>
        <v>0</v>
      </c>
    </row>
    <row r="11" spans="2:15" ht="40" customHeight="1" x14ac:dyDescent="0.25">
      <c r="B11" s="400">
        <v>5</v>
      </c>
      <c r="C11" s="402" t="str">
        <f>BEGINBLAD!C8</f>
        <v>leerling 5</v>
      </c>
      <c r="F11" s="1359"/>
      <c r="G11" s="1360"/>
      <c r="H11" s="403">
        <v>5</v>
      </c>
      <c r="I11" s="404" t="s">
        <v>523</v>
      </c>
      <c r="J11" s="435">
        <f>HLOOKUP($F$3,'SIGNALERING HB'!$F$2:$AN$37,11)</f>
        <v>0</v>
      </c>
    </row>
    <row r="12" spans="2:15" ht="40" customHeight="1" x14ac:dyDescent="0.25">
      <c r="B12" s="400">
        <v>6</v>
      </c>
      <c r="C12" s="402" t="str">
        <f>BEGINBLAD!C9</f>
        <v>leerling 6</v>
      </c>
      <c r="F12" s="1359"/>
      <c r="G12" s="1360"/>
      <c r="H12" s="403">
        <v>6</v>
      </c>
      <c r="I12" s="404" t="s">
        <v>524</v>
      </c>
      <c r="J12" s="435">
        <f>HLOOKUP($F$3,'SIGNALERING HB'!$F$2:$AN$37,12)</f>
        <v>0</v>
      </c>
    </row>
    <row r="13" spans="2:15" ht="40" customHeight="1" x14ac:dyDescent="0.25">
      <c r="B13" s="400">
        <v>7</v>
      </c>
      <c r="C13" s="402" t="str">
        <f>BEGINBLAD!C10</f>
        <v>leerling 7</v>
      </c>
      <c r="F13" s="1359"/>
      <c r="G13" s="1360"/>
      <c r="H13" s="403">
        <v>7</v>
      </c>
      <c r="I13" s="404" t="s">
        <v>525</v>
      </c>
      <c r="J13" s="435">
        <f>HLOOKUP($F$3,'SIGNALERING HB'!$F$2:$AN$37,13)</f>
        <v>0</v>
      </c>
    </row>
    <row r="14" spans="2:15" ht="40" customHeight="1" x14ac:dyDescent="0.25">
      <c r="B14" s="400">
        <v>8</v>
      </c>
      <c r="C14" s="402" t="str">
        <f>BEGINBLAD!C11</f>
        <v>leerling 8</v>
      </c>
      <c r="F14" s="1359"/>
      <c r="G14" s="1360"/>
      <c r="H14" s="403">
        <v>8</v>
      </c>
      <c r="I14" s="405" t="s">
        <v>526</v>
      </c>
      <c r="J14" s="435">
        <f>HLOOKUP($F$3,'SIGNALERING HB'!$F$2:$AN$37,14)</f>
        <v>0</v>
      </c>
    </row>
    <row r="15" spans="2:15" ht="40" customHeight="1" x14ac:dyDescent="0.25">
      <c r="B15" s="400">
        <v>9</v>
      </c>
      <c r="C15" s="402">
        <f>BEGINBLAD!C12</f>
        <v>0</v>
      </c>
      <c r="F15" s="1359"/>
      <c r="G15" s="1360"/>
      <c r="H15" s="403">
        <v>9</v>
      </c>
      <c r="I15" s="404" t="s">
        <v>527</v>
      </c>
      <c r="J15" s="435">
        <f>HLOOKUP($F$3,'SIGNALERING HB'!$F$2:$AN$37,15)</f>
        <v>0</v>
      </c>
    </row>
    <row r="16" spans="2:15" ht="40" customHeight="1" x14ac:dyDescent="0.25">
      <c r="B16" s="400">
        <v>10</v>
      </c>
      <c r="C16" s="402">
        <f>BEGINBLAD!C13</f>
        <v>0</v>
      </c>
      <c r="F16" s="1359"/>
      <c r="G16" s="1360"/>
      <c r="H16" s="403">
        <v>10</v>
      </c>
      <c r="I16" s="404" t="s">
        <v>528</v>
      </c>
      <c r="J16" s="435">
        <f>HLOOKUP($F$3,'SIGNALERING HB'!$F$2:$AN$37,16)</f>
        <v>0</v>
      </c>
    </row>
    <row r="17" spans="2:10" ht="40" customHeight="1" x14ac:dyDescent="0.25">
      <c r="B17" s="400">
        <v>11</v>
      </c>
      <c r="C17" s="402">
        <f>BEGINBLAD!C14</f>
        <v>0</v>
      </c>
      <c r="F17" s="1359"/>
      <c r="G17" s="1360"/>
      <c r="H17" s="403">
        <v>11</v>
      </c>
      <c r="I17" s="404" t="s">
        <v>529</v>
      </c>
      <c r="J17" s="435">
        <f>HLOOKUP($F$3,'SIGNALERING HB'!$F$2:$AN$37,17)</f>
        <v>0</v>
      </c>
    </row>
    <row r="18" spans="2:10" ht="40" customHeight="1" x14ac:dyDescent="0.25">
      <c r="B18" s="400">
        <v>12</v>
      </c>
      <c r="C18" s="402">
        <f>BEGINBLAD!C15</f>
        <v>0</v>
      </c>
      <c r="F18" s="1359"/>
      <c r="G18" s="1360"/>
      <c r="H18" s="403">
        <v>12</v>
      </c>
      <c r="I18" s="404" t="s">
        <v>530</v>
      </c>
      <c r="J18" s="435">
        <f>HLOOKUP($F$3,'SIGNALERING HB'!$F$2:$AN$37,18)</f>
        <v>0</v>
      </c>
    </row>
    <row r="19" spans="2:10" ht="40" customHeight="1" x14ac:dyDescent="0.25">
      <c r="B19" s="400">
        <v>13</v>
      </c>
      <c r="C19" s="402">
        <f>BEGINBLAD!C16</f>
        <v>0</v>
      </c>
      <c r="F19" s="1361"/>
      <c r="G19" s="1362"/>
      <c r="H19" s="403"/>
      <c r="I19" s="406" t="s">
        <v>531</v>
      </c>
      <c r="J19" s="436">
        <f>HLOOKUP($F$3,'SIGNALERING HB'!$F$2:$AN$37,19)</f>
        <v>0</v>
      </c>
    </row>
    <row r="20" spans="2:10" ht="200.15" customHeight="1" thickBot="1" x14ac:dyDescent="0.3">
      <c r="B20" s="400">
        <v>14</v>
      </c>
      <c r="C20" s="402">
        <f>BEGINBLAD!C17</f>
        <v>0</v>
      </c>
      <c r="F20" s="437"/>
      <c r="G20" s="407"/>
      <c r="H20" s="412"/>
      <c r="I20" s="175"/>
      <c r="J20" s="438" t="str">
        <f>HLOOKUP($F$3,'SIGNALERING HB'!$F$2:$AN$37,21)</f>
        <v>signalering stopt</v>
      </c>
    </row>
    <row r="21" spans="2:10" ht="40" customHeight="1" x14ac:dyDescent="0.25">
      <c r="B21" s="400">
        <v>15</v>
      </c>
      <c r="C21" s="402">
        <f>BEGINBLAD!C18</f>
        <v>0</v>
      </c>
      <c r="F21" s="1363" t="s">
        <v>532</v>
      </c>
      <c r="G21" s="1364"/>
      <c r="H21" s="1364"/>
      <c r="I21" s="1364"/>
      <c r="J21" s="1365"/>
    </row>
    <row r="22" spans="2:10" ht="40" customHeight="1" x14ac:dyDescent="0.25">
      <c r="B22" s="400">
        <v>16</v>
      </c>
      <c r="C22" s="402">
        <f>BEGINBLAD!C19</f>
        <v>0</v>
      </c>
      <c r="F22" s="1345" t="s">
        <v>533</v>
      </c>
      <c r="G22" s="1348" t="s">
        <v>534</v>
      </c>
      <c r="H22" s="408">
        <v>1</v>
      </c>
      <c r="I22" s="409" t="s">
        <v>552</v>
      </c>
      <c r="J22" s="435">
        <f>HLOOKUP($F$3,'SIGNALERING HB'!$F$2:$AN$37,23)</f>
        <v>0</v>
      </c>
    </row>
    <row r="23" spans="2:10" s="410" customFormat="1" ht="40" customHeight="1" x14ac:dyDescent="0.35">
      <c r="B23" s="400">
        <v>17</v>
      </c>
      <c r="C23" s="402">
        <f>BEGINBLAD!C20</f>
        <v>0</v>
      </c>
      <c r="F23" s="1346"/>
      <c r="G23" s="1349"/>
      <c r="H23" s="411">
        <v>2</v>
      </c>
      <c r="I23" s="405" t="s">
        <v>537</v>
      </c>
      <c r="J23" s="435">
        <f>HLOOKUP($F$3,'SIGNALERING HB'!$F$2:$AN$37,24)</f>
        <v>0</v>
      </c>
    </row>
    <row r="24" spans="2:10" s="410" customFormat="1" ht="40" customHeight="1" x14ac:dyDescent="0.35">
      <c r="B24" s="400">
        <v>18</v>
      </c>
      <c r="C24" s="402">
        <f>BEGINBLAD!C21</f>
        <v>0</v>
      </c>
      <c r="F24" s="1346"/>
      <c r="G24" s="1350"/>
      <c r="H24" s="411">
        <v>3</v>
      </c>
      <c r="I24" s="405" t="s">
        <v>553</v>
      </c>
      <c r="J24" s="435">
        <f>HLOOKUP($F$3,'SIGNALERING HB'!$F$2:$AN$37,25)</f>
        <v>0</v>
      </c>
    </row>
    <row r="25" spans="2:10" s="410" customFormat="1" ht="40" customHeight="1" x14ac:dyDescent="0.35">
      <c r="B25" s="400">
        <v>19</v>
      </c>
      <c r="C25" s="402">
        <f>BEGINBLAD!C22</f>
        <v>0</v>
      </c>
      <c r="F25" s="1346"/>
      <c r="G25" s="1351" t="s">
        <v>539</v>
      </c>
      <c r="H25" s="411">
        <v>4</v>
      </c>
      <c r="I25" s="404" t="s">
        <v>540</v>
      </c>
      <c r="J25" s="435">
        <f>HLOOKUP($F$3,'SIGNALERING HB'!$F$2:$AN$37,26)</f>
        <v>0</v>
      </c>
    </row>
    <row r="26" spans="2:10" s="410" customFormat="1" ht="40" customHeight="1" x14ac:dyDescent="0.35">
      <c r="B26" s="400">
        <v>20</v>
      </c>
      <c r="C26" s="402">
        <f>BEGINBLAD!C23</f>
        <v>0</v>
      </c>
      <c r="F26" s="1346"/>
      <c r="G26" s="1349"/>
      <c r="H26" s="411">
        <v>5</v>
      </c>
      <c r="I26" s="404" t="s">
        <v>554</v>
      </c>
      <c r="J26" s="435">
        <f>HLOOKUP($F$3,'SIGNALERING HB'!$F$2:$AN$37,27)</f>
        <v>0</v>
      </c>
    </row>
    <row r="27" spans="2:10" s="410" customFormat="1" ht="40" customHeight="1" x14ac:dyDescent="0.35">
      <c r="B27" s="400">
        <v>21</v>
      </c>
      <c r="C27" s="402">
        <f>BEGINBLAD!C24</f>
        <v>0</v>
      </c>
      <c r="F27" s="1346"/>
      <c r="G27" s="1350"/>
      <c r="H27" s="411">
        <v>6</v>
      </c>
      <c r="I27" s="405" t="s">
        <v>555</v>
      </c>
      <c r="J27" s="435">
        <f>HLOOKUP($F$3,'SIGNALERING HB'!$F$2:$AN$37,28)</f>
        <v>0</v>
      </c>
    </row>
    <row r="28" spans="2:10" s="410" customFormat="1" ht="40" customHeight="1" x14ac:dyDescent="0.35">
      <c r="B28" s="400">
        <v>22</v>
      </c>
      <c r="C28" s="402">
        <f>BEGINBLAD!C25</f>
        <v>0</v>
      </c>
      <c r="F28" s="1346"/>
      <c r="G28" s="1351" t="s">
        <v>543</v>
      </c>
      <c r="H28" s="411">
        <v>7</v>
      </c>
      <c r="I28" s="405" t="s">
        <v>556</v>
      </c>
      <c r="J28" s="435">
        <f>HLOOKUP($F$3,'SIGNALERING HB'!$F$2:$AN$37,29)</f>
        <v>0</v>
      </c>
    </row>
    <row r="29" spans="2:10" s="410" customFormat="1" ht="40" customHeight="1" x14ac:dyDescent="0.35">
      <c r="B29" s="400">
        <v>23</v>
      </c>
      <c r="C29" s="402">
        <f>BEGINBLAD!C26</f>
        <v>0</v>
      </c>
      <c r="F29" s="1346"/>
      <c r="G29" s="1349"/>
      <c r="H29" s="411">
        <v>8</v>
      </c>
      <c r="I29" s="405" t="s">
        <v>545</v>
      </c>
      <c r="J29" s="435">
        <f>HLOOKUP($F$3,'SIGNALERING HB'!$F$2:$AN$37,30)</f>
        <v>0</v>
      </c>
    </row>
    <row r="30" spans="2:10" s="410" customFormat="1" ht="40" customHeight="1" x14ac:dyDescent="0.35">
      <c r="B30" s="400">
        <v>24</v>
      </c>
      <c r="C30" s="402">
        <f>BEGINBLAD!C27</f>
        <v>0</v>
      </c>
      <c r="F30" s="1347"/>
      <c r="G30" s="1350"/>
      <c r="H30" s="411">
        <v>9</v>
      </c>
      <c r="I30" s="404" t="s">
        <v>546</v>
      </c>
      <c r="J30" s="435">
        <f>HLOOKUP($F$3,'SIGNALERING HB'!$F$2:$AN$37,31)</f>
        <v>0</v>
      </c>
    </row>
    <row r="31" spans="2:10" s="410" customFormat="1" ht="40" customHeight="1" x14ac:dyDescent="0.35">
      <c r="B31" s="400">
        <v>25</v>
      </c>
      <c r="C31" s="402">
        <f>BEGINBLAD!C28</f>
        <v>0</v>
      </c>
      <c r="F31" s="420"/>
      <c r="G31" s="382"/>
      <c r="H31" s="403"/>
      <c r="I31" s="406" t="s">
        <v>547</v>
      </c>
      <c r="J31" s="436">
        <f>HLOOKUP($F$3,'SIGNALERING HB'!$F$2:$AN$37,32)</f>
        <v>0</v>
      </c>
    </row>
    <row r="32" spans="2:10" ht="200.15" customHeight="1" x14ac:dyDescent="0.25">
      <c r="B32" s="400">
        <v>26</v>
      </c>
      <c r="C32" s="402">
        <f>BEGINBLAD!C29</f>
        <v>0</v>
      </c>
      <c r="F32" s="420"/>
      <c r="G32" s="382"/>
      <c r="H32" s="403"/>
      <c r="I32" s="404"/>
      <c r="J32" s="439" t="str">
        <f>HLOOKUP($F$3,'SIGNALERING HB'!$F$2:$AN$37,36)</f>
        <v/>
      </c>
    </row>
    <row r="33" spans="2:9" ht="40" customHeight="1" x14ac:dyDescent="0.25">
      <c r="B33" s="400">
        <v>27</v>
      </c>
      <c r="C33" s="402">
        <f>BEGINBLAD!C30</f>
        <v>0</v>
      </c>
      <c r="H33" s="412"/>
      <c r="I33" s="175"/>
    </row>
    <row r="34" spans="2:9" ht="40" customHeight="1" x14ac:dyDescent="0.25">
      <c r="B34" s="400">
        <v>28</v>
      </c>
      <c r="C34" s="402">
        <f>BEGINBLAD!C31</f>
        <v>0</v>
      </c>
      <c r="H34" s="412"/>
      <c r="I34" s="175"/>
    </row>
    <row r="35" spans="2:9" ht="40" customHeight="1" x14ac:dyDescent="0.25">
      <c r="B35" s="400">
        <v>29</v>
      </c>
      <c r="C35" s="402">
        <f>BEGINBLAD!C32</f>
        <v>0</v>
      </c>
      <c r="H35" s="412"/>
      <c r="I35" s="175"/>
    </row>
    <row r="36" spans="2:9" ht="40" customHeight="1" x14ac:dyDescent="0.25">
      <c r="B36" s="400">
        <v>30</v>
      </c>
      <c r="C36" s="402">
        <f>BEGINBLAD!C33</f>
        <v>0</v>
      </c>
      <c r="H36" s="412"/>
      <c r="I36" s="175"/>
    </row>
    <row r="37" spans="2:9" ht="40" customHeight="1" x14ac:dyDescent="0.25">
      <c r="B37" s="400">
        <v>31</v>
      </c>
      <c r="C37" s="402">
        <f>BEGINBLAD!C34</f>
        <v>0</v>
      </c>
      <c r="H37" s="412"/>
      <c r="I37" s="175"/>
    </row>
    <row r="38" spans="2:9" ht="40" customHeight="1" x14ac:dyDescent="0.25">
      <c r="B38" s="400">
        <v>32</v>
      </c>
      <c r="C38" s="402">
        <f>BEGINBLAD!C35</f>
        <v>0</v>
      </c>
      <c r="H38" s="412"/>
      <c r="I38" s="175"/>
    </row>
    <row r="39" spans="2:9" ht="40" customHeight="1" x14ac:dyDescent="0.25">
      <c r="B39" s="400">
        <v>33</v>
      </c>
      <c r="C39" s="402">
        <f>BEGINBLAD!C36</f>
        <v>0</v>
      </c>
      <c r="I39" s="175"/>
    </row>
    <row r="40" spans="2:9" ht="40" customHeight="1" x14ac:dyDescent="0.25">
      <c r="B40" s="400">
        <v>34</v>
      </c>
      <c r="C40" s="402">
        <f>BEGINBLAD!C37</f>
        <v>0</v>
      </c>
      <c r="I40" s="175"/>
    </row>
    <row r="41" spans="2:9" ht="40" customHeight="1" x14ac:dyDescent="0.25">
      <c r="B41" s="400">
        <v>35</v>
      </c>
      <c r="C41" s="402">
        <f>BEGINBLAD!C38</f>
        <v>0</v>
      </c>
    </row>
    <row r="42" spans="2:9" ht="40" customHeight="1" x14ac:dyDescent="0.25">
      <c r="B42" s="400">
        <v>36</v>
      </c>
      <c r="C42" s="402">
        <f>BEGINBLAD!C39</f>
        <v>0</v>
      </c>
    </row>
    <row r="43" spans="2:9" ht="40" customHeight="1" x14ac:dyDescent="0.25">
      <c r="B43" s="412"/>
    </row>
    <row r="44" spans="2:9" ht="40" customHeight="1" x14ac:dyDescent="0.25"/>
    <row r="45" spans="2:9" ht="40" customHeight="1" x14ac:dyDescent="0.25"/>
    <row r="46" spans="2:9" ht="40" customHeight="1" x14ac:dyDescent="0.25"/>
    <row r="47" spans="2:9" ht="40" customHeight="1" x14ac:dyDescent="0.25"/>
    <row r="48" spans="2:9" ht="40" customHeight="1" x14ac:dyDescent="0.25"/>
    <row r="49" ht="40" customHeight="1" x14ac:dyDescent="0.25"/>
    <row r="50" ht="40" customHeight="1" x14ac:dyDescent="0.25"/>
  </sheetData>
  <sheetProtection algorithmName="SHA-512" hashValue="E8aJ3/k4QHHUzG1AiJvsdQ+o/Ql2KV8nvJDIj6tqziGac25sGKV+SMDuotaTSpOJak6O/jS8N86Hq9vvbz5cQw==" saltValue="VqXITyJ0l2kLaDeSE2axpg==" spinCount="100000" sheet="1" objects="1" scenarios="1"/>
  <mergeCells count="11">
    <mergeCell ref="H3:J3"/>
    <mergeCell ref="F3:G3"/>
    <mergeCell ref="H4:J4"/>
    <mergeCell ref="F22:F30"/>
    <mergeCell ref="G22:G24"/>
    <mergeCell ref="G25:G27"/>
    <mergeCell ref="G28:G30"/>
    <mergeCell ref="F4:G4"/>
    <mergeCell ref="F6:J6"/>
    <mergeCell ref="F7:G19"/>
    <mergeCell ref="F21:J21"/>
  </mergeCells>
  <conditionalFormatting sqref="C7:C42">
    <cfRule type="cellIs" dxfId="11" priority="3" stopIfTrue="1" operator="equal">
      <formula>0</formula>
    </cfRule>
  </conditionalFormatting>
  <conditionalFormatting sqref="H4 J5 J7:J18">
    <cfRule type="cellIs" dxfId="10" priority="13" stopIfTrue="1" operator="equal">
      <formula>0</formula>
    </cfRule>
  </conditionalFormatting>
  <conditionalFormatting sqref="H4 J5">
    <cfRule type="cellIs" dxfId="9" priority="11" stopIfTrue="1" operator="equal">
      <formula>"x"</formula>
    </cfRule>
    <cfRule type="cellIs" dxfId="8" priority="12" stopIfTrue="1" operator="equal">
      <formula>"?"</formula>
    </cfRule>
  </conditionalFormatting>
  <conditionalFormatting sqref="J7:J19 J31">
    <cfRule type="cellIs" dxfId="7" priority="4" stopIfTrue="1" operator="equal">
      <formula>"x"</formula>
    </cfRule>
    <cfRule type="cellIs" dxfId="6" priority="5" stopIfTrue="1" operator="equal">
      <formula>"?"</formula>
    </cfRule>
  </conditionalFormatting>
  <conditionalFormatting sqref="J20">
    <cfRule type="cellIs" dxfId="5" priority="1" stopIfTrue="1" operator="equal">
      <formula>"vervolg de vragenlijst"</formula>
    </cfRule>
  </conditionalFormatting>
  <conditionalFormatting sqref="J22:J30">
    <cfRule type="cellIs" dxfId="4" priority="14" stopIfTrue="1" operator="equal">
      <formula>"x"</formula>
    </cfRule>
    <cfRule type="cellIs" dxfId="3" priority="15" stopIfTrue="1" operator="equal">
      <formula>0</formula>
    </cfRule>
  </conditionalFormatting>
  <conditionalFormatting sqref="J32">
    <cfRule type="cellIs" dxfId="2" priority="9" stopIfTrue="1" operator="equal">
      <formula>"vul SiDi-PO in"</formula>
    </cfRule>
    <cfRule type="cellIs" dxfId="1" priority="10" stopIfTrue="1" operator="equal">
      <formula>"observatie + gesprek"</formula>
    </cfRule>
  </conditionalFormatting>
  <pageMargins left="2.38" right="0.45" top="0.75" bottom="0.28000000000000003" header="0.2" footer="0.19"/>
  <pageSetup paperSize="9" scale="47" orientation="portrait" horizontalDpi="4294967293" r:id="rId1"/>
  <headerFooter alignWithMargins="0">
    <oddHeader>&amp;C&amp;"Verdana,Standaard"&amp;26Individueel overzicht
Jaarlijkse signalering - groep 3-8</oddHeader>
    <oddFooter>&amp;L© Eduforce / Meesterharrie.nl</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CCFFFF"/>
  </sheetPr>
  <dimension ref="B3:D33"/>
  <sheetViews>
    <sheetView showGridLines="0" showRowColHeaders="0" zoomScaleNormal="100" workbookViewId="0"/>
  </sheetViews>
  <sheetFormatPr defaultColWidth="4.81640625" defaultRowHeight="12.5" x14ac:dyDescent="0.25"/>
  <cols>
    <col min="1" max="1" width="4.81640625" style="246" customWidth="1"/>
    <col min="2" max="2" width="45.81640625" style="246" customWidth="1"/>
    <col min="3" max="3" width="23.81640625" style="246" customWidth="1"/>
    <col min="4" max="4" width="22.81640625" style="246" customWidth="1"/>
    <col min="5" max="16384" width="4.81640625" style="246"/>
  </cols>
  <sheetData>
    <row r="3" spans="2:4" ht="17" x14ac:dyDescent="0.25">
      <c r="C3" s="247"/>
      <c r="D3" s="248"/>
    </row>
    <row r="4" spans="2:4" ht="15.5" x14ac:dyDescent="0.25">
      <c r="B4" s="249"/>
    </row>
    <row r="5" spans="2:4" ht="17" x14ac:dyDescent="0.25">
      <c r="B5" s="250" t="s">
        <v>557</v>
      </c>
      <c r="C5" s="1367"/>
      <c r="D5" s="1367"/>
    </row>
    <row r="6" spans="2:4" ht="18" x14ac:dyDescent="0.25">
      <c r="B6" s="251"/>
    </row>
    <row r="7" spans="2:4" ht="52.5" customHeight="1" x14ac:dyDescent="0.25">
      <c r="B7" s="1366" t="s">
        <v>558</v>
      </c>
      <c r="C7" s="1366"/>
      <c r="D7" s="1366"/>
    </row>
    <row r="8" spans="2:4" ht="37.5" customHeight="1" x14ac:dyDescent="0.25">
      <c r="B8" s="1366" t="s">
        <v>559</v>
      </c>
      <c r="C8" s="1366"/>
      <c r="D8" s="1366"/>
    </row>
    <row r="9" spans="2:4" ht="16.5" x14ac:dyDescent="0.25">
      <c r="B9" s="252"/>
    </row>
    <row r="10" spans="2:4" ht="88.5" customHeight="1" x14ac:dyDescent="0.25">
      <c r="B10" s="1366" t="s">
        <v>560</v>
      </c>
      <c r="C10" s="1366"/>
      <c r="D10" s="1366"/>
    </row>
    <row r="11" spans="2:4" ht="16.5" x14ac:dyDescent="0.25">
      <c r="B11" s="252"/>
    </row>
    <row r="12" spans="2:4" ht="75" customHeight="1" x14ac:dyDescent="0.25">
      <c r="B12" s="1368" t="s">
        <v>561</v>
      </c>
      <c r="C12" s="1368"/>
      <c r="D12" s="1368"/>
    </row>
    <row r="13" spans="2:4" ht="16.5" x14ac:dyDescent="0.25">
      <c r="B13" s="253"/>
    </row>
    <row r="14" spans="2:4" ht="16.5" customHeight="1" x14ac:dyDescent="0.25">
      <c r="B14" s="1366" t="s">
        <v>562</v>
      </c>
      <c r="C14" s="1366"/>
      <c r="D14" s="1366"/>
    </row>
    <row r="15" spans="2:4" ht="17" x14ac:dyDescent="0.25">
      <c r="B15" s="1372"/>
      <c r="C15" s="1372"/>
      <c r="D15" s="1372"/>
    </row>
    <row r="16" spans="2:4" ht="17" x14ac:dyDescent="0.25">
      <c r="B16" s="252" t="s">
        <v>563</v>
      </c>
      <c r="C16" s="1373"/>
      <c r="D16" s="1373"/>
    </row>
    <row r="17" spans="2:4" ht="16.5" x14ac:dyDescent="0.25">
      <c r="B17" s="252"/>
    </row>
    <row r="18" spans="2:4" ht="36" customHeight="1" x14ac:dyDescent="0.25">
      <c r="B18" s="1366" t="s">
        <v>564</v>
      </c>
      <c r="C18" s="1366"/>
      <c r="D18" s="1366"/>
    </row>
    <row r="19" spans="2:4" ht="16.5" x14ac:dyDescent="0.25">
      <c r="B19" s="252"/>
    </row>
    <row r="20" spans="2:4" ht="33.75" customHeight="1" x14ac:dyDescent="0.25">
      <c r="B20" s="1366" t="s">
        <v>565</v>
      </c>
      <c r="C20" s="1366"/>
      <c r="D20" s="1366"/>
    </row>
    <row r="21" spans="2:4" ht="34.5" customHeight="1" x14ac:dyDescent="0.25">
      <c r="B21" s="1366" t="s">
        <v>566</v>
      </c>
      <c r="C21" s="1366"/>
      <c r="D21" s="1366"/>
    </row>
    <row r="22" spans="2:4" ht="19.5" customHeight="1" x14ac:dyDescent="0.25">
      <c r="B22" s="1366" t="s">
        <v>567</v>
      </c>
      <c r="C22" s="1366"/>
      <c r="D22" s="1366"/>
    </row>
    <row r="23" spans="2:4" ht="16.5" x14ac:dyDescent="0.25">
      <c r="B23" s="252"/>
    </row>
    <row r="24" spans="2:4" ht="16.5" x14ac:dyDescent="0.25">
      <c r="B24" s="252"/>
    </row>
    <row r="25" spans="2:4" ht="16.5" x14ac:dyDescent="0.25">
      <c r="B25" s="252" t="s">
        <v>568</v>
      </c>
    </row>
    <row r="26" spans="2:4" ht="16.5" x14ac:dyDescent="0.25">
      <c r="B26" s="252" t="s">
        <v>569</v>
      </c>
    </row>
    <row r="27" spans="2:4" ht="14" x14ac:dyDescent="0.25">
      <c r="B27" s="254"/>
    </row>
    <row r="28" spans="2:4" ht="15" customHeight="1" x14ac:dyDescent="0.25">
      <c r="B28" s="1369"/>
      <c r="C28" s="1370"/>
      <c r="D28" s="1371"/>
    </row>
    <row r="29" spans="2:4" ht="15" customHeight="1" x14ac:dyDescent="0.25">
      <c r="B29" s="1369"/>
      <c r="C29" s="1370"/>
      <c r="D29" s="1371"/>
    </row>
    <row r="30" spans="2:4" ht="15" customHeight="1" x14ac:dyDescent="0.25"/>
    <row r="31" spans="2:4" ht="15" customHeight="1" x14ac:dyDescent="0.25"/>
    <row r="32" spans="2:4" ht="15" customHeight="1" x14ac:dyDescent="0.25"/>
    <row r="33" ht="15" customHeight="1" x14ac:dyDescent="0.25"/>
  </sheetData>
  <sheetProtection algorithmName="SHA-512" hashValue="ctPNKOG8IbLcXi/+yEsg6qsfAJEuJkivkCwKS8VrO38FHakJJXJEvqDWjJfvlttTiZzv/vcuvvOyXYSPKJYBFQ==" saltValue="TuwVTjHFmYJCoB7v54yiaA==" spinCount="100000" sheet="1" objects="1" scenarios="1"/>
  <mergeCells count="14">
    <mergeCell ref="B28:D28"/>
    <mergeCell ref="B29:D29"/>
    <mergeCell ref="B15:D15"/>
    <mergeCell ref="C16:D16"/>
    <mergeCell ref="B18:D18"/>
    <mergeCell ref="B20:D20"/>
    <mergeCell ref="B21:D21"/>
    <mergeCell ref="B22:D22"/>
    <mergeCell ref="B14:D14"/>
    <mergeCell ref="C5:D5"/>
    <mergeCell ref="B7:D7"/>
    <mergeCell ref="B8:D8"/>
    <mergeCell ref="B10:D10"/>
    <mergeCell ref="B12:D12"/>
  </mergeCells>
  <conditionalFormatting sqref="C3:D3 C5:D5 B15:D15 C16:D16 B28:D29">
    <cfRule type="cellIs" dxfId="0" priority="1" stopIfTrue="1" operator="equal">
      <formula>""</formula>
    </cfRule>
  </conditionalFormatting>
  <dataValidations count="8">
    <dataValidation allowBlank="1" showInputMessage="1" showErrorMessage="1" promptTitle="Extra zorg voor:" prompt="Geef aan waarvoor_x000a_extra begeleiding_x000a_wordt gegeven" sqref="B15:D15" xr:uid="{00000000-0002-0000-3000-000000000000}"/>
    <dataValidation allowBlank="1" showInputMessage="1" showErrorMessage="1" promptTitle="Leerkracht / groep / ...." prompt="Plaats voor andere gegevens" sqref="B29:D29" xr:uid="{00000000-0002-0000-3000-000001000000}"/>
    <dataValidation allowBlank="1" showInputMessage="1" showErrorMessage="1" promptTitle="Naam:" prompt="Noteer de_x000a_naam van_x000a_de leerling" sqref="C5:D5" xr:uid="{00000000-0002-0000-3000-000002000000}"/>
    <dataValidation allowBlank="1" showInputMessage="1" showErrorMessage="1" promptTitle="Geschreven door:" prompt="Noteer hier uw naam" sqref="B28:D28" xr:uid="{00000000-0002-0000-3000-000003000000}"/>
    <dataValidation type="list" allowBlank="1" showInputMessage="1" showErrorMessage="1" promptTitle="Pulldown:" prompt="Kies uit:_x000a_- groepsplan_x000a_- handelingsplan" sqref="C16:D16" xr:uid="{00000000-0002-0000-3000-000004000000}">
      <formula1>"--,groepsplan,handelingsplan,"</formula1>
    </dataValidation>
    <dataValidation allowBlank="1" showInputMessage="1" showErrorMessage="1" promptTitle="Datum:" prompt="dd-mm-jjjj" sqref="D3" xr:uid="{00000000-0002-0000-3000-000005000000}"/>
    <dataValidation allowBlank="1" showInputMessage="1" showErrorMessage="1" promptTitle="Plaatsnaam:" prompt="Welke plaats?" sqref="C3" xr:uid="{00000000-0002-0000-3000-000006000000}"/>
    <dataValidation allowBlank="1" showInputMessage="1" showErrorMessage="1" promptTitle="naam van het kind" sqref="F5" xr:uid="{00000000-0002-0000-3000-000007000000}"/>
  </dataValidations>
  <pageMargins left="0.75" right="0.75" top="1" bottom="1" header="0.5" footer="0.5"/>
  <pageSetup paperSize="9" scale="85" orientation="portrait" horizontalDpi="4294967293" r:id="rId1"/>
  <headerFooter alignWithMargins="0"/>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28</v>
      </c>
    </row>
  </sheetData>
  <sheetProtection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29</v>
      </c>
    </row>
  </sheetData>
  <sheetProtection algorithmName="SHA-512" hashValue="1EITNHQJxXoOFfNAteOCwGsDhO3wHZUctZWnKmWqkH6ZYaq0gB1cJ/soJnF5B9rEWasj2LsvzdDaNsOJXd6e1A==" saltValue="7oexCDVvCDWqOwzbDS96cw=="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30</v>
      </c>
    </row>
  </sheetData>
  <sheetProtection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
  <sheetViews>
    <sheetView showGridLines="0" showRowColHeaders="0" zoomScaleNormal="100" workbookViewId="0">
      <selection activeCell="A41" sqref="A41"/>
    </sheetView>
  </sheetViews>
  <sheetFormatPr defaultColWidth="9.1796875" defaultRowHeight="12.5" x14ac:dyDescent="0.25"/>
  <cols>
    <col min="1" max="16384" width="9.1796875" style="51"/>
  </cols>
  <sheetData>
    <row r="2" spans="2:2" ht="20" x14ac:dyDescent="0.4">
      <c r="B2" s="135" t="s">
        <v>31</v>
      </c>
    </row>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T o u r   x m l n s : x s d = " h t t p : / / w w w . w 3 . o r g / 2 0 0 1 / X M L S c h e m a "   x m l n s : x s i = " h t t p : / / w w w . w 3 . o r g / 2 0 0 1 / X M L S c h e m a - i n s t a n c e "   N a m e = " T o u r   1 "   D e s c r i p t i o n = " H i e r   k o m t   e e n   o m s c h r i j v i n g   v a n   d e   t o u r "   x m l n s = " h t t p : / / m i c r o s o f t . d a t a . v i s u a l i z a t i o n . e n g i n e . t o u r s / 1 . 0 " > < S c e n e s > < S c e n e   C u s t o m M a p G u i d = " 0 0 0 0 0 0 0 0 - 0 0 0 0 - 0 0 0 0 - 0 0 0 0 - 0 0 0 0 0 0 0 0 0 0 0 0 "   C u s t o m M a p I d = " 0 0 0 0 0 0 0 0 - 0 0 0 0 - 0 0 0 0 - 0 0 0 0 - 0 0 0 0 0 0 0 0 0 0 0 0 "   S c e n e I d = " f 8 9 3 b a 7 4 - 9 1 9 5 - 4 c 0 3 - 9 a 6 b - d 4 8 b 2 8 6 3 7 5 0 d " > < T r a n s i t i o n > M o v e T o < / T r a n s i t i o n > < E f f e c t > S t a t i o n < / E f f e c t > < T h e m e > B i n g R o a d < / T h e m e > < T h e m e W i t h L a b e l > f a l s e < / T h e m e W i t h L a b e l > < F l a t M o d e E n a b l e d > f a l s e < / F l a t M o d e E n a b l e d > < D u r a t i o n > 1 0 0 0 0 0 0 0 0 < / D u r a t i o n > < T r a n s i t i o n D u r a t i o n > 3 0 0 0 0 0 0 0 < / T r a n s i t i o n D u r a t i o n > < S p e e d > 0 . 5 < / S p e e d > < F r a m e > < C a m e r a > < L a t i t u d e > 0 < / L a t i t u d e > < L o n g i t u d e > 1 4 . 9 9 9 9 9 9 9 9 9 9 9 9 9 9 8 < / L o n g i t u d e > < R o t a t i o n > 0 < / R o t a t i o n > < P i v o t A n g l e > - 0 . 0 0 8 3 6 4 3 3 9 3 0 6 3 4 5 7 2 5 < / P i v o t A n g l e > < D i s t a n c e > 1 . 8 < / D i s t a n c e > < / C a m e r a > < I m a g e > i V B O R w 0 K G g o A A A A N S U h E U g A A A N Q A A A B 1 C A Y A A A A 2 n s 9 T A A A A A X N S R 0 I A r s 4 c 6 Q A A A A R n Q U 1 B A A C x j w v 8 Y Q U A A A A J c E h Z c w A A B K o A A A S q A f V M / I A A A D 7 o S U R B V H h e 5 X 0 H c 1 v J d u Z B B g g w Z z G T E q m c R t K M J r 1 5 Y W 1 v e e 2 t V y 6 X 7 S p 7 / d a 7 L r t q 9 0 f 4 T 9 l b 6 3 1 + E z X S K I t U Y p D E n H N A D n u + 0 7 e B C x A A A Y o a X p K f 1 L x 9 A 4 B 7 b 5 + v z + n T p 7 t t / 3 r n U Y p O K J y + W r J 5 e y g W i 1 M i k a B U K p W V A L 3 N x d V T U a r x R m l 7 e 5 u q q 6 u N o 9 n 4 w 6 i X k g f 0 d m 2 c L p + K 0 b N Z l z p g w u n G G L V X J 8 j G F y W S N n o 8 7 a b t C D 5 B V O l J 0 s d d U c m X D p v c N x 4 9 m Y j S + s Y m e T 1 u W l l Z p e b m J n o 0 X 0 e x p J 1 u d M S o z p + i 6 e l p 2 k g 1 0 O X u A M 1 v B O n F 2 2 n j e 0 4 e b P / 6 4 8 k k l L / p G o V C K Y r H 4 5 R M J k s m E n C m A Q I c p T d v 3 t K Z M 6 e N o 9 k Y X 3 X S 2 L L T 2 N s b E H 8 Q Q h P Q Y W e i 8 O + c q k p I / j + Y n E V u i S 6 3 x q i p M k F v V 5 y 0 E b L T S p A / Z K C r L s 7 3 H D f 2 s j G 3 6 a A W / h x + O x c 2 0 8 H 5 + Q X y e b 2 0 s b l B P l 8 F 7 d g b 6 M 2 q T 6 6 5 2 b z A W z t V 1 9 R S O B S k 6 r p 6 + s O j F x R P J I 1 P n x z Y / u 2 E E c p b W U 8 p d x d F I g k h E 4 g D Q g H F y K S P Q b h / e T p M c 3 P z V F 9 f R 2 6 3 W 4 5 r h G I 2 G p p z 0 W Y 4 I 9 A A P l f l T V L A z S T m n 4 M Q u 5 3 8 n Y k w T U 1 M 0 L m z Z 0 Q 4 n 8 y w J t j J + S z L d W K P U o L o B 7 w p a v I n 6 A 2 T K h e n W I O B V C 7 H H l 9 U A E n + h Y W F R V p Z W q T K y k p q a z t F S Z u b 7 o x 7 + f 5 S 9 F n X N i 0 t L f N 7 j V B X V y d V V P h p 8 N 0 c L a 5 t G N 9 w M n C i C O X y 1 V H K 0 5 0 2 8 c y a C c h H J M B 8 H E R o 9 o f p 9 W y M v j j r l W N b b F 6 9 Y 4 0 E z R C J q 1 o d g n u R t U Y V m 1 w u h x z K i 8 2 t L f w A V V V V y f 6 D S Q 9 t h P O o i z I A x Z L 7 K G 6 + n 0 T K R k 5 7 i g K e l J D W z + S + 1 B q V / T i b i j A T Y w k i T 3 K d P B 4 P O Z 1 O c j g y N 5 9 i U s 3 N z J A v U E m h n W 0 5 9 j r Y y 3 9 t V M 2 V x a 2 u m B D K 5 1 O a C 2 l q Z Z v G p u f l 2 p O A E 0 O o 6 l N X a G v b L l o p t 7 0 E 5 C N T v m N m 1 P p S t B b K C D 8 I 2 s y 8 u N A S F Y 1 U C i 2 m p q a p q a l R B B j m 3 t c w 7 Y x z 7 w M 7 / z i I D C K B 8 K U i G t 6 h 1 u Q Q X b l 8 W Z 4 / F A r R 5 u Y W 7 e z s c D 7 M 2 i k g + d b e y 9 T g T 9 J O M E h 3 p + u E P P j N X / d H 0 m S K R q P k 9 / t Z k z n F B D w J Y E I 9 P o j y s z Q q W 6 / R 9 n a y r P Z S v m N m d N X B h I o Z e + r 6 + / c f 0 s c f 3 z S O 7 I 1 X r 1 7 T 6 d N 9 5 H I p R 8 P I k p O m 1 5 1 M L P x 2 6 S R 4 X 7 R y O 8 3 D 5 i f a f c D F p i C 1 1 G S b n b F Y j N b X 1 6 m x s V H 2 5 + c X q a W l m Y k j u 6 x Z 3 a x Z 7 U K k 3 / S H F c H s r L F Z Y 8 F E X F / f o A d v j r + m 4 j f A f 4 9 x 8 j d n k w n J 4 1 C k A n K J g / 2 9 y D T Q F M s i E w A B c r t 3 e + C K o b W 1 h V 6 + f J X + v f 7 G O H 3 S t k Y 9 n n G q q 0 h K g q C j 5 t 8 L 0 I h e v n Y / b S Q 4 J j S Z g H A s S Y O D g 8 a e A s y / x c U l Y 4 9 N 3 5 Y m b k f O U j g c l v 2 b n V H 6 s i 9 C F a 4 k f T O 0 Q S s r K + I V R G W h N F U F X e 9 u Y p L x w 5 j K 5 7 g l 2 7 / d P b 4 a C p 6 8 n R 3 l f C i l v b Q X k e p Z w K + 1 5 3 d B 4 7 N P n j y j S 5 c v k o u F r 1 R s b + / Q 2 7 d v 6 e L F C + L o C I W C 1 N 3 d L Q J s x o t 5 l w h + P t x i Y Y b D Q 2 N 5 2 0 E T a w 5 x k I S Y 9 y B 7 q c B z V K z f o / a W e n E u w D y e n p 4 R T d P e 3 k Y V F R W 0 x O 0 v m H t J P r e 6 u s o m a 5 P x 6 Q z M v x l k s x B t x J 2 d I J u P m z S 6 E j K 0 8 P G D 7 f 8 c U 0 J V H D C Z f s G 1 b 7 7 a H z X 0 N L e D v N w Q r 6 q q T D s X y s H Q 0 H M 6 d e q U 3 G d j Y 4 N x d D d 2 o j a a 3 X D Q A h M m z G T R 6 K i J s 9 b c 7 R b H M z 1 6 P E g d / d d o k T + z F r R T N J F N L u z l P l V t 8 D E F f E 4 h B b 4 D m h S a B s 4 G D T g x 4 O B Y W l q i u r q 6 X R U A o E m F 7 c b G h l w H 0 w + H n 0 2 u H E h b 0 W p g Q j 0 5 d s / l q T 1 H 4 a i z J D J h H w W c c z g L X / R G x P T K x d T U F N X X 1 0 u t / T 6 A Z p q d n a N L l y 7 s c s M X A h w Y s 6 y x l r f t 0 u G b z y z E s z 1 4 8 I h u 3 b p h H E H H L 4 h p p 5 k N O 5 1 m E 9 P F p i K e f Z G / Z 2 n H Q Y u r O 9 S Q G K N I O E g 3 b n x E I 8 M j F G b t V F 1 d J e 8 S x P d 6 l X d T Y 2 F h g W p r a + X e c 7 W h m V R w Z s D 5 s s q m I P T p 2 I o y F 4 8 T j l 0 b y t d w s S w y q a 1 s 8 u I 6 m 3 j 5 y T Q t Q v K + Z A J 8 P i 8 L a m v J Z A J A I E R H X G 3 L T y Y A 9 5 c j 3 + n + s H P N i k w A r m m u T N L F l h j 9 6 r y b 4 C m P R K L y + d 6 + X g o E A m K G 9 v b 2 i i Z 6 + / a d t I s 0 m p u b x b 2 O 4 4 X f c U o 8 f u P j E 9 T Y 1 E j t b a f o Y g d r Y 9 z f M U r Z r p w j j s q W q x Q K K 9 d 4 q W T a C + a 2 C b 5 z n U 2 X 4 e F h 6 u h o 5 z Z F u 3 H m / Q C B X V 1 d M f Y O F u i A R T u t F C B k C R j o H x B t g n c 0 O z M r 7 S S 8 U w C E 6 u 3 t k X M z M z N y D A C h e n q 6 2 Q R c L P i u s U W 7 D N 4 / 5 B v r q q n B F p J z x w V S u R 2 H 1 N R z l b a 2 d r v G A b 3 V y N 0 v B M T A O b n K g c d q Z G R U + m R 8 X h 8 N D A w Y V x w M c L 8 u V + n a q R z A Z R 0 M l k a o K 2 w 6 w v n h d D p o 4 K N f M W F m y c V a 8 + b N G 7 v a S D D d 2 t r a 6 N 2 7 c X F c A N B o e A 6 4 2 A u 9 c 3 w P w p j w z E j n z 5 + j p i p / 3 j I 9 i o n F J d / h o 5 V c 3 m p a X t 4 d l w c U K t h c w B T S Q C 3 z 6 z N h C S w d H R 2 l G m 4 f 9 P e f E Z P F 4 z l 4 w Y + y A E I Y P w R g R i 4 v r x p 7 x e G w p 2 i g M S Z R H 0 4 m R l t 7 m 5 i i x Q C t B C / e 3 N y c O G h A s G e j q / R 0 x k 3 R H D + J f v f o y I Z G 1 v u N F X Z q r P Z z L r t c j 2 I 6 F i Z f 0 q M i x n W t V y 6 Z 8 C r 0 K Q S Y / v J 0 S E w e x K 7 V 1 z e w o H 2 4 1 4 R 7 W l 9 b F 0 3 y I Q D v X C R S e u O f l R P V + p L 0 e s F F / z H i F d f 7 X s C 9 t 7 S 0 S K V w q r W V 6 n x h W t 6 x 0 7 d v P B T O 7 q 7 L l I G 7 T p w Z A L x / H b U V X J H t / V t W x 5 F 3 S r j r r n A D O R N O p F E K m X T 5 4 Y w 7 u U H X G 2 b p U k t U v g s d k S D V u 3 f v 2 J T c U h d + A O C + E F Q K L 9 q H A I R c V z S l o o Y J h U 5 l 4 M 4 7 j 3 g G 9 w J + B 2 Z g c 0 s z d X d 1 0 M W a K T n + / V s P / / b u s k C w L b R n w v j y i Y l J u t b d m C 7 X o 5 q O t I b y N 1 5 g M y O R J p M 5 m Z G 7 r 6 E P g 1 i f D 3 i k p t Q A m W D K X L 1 6 R f p a 4 M H S b Y W D B B r o / f 2 n x W 3 + I a A E 3 c v m c H n 3 D u + m 9 h 5 + P Z b t J t 8 L e K Y W N u s 6 a 5 X N 9 z 2 T M r c M a n 0 J 6 b N 7 + f K l 7 P s q f K x N n X S h N f / Y s q M C x 9 / 9 4 z / / i 4 l g R y a 5 K + o p H K / O 2 2 4 y o x C Z N L r r 4 n S j Q 2 m l p 0 8 H W d t F J A 9 T C X 0 u 8 F 7 B p I F g 3 r v 3 g E 3 A 2 l 3 9 M O 8 L 1 N T b O 9 v 0 + v U w b b M 2 r G V i S 4 j O A W G H v x v t P w h s O W i r S d D E m v o M 2 l W 9 9 f n H V B V C v T 9 J 1 a z t Z t a d M k 6 r 0 p s k f 0 4 T F O 2 p O a 5 M t j a 3 q a G R z W t + 3 x 5 u 0 G 4 E I 3 n L 3 f L p / / 7 0 r L j E W R A Y z G a r v M h t g 5 g I f 6 F 2 0 1 5 k g g f v q 9 O q f Q H P U 0 N D / S 5 v F o B I B g S C V l V V G / F r E Q l q z X f t + w L t N n j l E I Q K 4 u r f w H P C / e 3 1 e s S 0 K g d o q 3 i 9 v p L N S r w 1 C A e A E c J L 2 y r k q d h A x W L A Q M t J J i Y s P 5 A M f W e v F 1 1 0 v j n j j E G / F x w + e E 6 Y 2 M O L w S M Z n n Q k 2 1 C e h o s U i 2 V M P Y 2 9 C J S L m 5 0 R I 0 e 0 u L i Y l y D 6 O y H g K H B 0 c K J v 5 + G D R 7 S 6 t l b 2 b x Y C Y u V e v n j F p N m S B j 4 0 7 z B r r L G x M Y l 2 e P T o C V c c C R p / N 0 7 P h 1 6 k + 4 l K A Q i I 6 0 v F E J N I f z V c 6 Q g x A i Z Y S w 2 a z p W K 0 0 x C e E w x U B L j s D A 1 w O R K g t 4 s O 9 L P Y G e t B H I h o b N 8 o M m f t + y t n o 5 c G 8 p X 1 U y h Y C p N J n M y I 3 c / F 7 e 7 I z L A D o A w Y / R t P k D 7 5 Z p 4 M A F v 3 r o h I T Q v X 7 3 O i h o o F / j s 6 O i Y t N F O n + m j v r 4 + i Z m r q a m h C x c v U F d X F 1 2 4 c E 7 I j P C e g b M D n P p p e X l Z g n E x p G I v h w N M S n T O 5 m r z X G x H b e K A 6 K l P Z M X 8 N S R H j R x C l B x 0 b 6 I 8 D Q l c a Q l S k 0 e 5 7 / H 7 P r d L K r H V o O r k h S c V Q c J o f 4 F U E 5 O T 1 F E L V / r R g u 3 / 3 j 9 a J p + j 6 j K b X N m m X q 6 A F B I Y j S 5 u L J 9 p V K Y L B B M N d p h 0 + Q C y 4 R p 0 Y u Y D z L D B w S E a G D g j T g 0 I Q y n A / S N 8 a W t z S 4 h k D j z N B Z 7 z + + / v 0 J d f f p 7 1 / f i O t b V 1 e s d k 7 O h s F y 1 q H m G r A d L + + O M 9 e U a 8 m n g c H a / 8 e d a C + D 5 o B 7 i s M S J 3 K 1 l J 7 b V 2 b n P x / d g c r C V f i 2 N m J + 6 m J 7 M + E X j g H J t r b d X l O T o i 0 T j 9 / i V X U P 4 q c c 0 7 V x / T o v e G 3 M P p x g R 5 w l P S 7 4 X n W l x a o s p A g F 7 N b 1 I 8 x 0 t o Z d j + / f 7 g k b l b X 8 N 5 2 t q G Q G Q 7 I s o h F N r 6 v z q j 2 k 2 4 b n h 4 h M 5 y r V 8 I m N U I v w e N U Q g Q A J n 5 Z 2 N T h m F o o S s E a B W Q E I J a a n T 6 0 6 f P p N 2 G M K V c 4 D k Q x Q 0 X P w S y o a E h y 3 z F / T 1 6 9 F g i H n I J r 9 8 V t j r h 3 a I i Q a R E b V 0 t J V l t I f o B b d b h Y B d 5 f X 6 J b 0 T Q c L m A 6 Q m H D z q O l 1 l D 2 X z 1 N L i g n i n B R P d 5 n E z U O H V U h e V a P M f L + Q / X b X H Q O F I m X z D k E O E w F z 6 S G b n 7 Z o B M 2 g k B o G e / 2 H A J Y J s Z v F f Q K r R C Z 2 e n C O v E + I Q I X z 5 A U J 8 / f y H C + s U X n 5 c 1 1 G N g o J + G B p / n f T 7 8 b m 1 t D V 2 7 d l X a H 0 + f D U o k v A 4 B Q o W A 9 5 b b H w T g s 0 i o B P A c E G A 8 L 8 x a V D T N T U 0 y f K O z s 4 P O n O m l r i Z l / m L u j L A x f 0 Y 5 g L c R 3 R F v 2 M y F 0 6 H a m 5 A K D m X j c L p k e r J 3 q y 5 6 O O 0 V 4 n E J G 5 8 8 G r D 9 + 4 O j o a E 8 d Z d Y W 8 R F O C A k E E 7 A L G D F y A R 0 e O e o y h U R j x 6 E q K a m W o I 1 k S 8 E 1 P q t r a 0 l u c r x + z D B R k Z G y O v x 0 p W r l + W 7 I c z w X K G d h G n H 9 h M V A S / Y 0 2 f P 6 F Y e L Z M P q N 0 H m Y D V 1 Z U s m N z + Y k 1 T X 4 Z J W g i b E R v d N 7 W h M N x 9 v 0 B Z w q u J g Y v A 7 0 e 8 c n + q f B P U 7 N s h 2 8 a I k H l 4 O S j X W B 1 H g l B 2 p 4 f i r j N S 4 + Z q K D N y 9 8 2 I R S P U 6 t + m K 9 0 V Z Q k V + o Z A g n x t k 0 K A o H z z z X f U y K Z X i L U g h m d A a D A h Z j 5 P Y i k A I e H + P n 0 6 / z y A h Q D z E u 8 M 4 7 Y O C h B 8 M z 7 t j l C F 4 e A p F 8 F g S B w u e C / 4 B o Q 7 A S m u M B O J G F 1 u W K Y K N g M n 1 s O s E U s I 2 T h k H A m T z x H o N 0 y W / X f g u t w e c n p r y q 6 h Y Z 6 V + x k I B w b 1 d X Z 1 i L P i y p X L I t D 7 J R O A E B 2 n s / z A X F Q E p Q 7 f K B W N g W x n x N 1 x R E I Y O 2 U C H d h 6 X o r c t 4 z + x q c L t e J x b K 8 s b 7 6 O w w I / j r X / O d 0 B F m p l 4 p l J U y h f C C g s T K 5 S D v C 9 8 Z j y h J U L t I / Q V n g f E p m B C I 6 q q t 0 O i b 2 A 9 t D m x s F O N n m p N Z Y 1 H Q B y D 6 b 2 H 4 W v + 9 T g Q s 8 C 3 j u n U J y P c 7 b K 7 T C k w r r / L N + x a 6 v o E R O q m H Y q B f g U 3 M L l A L / l d K m 5 F f Y D a I a 9 P H 6 l A m O x 9 g N o q M h 7 9 J P l A x w I X / S E K L Y 0 Z B z h t l X Y T s s 7 x c 1 i l C P m l k B s J G I X n z 0 b p M n J q X S b M m t 2 X O O d 4 9 0 P z X k o l r B T v R c C g Y P W T Z Y 2 + Z x u v 2 i n X C I V y h c D n h e T P p Y D f H e + o F J M k D K 1 7 p B w m m n e F g I c F P B U v S + g 6 R Y X l v b 0 N u Y D B B L m 8 k E C p H j 4 8 D F 9 d C Y 7 k P X p j E s m k o E J h 3 s G g T R Q I T 5 9 8 k y O Y d A i H E L o q M Y 4 M 9 0 H V 1 + R u U / c N / 5 J y X E e A x / h p K x 2 4 5 h 1 Y W l C O Q I 9 u 9 p O p R I o F 7 5 9 N J r x W + i D w e 8 D Y Z Y P F K r X l a K O m o R E U y O f D x A q 3 P t + S G D G 1 t Y 2 1 + R D d O 7 C u b x 9 U M W A + 0 a n b j Q S 3 f d 7 y 4 f Z 2 V l u F 1 6 S 6 c N y z W i 0 p 8 L 8 e 5 g u D P N H P H n y V K J J o J X a O 9 q k L V l T X S 3 u / W o 2 i 8 2 k w 2 c V 1 L 0 K q Q x i 7 c Q c 9 H z e T V U F 3 r d V o I x T K y Z u k K K t q s m U D 6 U K C a 7 r d E 3 S I A v m T / f u S 2 d t L n A N C l c E k B M 8 i t h n S o n Z t r R t J y 8 3 h 2 D u m I H 5 6 R a 2 1 A y p q 6 t r 4 p K f m Z 6 R P q O r V y 8 b V + 0 P u A f M L g v h D f j L D 8 N B a A 8 m 0 u w x 5 o A 4 K O C r t C m L i i U X P 7 x Y F 8 K g I x p 9 Y + f O D k j l g i h 6 M 6 p Z S 4 F 0 A E K a g q z d 1 H 0 a W / 2 u m V T Y 2 Y 6 w N Y D f N v a t m G y / f / j 8 4 N 7 0 A a K m / Q I L h J p X D 4 W h B c I s G D q P R y n 2 E M G N R f r 1 e Y c U M j Q H o h Q Q N Y C B f R U V P h H c 8 f F J w l w K T m 5 z x N j M c z j U O C L E + C G k C O a d H t 8 D k q u 2 w L K 4 f Y P c R K n 0 2 q m p O R M h D l P v f b U T l s u B a b Q f l z f c 7 A i 2 v X r t i g T H H h T w 7 I 8 f P 6 G P P r o u 2 g P A a i M L W x n T F 4 c x h U A p W N + O 0 t s V F 6 1 G M q F X + F 5 V t i p m M y k y E K N E P E q n A m F q q 4 r S b L j 0 b o y f E 7 b f P 7 I m o c i P w Y O F Y / b M + b 1 w 5 V S U G g O Z P g x M u g I t t b K y x o L v l I 5 b T F J Z i A B o L E N 0 o J 3 g k Y L W Q M Q 5 B H 1 6 a o Y C N f X U V J 8 / 6 g H 3 j m e A c 6 A c B w U q k h / v P a B b t 2 6 R 1 1 2 + 8 C w t L 9 P a 6 i q 3 U f q N I w c H h D F h c h X M H 4 F I E 7 y 3 m M 1 P L 5 b 8 F E u o l s 9 X T C h E l + 8 F m H l o d + W D l L m 8 P 5 C J S c W E S n H + R t s 2 z c e s 6 U a 3 b B s q H s + 4 y s s h T y 4 Q h G k m E w C N A 4 1 0 6 d J F u n j x o o y D y k c m t J f U Z C M Q k p Q y 5 2 Z m x Z Q B C f G Z + o Y 6 m n g 7 K o 1 w M 3 D v G H 4 B E x M C e P / + A w m y R b g N N C L M S v 1 8 0 J o g O b Q K 8 j i H 3 w o G I 7 S 8 X n 6 E A L 5 3 d G R U B k h + C K B i Q N Q H p g m A N k E l M z f + m r q d Y + R x s D X B 1 8 w X m D Z a A + / 2 5 Y J y Y h S C n N F / s O X f w t B 5 9 E u 5 b P u X i Q 8 J 1 l A v L H d n r p p z r E H y T 6 O s U S r J o F W + 7 N m W N g 4 0 B W L J o C 0 w x u i j j 6 4 V 1 B q w 5 + F w w O c R F b 6 2 t i a N 8 H x R 6 d A G m O c b 0 d 7 6 + x C h g N / E M Q g d n u X F i 5 e i G V 1 O r l 3 5 G P 8 X M x Q E w l K b 4 m b n g 1 i C s 6 u r g y r 8 A f r 6 2 3 v U d 6 a f + n r b W V j l q / c E y H 3 3 x 5 / o 9 q e f i E l 7 0 H j 8 + D F X R p f F R N Z m H 4 B n Q y j R o u O s z E 6 b L y w J x T a 8 6 K L p j e I P g 2 / l U p f y T y a g n Z C U 2 V f l j t D p u h A t J Q / + 2 d 4 X l i R U q u I 8 1 9 R q W L o m k 5 l A p Z I J C O 1 s U k P 4 s R Q k + n L O n R u Q m h t h P G j r 5 L Z P Y L K Y O y 1 R o B h M e P b c W T E L 8 w E z L i F + b 3 5 u n q 5 c v c K a y y X t l + t M W L P m w / M A O o w J J I M Q F o p k x 2 9 j 2 A U 6 i X t 6 u k q O A Q S R l x a X R B s i D u 4 g g Q X i n g 8 9 p 0 8 + + T h v Z Y R x V 1 g U Y D h 0 m r 7 o i 3 A l o N 4 l F n J 7 u e A W 5 0 4 5 Q E x f m l B i + s U o z h r + Z v s W L S f f f 9 b e g 4 b j 7 / / 5 f / 0 L K h m r J E Q c R 1 O 1 W W R 6 H 1 R G R u n c m U 6 q r a 0 W Q i w u s j Z h Q V 1 Z X h X B x / f D w Y B Z d 1 z + J v J 7 M r + H e 8 D K E x h B i 2 j u Q n A 4 7 N K W g A D j u z B Q D p o M 2 s k M C K B Z C J E v F n S L 2 h 9 O E Q x A h G O h 2 D 2 Y g Y r C 4 / W I q Y l Z X s 1 a p F T g v c D V D S 8 h 7 h M L r c X 5 f T z m 7 0 Q o l Z v v B 0 W T + 9 X o U 0 J U h 3 N n n B 5 M e a g y U E F j y w 5 6 x W S C 1 i 8 X W g Y k w V q B x m K S 1 f n i F E l x u 5 Q b a l p 2 r J D K q y 5 + B t g r u k X g 9 U s E 9 B Y w 5 0 s B h p S j g 9 X u 5 A I N h b n G b h f h a G s / J a Y c 1 j C C A O 6 w u e W 2 Z U c U v G A t g 7 4 f P Z o X v y 0 m i J G g 8 T C / B N z l a C u h / Y N A W k z R v J + I 8 l x g j B P u A S N 2 c 9 t o x a D f U T / f C 9 p 8 + w F I i H f T 1 a m W t A E w g Q y C c / F O W H a k s z U f o I H r m P x 9 p y r p 5 b y T V v a I o A B y u y P S y F f c f G 9 D s 2 6 q o Y O N U T w I W I 5 Q s Y T S G u U S p x C c r b d p J j V A 2 5 s b I g T o n Y c J h e 2 t W z d l 5 l M 4 K f x V t W y q q J g 3 / D b M M T S 2 t V a A U N 2 7 9 x O 3 v R 6 y G X a X 7 t 6 9 J y R C u w i a A O b d h Q v n x c T D T D 7 o k H 0 f g L D Q T F i R w 8 9 t K Y z L w r F S A O c G w n q 2 + f 5 X u H 2 n C Y H n Q g U A k 7 A U o F J I p p K 0 Y U S s q 8 i P T G w i Y v r y Y X l 5 h d t / f p o a H 9 m z H B v 9 6 t 7 y D N X K D 4 N 4 e B N 2 + W s t O P 7 + n / 7 3 v 6 i 7 t E a K 2 x p E m A + S V J j q + F Q A C 5 l 1 Z Z l c Z l M I X r y w a J y w t H + C o a A I s J 4 R F c c h V H A X d 3 R 0 i B Z C H 1 G Q 2 w s 2 / k 6 Q S I c Z o X 8 K 5 m W x Y e 1 7 Y X l l R X 4 T 7 b P F x Q X R V q j 5 8 Z v F A A / i c y Y 5 T D 1 M K I N X C A F H B S I d v a 9 e 0 c z U D L X K F G n q X e C 4 z 1 c h J h 4 W A I A G g k a E B s d 3 Y I o z r K + L 7 8 4 d D Z w P e A 8 z M 9 P k T g X J U 9 2 W X s g b c N l T d K o q S a 3 G q v T o G J 9 a L / x 9 L A W G L C h z D 3 m Y f C m M l / J H K e q A y Z w t Q 4 e Z b P / x + O X B S O 0 B w O l v o 5 2 I X w o O w q w J l b s t H y m q 4 r b R r S 5 l 0 k H z o L Z F u 0 d 3 e g q R X r 6 m U 6 d a x B O I a y J c m 2 + z Y G E s F Z w k g Y B f h r h r 4 D 5 / + u k + n T t 3 T m p 9 D D + H B n j F Q g u X / F 6 C V w j 4 X o T s w D 2 P Q Y L w R o J M S I U 6 a f G Z a D R G b 9 6 8 E Y 9 h U 3 O z F H G C 3 + O d H + 6 I N r 7 H G v W z z 2 5 L O 2 9 k Z I z v z y F m 6 6 V L l + j O n R 9 F E 1 6 + f F F G + 8 L j i N + F F x J A + B M 8 h j B p S w H K C p E p l 6 9 c o t l N p 6 z j i / o L 9 5 S L 3 P F V G W g v H 2 a 4 y j g m 4 J R I x F n L J m P U X h 0 l X + 2 H m X V 3 P 7 D 9 4 Y l 1 C G W v h L v 8 Y D p z 8 w G z o S a D S 1 z 7 7 k g t D K H R X j D U y F h D F l r M j D V u H 1 X 4 K + S e h o d H 6 d q 1 K 8 Y Z h R / v 3 K X z 3 M a Z 4 l o f H k T M R N R 3 u p f b E L X G F e U D L n p E Y 8 O E x D 1 h k O P 1 6 1 f l n n O B i g B d A N A 2 0 E L Q l G b P J S I 5 V E f s W a l E Q F I A B M Q z 4 Z 1 q z a q d J v r d a 2 8 k g P g 9 k K v Y 3 B q 5 w B w b I I J 5 R t 5 8 y E 8 o l D 3 K v B C h o p I u N Q c p H i j + / T 8 n L N W G 4 v c l B f m + x C m E H 1 7 t 0 O b m F p O o U w o Z 3 j i Y V I D d 7 p C + o 1 x g 6 D i 0 A t p G e t J 9 3 B 3 M G N w n B B A a D c 4 P C C i E s L Y M o c s F 2 j 8 g k C Y 2 C I K Y Q G g q m M J m o P 8 K s y Y h 2 P T 2 7 U + Y 0 G d 3 d Q N g Y s w + N v + w Q r 1 5 / g y Q C B 5 G m K X Q p E j a H M b W T C b c E 9 4 B t G 8 5 w M S a a E v C U w o C l w W 8 5 F 1 y k L 0 P i 9 V u s Q 5 e v q W M / X f Y K Z H I k O l D k A o F 3 M V t A g C 1 8 O b G F j 1 8 + E j M H s w d g c j y Q r 8 L c w p D O X A e d 4 u p h Q d n 3 T L E H Y A A g l A 6 e m C / m J 9 b k M l R Q F I N O A d g x q G P B 5 X A / P y 8 k O 7 J 4 2 d y / i x r x k K / C X K c a j s l p h 5 i A 0 d H 3 x h n S g O e F 7 F 7 M B P r u H I p F 5 i z A + 2 + 5 8 9 f S i A s i G V + x w X 7 p f h 5 9 F U s F U Y u G x g R D y 9 i r h w d Z r K M h n L 6 G l j I 1 Y v T L 9 z 8 4 s 3 5 / S K W x O r o q l 0 D E k E Q z 5 z p M z o j d + g c m 0 W F B B M m z z U 2 u 3 A e d w L v F N o n 6 J u B 5 o D g Y p s v h K k Y Q E L 8 N u 4 H Z u f 0 z M w u l z v I D z M Q J p u / w i / a B C s o 3 r z 1 k S y v q U 2 2 Y o B n E + 0 6 d G j j e f G d p Q D P i 6 V A l 5 Z W R C P u B z B V o W W h I e G 5 h L b U E f / r o c I i i J K Q c s c L 1 + V v 3 v A f h I U t L l t n F U T L j N i 1 u w N p 2 / 1 D A l H j M 6 t o D 4 1 Q X 1 + v a B b 0 I 8 H 0 K 9 T J C q F H W 6 b C 8 N r h l h F T h i m v 3 C 6 n 1 L r i Y u b 7 L y f U B 5 + D I 2 S K T a K n T 5 6 K 9 s B c f b n O D M T 1 o Z M Y U 4 l h u R h 4 2 q D B t I l W K k C 8 m z c / E n I i s L V U g L x o O w 4 N v U g T o V y A m L h n m K U X L 1 1 I O z u m i 3 j 4 z M i W i s w e A p c T Y S Z U j j w d V p L + N C u k W M I r Z P r Q h I K Z 8 H S K q L 7 r i m r v c E M e x E J n L 4 i T D 5 j C C 7 W r W X s 1 s I Z K p m z U 0 9 M j h I w w I V d 3 W P h 3 K t g M c c k c 4 B t F a l 9 8 5 + P H T 6 m 1 t Z n O M l G u X b 8 m 4 U W 5 b n G 0 X + B 1 K z R z b b l A W w j T O 8 P p A c 1 Y K q B 5 r / M 9 w m w s u z 1 k A t 4 h n A y o D G C Q Z A 1 7 z w c 5 r y 5 S s q G c F W a G O V K x v D J 1 G I l L P N / h n z 9 B l j 8 0 m T Q 8 P j + N r l T Q m 2 V V O 6 K 2 B G H Q a Z v v H h C i B D P J 7 B R A T d R e w x o 1 0 E W D a y 0 0 5 7 h M b 3 d a a C n e S L O b D h k w 9 3 D K n T V H u B m r a 6 t 0 + n S v a B s A 2 h F m m Z m 0 A G b + A Q n g 4 j 4 o o C L B o E W s K o J o i F K B 6 b 7 g z C m H i L n 4 5 p v v 0 y Z t M X M v A 0 0 g V S 6 Z 0 s n s z 2 3 g e z K y d J i p P J v h A 8 J s 0 v 9 c x M K a R 5 t h v A j i R n + z C L X 5 t 1 G D Q q P F O A U C l e K i B j A h C V y 9 w 4 t O G l 1 2 U 4 W / m o V 0 t + m C b 7 o / k b 9 N N T M 9 y 0 T d e + A f i I R g 0 2 J A h + z k 5 K R s c z 2 B E P 4 Y H 8 P w E L S f v v v u e / r 6 6 + 8 k 4 B c e z / H x 8 Z L b U w A q n s e P n s j 3 l Q s M h f / q q y + M P b W a R 2 E o V 4 Q q D Z N b Q r F L Z Y 0 / V l r 2 x v G 7 f 0 a k x O H C Z n d Q j A o H x H 5 I g s 1 s O E W L + J 0 R 2 t r Y o K q 6 Z v p h 3 E N j y y 4 h 3 D g n F P x S h A l l r x a t N l m i 3 Q 8 k k m w W 1 m E q M i U A G P / z d j 5 I K y E 3 9 X f W 7 t J I u 2 E T r x 4 a 9 v n a e G g P j Y 2 9 k f 4 0 E P 7 V q 2 E + q k a 6 w s m B 0 c l o L + H z 0 M T o f E b n L L x v c M 3 D E S S r v X N b U I Z e c F u x 0 A h h n P / u + x + E p K h A 4 H K H 9 t 7 r G W B e 4 j f Q B t T X o k h f L B R 3 p o g s o F 3 N 9 6 i C Y j k Z E R P i k U U k u h E 1 U V 3 p 5 m c 4 O C 2 + X 9 i + f v b 6 0 O l t d 1 d S M N 4 i t n k + U n 1 I Q m l g i E B w b Z Y C D Z 3 G k Y O D X l 8 p z u T S w D O d a U z I I m Z 7 U Q q O g J c v h + n m T T X s H F p I t / d A G I R D a T c 7 S C R B u 5 E I b a x v i E M B R D L 3 K 5 m B + 0 C o F N z i u G a L f 6 u 1 p V l I B a 8 e 2 j r Y 4 v f Q Q Y y I C + D J t J O 6 K p a k j Q e C a u 8 m T O P 1 9 U 1 x s e O e X g + P 0 O V L m e g S D c w a h X F R h S A y w M R J J O P S 5 p I h H L y V 4 R s y L k q l e A w d v B H q b K + k x o b D X / 7 G 9 o 0 F C E V O J l S i W Q i l P X 1 m E p n z x w V f 9 k X o u z c e + q g j K q O K i w H v B M P u 0 c a C V k B A L m I F M Y 4 Y t f 8 X X 3 4 u T p W D A I Q W E S F r 6 5 g e w C U D H k E M x C u 6 n U 7 y B / x i H v / I W h x T M I P s o y N j 5 G J N h f Y V O s c x B f X E 5 J Q 4 W f J p O 5 T m H 9 h k L l a q E i E h m k h F S W S 2 I F T c I B L y v O V 8 Y 5 2 H u r v 2 H 5 1 y U L C G U 8 J W K J b r + O L J j K q d x 5 b 2 N h + h J d D Z i 6 m 5 E L y K i V f g X s e g R 6 / P K 8 6 C g w K 0 V F 9 f j 4 w q v v H R d T V r E f 8 O P J G t b C 7 C J E Q F N 9 A Y o y g 3 1 6 S P i e 8 H W g r t P W x B O n Q n F D I d H 0 2 5 i 5 I J k D r U V L F y T v 3 l T d Y x y a Z k 7 a l d c n U I y R J O i e Z q f s H G S z o p 2 A p j 5 T 4 2 a V Z f S w M f C Q 4 C R C V M T E z I / B P 6 O N p J 0 N 6 Y x 0 K G R r C W g u k H M w 1 j p c r t T N 4 L K A t 0 X 8 P U M 5 u K 0 I 7 Q W n D 5 Y 6 3 c 8 T V V K e B e 4 I n E F A E 4 j 3 C j n t 5 e O Z c L D D L c y 7 s n s s B J y Y T K 5 + 6 r a / B f 5 S P h / b v y D x K W 6 N h N 2 A / G X D l q g E u 8 r l 7 N O Q H z Z m Z 6 T m Z S r a m p p X f v J u Q Y z k F A 7 z 9 4 J G O w o K l 0 Z A S c D T A D D x o g h 6 / C T 5 v B J K 0 F 7 T I 7 L m b L B W D + Y V V 5 o J + 1 V D 4 U W s F + Z s M h p u K e M A i j y a I S j u M U j s p F k p c T n M I R v h e T T B 1 W s o S G 0 m 5 P e U E n C P F Y h N t P U R n r h N A e z K A E E w r t I z X 0 / Q 2 9 f j 0 i f V W f f 3 a b / u i P f i M x f f J Z t C O 4 D a H J d V B A G 2 p 0 7 B 0 F U 3 6 q r f L J M j X r r E 3 h 3 d w O p 1 h j r q a j H A o B l U B u U b 5 b c d K r P b x 6 G v i o 0 E Y y y O k j / A / 7 R p J j c p n e P 3 x w X X L 4 / w J u F b l 9 0 o A 5 5 j C s H A G 1 b W 2 t 6 a E k E E i 4 t L E k D q Y 4 2 + K 2 E 9 p R I I 8 O S w K h P G z q l R t + t B f Q R n L w b 9 y 4 0 M H t K D b l n C k u n x R V e p P 0 c G R N i A 7 T r x h w / x B z D W i 5 N 0 y o U q C J A q Y I c d R B / q + c V c j r J O f l O H Z h p h 7 + P 0 t o q M 3 S J h k 9 0 q g 0 T f 6 i U V 3 l l y H 4 8 J p h M T Z z z Q + i w G O 2 u b H J m m t 3 4 x 6 E w o Q 2 B w k I J d p x n e 2 t a a I m k q r d s x a 0 0 f b C S N 5 p 1 H I B U 1 a E n 4 H N 4 5 k S 2 3 j G Z x S f 5 I 9 s V V L n 0 / + M f b l c z q v 8 Y c M S b S i P / W C X W 7 E i t i J 4 2 G w U W m h A A 9 o I U Q 7 o V 8 o F O l c R t X C Q G g r m H j p 6 z Y 6 I O + 8 8 E k q 1 s G m j Y M w p s 8 P u B S g o f c 9 3 J 0 p b j E 1 I o X L y L 5 0 z a a Y 0 c e T a n H 1 s T T J 1 W M k S G q q t B n d z s o B p i q + 3 F a 9 I q q t r Z E g + Q o T M Q O f p M L e t y h k 9 W w o w H M X F J F Y e x w l 6 M T J J 8 1 N j t D o 7 S i u z w z I l 9 L m G v a P N Y f K B U G h 3 l T N 1 W C 5 B c v P 5 k y Z c 6 e F T H x K W I F Q F t 6 H E 7 D 5 B Q J S 1 O X L C D B E Q B t 6 J H h a i g c g E e P d u c v v q o D p z N a D 1 E D k / M z P H v 5 m g l s Y a 8 l Y 1 k r e 6 m f x 1 7 X S 2 v 0 t i A P c a T w X P 4 9 z c P L 1 d K T M U K A 9 R F F n M x D H y / P u 5 1 1 o B l n B K A G e b s o M 6 T w J + y g m c R b s I N f u z p 4 M y B g r 9 T 5 i r Q j s B Y P 5 h p K 5 5 k T I M E T k I U c J v P 3 v y j D 7 7 / L Z E w W M + i G 2 q p Y p A D V X 4 q + h s W w X 1 d 9 b J x C 3 z 8 4 v 0 / P m L v K Y o g D b U m h + r 1 R s H y k G a J B m i 6 H / Q Q v o c / 8 n a I p l l 6 r D + W U J D 8 V u h 9 p o E 1 f v K m 7 P g q C M U s 6 W j 3 Q G s C o i w I o T 5 q J m J R i k U D K b n B o x G I t L B a x 7 R G 5 a F D N 4 f C C E K s M b D 1 G G Y / h m r 1 s O 7 d 7 s 7 I p 6 + l i o V O 4 g A X U x G A y 8 k o s 7 n 5 q D N M t o K 0 f n o a / L 4 o D 3 L v z M z Y Z D M + z o v C f + E Y D r x N R a A J Z w S Q X T K M S 6 f i l F H b f 5 B f s c V 9 y c 9 M h w E g J M B g o y p v B C Z / f H H t + j j T 2 6 l n Q Q Q G n g D N S B D z Z U H 8 7 4 w h R i G 2 O P 7 Q R h E l i M a w s + k 6 u Q y q f J m B B Z t J J h 1 t z 6 + K d E U C I n S w D g w V B R l I 0 2 S 7 C T H O c F Z o o 4 Z W s o w + f R x j 9 u 5 S 6 4 O I 1 l C Q y 1 s R K S Q Y C o g R u y k 4 f 6 k m + Z X Q j K e a W x 0 T A R E Q / X p K D K h j W O e 3 3 x f J l U B Y B q y C P m Z 1 I 0 0 y 2 0 o D O / Q 6 D I W m s s F + s V w P b S a n m + i 1 M 5 b Q I h h 0 j C Z l N l H p 7 8 i j 5 G E Q P q 8 P p Y k d 6 l L k 3 x g M K F M 9 D q k F I s p U 0 + 7 g N 1 k n U k 3 f i 7 c G 7 d R W / c A 3 f 7 0 t r R N M L Y J b m w 4 I W C O I S g W w y w K B Z y + L / D u k + 4 a m p y c o N 6 + n i y z s h j Q d 4 b F 5 7 A g 9 e p m m A X c O F E q l B J K m 3 B q B 3 m d N H l M + 5 p U J s e E G x o q j 2 z 9 3 M k S c 0 p g z I s Z X / a r Q X k n C Y H K G h r e b K G F 1 W 1 p S 3 3 z z X d 0 5 8 4 9 m c R l Y m K K h Y Z k 3 B P i 7 D 4 U Q q E I 3 0 e V a J 1 y g G E b m D H q z l j 5 Z c Z 0 y C G Q T o o w n J G 8 3 u p z a R P Q 0 F 6 1 N f 6 8 s v V z J 0 u Y f H F + O Z g V V J s w W A 6 l o z b T 0 D 1 J u P s G 8 y n Z 6 F P W V J h p C H M / I C w J I 2 0 P s h M 3 H / x N f b Q W 2 d + a S 5 g i o K p 6 f 9 q T a S G k 4 D + y 3 U U s v W U 5 g Q M k y w S U 4 0 n y H u A Q l v e B J Z w S 2 + E o 6 i m 8 W X m p m G v B Z c 8 0 t n U 7 4 i T A 7 u R n d 7 t Z c N S A O p h / E C g E 0 G J I B 2 L t 0 J b 6 E M C i 3 L N q A Z K y g U k / V Y G W A 2 g n F L l B H k P r y D D 3 N F k U m U C k z P H M M X 1 d X U N V l k w d V r K E h g J h 8 J L s D q z A H h P X 8 E m F 1 + u n u K 9 N 2 k t Y s w r z r 2 N Y O 6 a B R n 5 r e 0 u m N v 4 Q a A g 4 y R F e l L I o F z 3 1 X G 4 l O B w V G X Q y 9 k X r K J J I E q K o a 9 Q c E v p 6 8 z F 1 j d Z Y c G h Z A X w X e W j 2 M y d + L 0 I q 7 e n D g D k M e T 6 J c L F 2 j v l 7 Z W G z t v Y 2 m R M C c / J h G V P 0 / b R z f n l p R R w W G h A q d P i i 7 Q W y g Y D 7 q Z R a G / y 0 v J W g o X f l q y m 4 1 Z 2 m p V T 3 h r C J / 2 v y a A 1 k E C d N M L 1 V x E k n 0 z 6 + S 1 k x h 5 8 s 4 Z R A U i 9 R D a i D h 8 u J o Q r W q H R + d m A C z Y m 1 / G 5 g V D Y Y 0 o E o C r w z E A u a C 5 7 A g b P 9 Y i Z O T U 7 J 8 j P l A m 2 0 P / m k g y Y n J u S 7 C 6 1 Q W A j x A n M Q 7 g Z I g j I H M c z E U T K Q d Y z 3 d 7 W b j G N 6 x i O P x 5 V X p g 4 j W W Y q 5 t n 1 H Z k n f H D e r + b H 4 x e 2 5 6 y i x x h v V / I L M y q c r u 5 O m S 7 s + + / u 0 J 0 7 d 2 l o a E j N f h s I y K y w H Z 0 d M r l K O U A / E k g Z C Q V p d Y t J u R S S x d A Q b c 5 F s S c w z G N v Z A p 0 N 5 l A F J h z m W P m N h K O K x I h r 7 Z C L M 5 X V n p 3 y d N h J c v o g I W t i L y k G 5 0 x E R r E r a m 7 V F A q / e S A Z U v m 8 M s H V D h Y T e P z L z 6 l z z / / V D y C m F J a A + d X j X k o S g G E 9 / 9 9 9 1 Q W 7 o b Q / 5 f P e + n 1 0 C N K 7 c z Q J 5 1 B 1 l z q u m I o 5 R r + G W M L 0 h g J p p 2 Q Q x P J I I p o H 7 2 v r 8 k Q K T M n X 5 I 1 c / a a X o c J S 7 S h d M I L 1 r A 5 D n b w 3 F H D u e a Y h P 0 U A s w z n X I r G w S 6 4 n i p w + O H h q c o 7 O u S B d 7 Q c Y w 5 9 X 7 z y 8 / A L f r 2 2 + 9 l C R 1 t Y h Y C 7 g A x f 4 W h z q V J p L W M k M h E p n R e X 5 M 5 p 5 0 R a V I Z + 3 4 / A o W z Z e m w k q V a K R A M e V m c R y D o S c b 8 1 v u F 0 o B M c E 6 U g s Y a L 5 2 t y 1 5 s D o R s a W 1 h 7 f e J T B g z P P K W h u e L E Y Y o 4 E 5 Q z A h B y g Z I g Y 2 J O J o Q W Q T i J G Q x t s Y 5 y E S 2 x s J C D e o 4 G 5 t y r 1 a B m N p W S U u b Q e W 9 4 h f p 8 e 6 v g / G 4 A F N t I Z J 8 P 4 D j o r e 3 u + D w i l x g F c C G A o u p w X z E u s L d 3 R 3 0 6 v W o c X Q 3 s L p h a v E h x W O F f 1 O T x u z N S + e F N E a S Y y q v j i s y a W J J Y j k B s X x e d 1 5 Z O q x k K Q 2 1 y S Z / 5 k X z 3 T H M 5 s x J a k f x K y i 4 0 E A p w N z j G O m L O c W H B p 9 L A C v m 0 8 u n t d D W y l 2 T y g y s 7 l h d V U V t 3 f 1 S N r h e J y x A g C E n M A v P D J w j n 3 / 3 K v V 4 F i E I i C I k U Q T S K U 0 i 7 B v b D J n U M b U P M p n O J e J 0 9 p x a k d I q s F Q b K h R L i r c J h Q Y t f p I I l A / F D a z i w A B E k A R r 7 G K V Q 7 j R B 5 8 N y j T L o Z A K v E V 0 O 7 Y Y q o H l U v M B Z Y G F r 9 0 e L 7 1 6 9 p C + + / Y H W a E e 3 4 X p o T G 0 B P 1 j E m f I v 7 U b q o I U s i C B M J w 6 a 7 A 0 K P I 5 5 0 z X a G 2 k z 2 t S p R 0 S f E 1 7 R w v / x m 5 Z O q x k u / P q 3 f u U 2 4 F j o N 4 r U Q G I d t a r g + O l a 5 j z x x 1 Y T O I X f e 8 / J R Q G A c I M h C c Q w 9 e f D 7 2 Q v r 4 u J g I C W 8 N h D B 1 Z F n L A M W G e i R Y O D q y b t V 1 x i T y O G H 1 x o b p g R Y d x U H C z m y F E E H I Y Z A E Z e P / z 7 h B 9 O + a S f j N F F m X G Y Q u S q 3 n M 9 c r v a i v z m B s L B M R j Y U r y / m / / 4 t f G L 1 k D l j L 5 g O 0 Y O u q 8 o q l c e X r e T 5 L W O t + 8 / 9 m g l F C q B A 0 D g U b j H Z N m f v X L X 9 A f / f F / k r 6 r M L e z R k b G Z D o z k M 0 8 4 x G A o e 4 D A w N 0 v j V B T h f a K 4 X f / 8 J W t j i J l u G k N Y z a T 1 G V J 8 F 1 u S I R K k h t x m W I p 7 S S + Z j S V B n S Y d v W V l 5 U / M 8 B S z k l k G a 3 1 A o c K L g z D U q g T q L p h 6 H n j Y G S e k t 3 A W 0 b L K w G z Y I l a B B U 6 8 4 Z 9 g F y Q R N B S 1 2 6 e I E m J 6 Y p G o l l e c z w P f F Y X J Y p x Q K K 8 a 1 5 0 V i F U O M z W x I g h m H O I S / 7 i K R P 0 p V W N j l x P M 9 5 R Z 5 M k v M g E C d U D o p M r N V S C b p x 6 2 K W 7 F g h W U 5 D A S h I v E y / A x 6 j k 2 P i a a A / p 1 g f 1 F 7 A u 8 O U z h h C f / P m D V n T C U 6 F Q k A b a + D s G d Z c X 7 J Q s F Q w 8 B 1 w Y G w a A x z 9 P r d M 2 g I n R y E s b i t x U u 0 i a B 6 t g X i f t y D T J 5 1 K W 8 b j i k Q Z 0 m T y a m t o J E k 4 p r W W O s Y 7 M s r Y a u A 7 w g u 0 V l p h W x y 1 k c e J 9 w b B y h a u 4 6 6 x / H t M g L k X I L z Q N H h P O h U D z D y M v I U j A w 6 L W W 5 z Q b t h y A h W j Y f Z N z r 8 m n 5 1 0 U d r q 2 s F t R T C j x S B W O h F 6 4 B I 2 L L w U 4 J N 2 A g L n E E Y T S Z s j b w k 1 j z 6 X D p J e 4 o 1 F L 7 X a F v 1 9 y M 6 I l t u r J A s q a G 2 o y k x C f A y f U 5 4 g 3 a T 6 j g D q x q + D / D e 4 N 0 r F 4 i G w F T M A X 9 A N B v m l Y B z 6 P b t T y g S i Q j x m C K 7 2 l k A i m h m 3 c G / r b S S a B 2 D G G g z X W 8 P U 4 2 X y S D H U v T T u E v O i 9 Z h J u K 6 T N s p o 5 X S b S a d h 7 n H + b P n + 4 x f t h Y s E x y b m + K G 2 d f k Z 0 L h Z Q u p M j j O W q r a 1 B b Z D 3 L f 1 V 5 A B z C m L H v 2 b J B C S T + 9 W n D T d 2 9 9 t L S j 6 l u c b 2 l p E c 8 g 2 l 2 5 7 x 6 / 9 8 N b l 5 S X m U x I v + g N 0 d V T / D k 7 S K G I E 4 w m K R x T e U V A E I n P G w T U x z W B c v M I h n V Z Z J a j 3 G S Z 4 R u 5 a S E G l 2 q S W v x s c / P L P C k K C j F 8 e k 3 e / Q I C W S q n Y F q j j w r T l 0 E r d T R 5 q T o x T u 7 F b 8 k R W R G C Y B 4 L T L y J + S 0 w y a Y Z O P 9 8 z k m h K A J 6 + X f l t x U p 2 q p U X 5 N y J m T I I t o J 1 4 E o p u N a O 8 n x 9 G d 0 H k m Z e 1 e v n c 8 r M 1 Z I l m x D I S V S q h 0 l / R H G y 8 y t e Y + j l s L S L x A k O G b w / P s B C L C 1 u Z U 1 X 1 4 + j M + u 0 b 9 / + 1 i W / E Q b C o u p Y Y I W L O p 2 / f p V W U k R 9 w E T D 9 d g C j M d c J t g s 2 1 w 1 k m / H / H Q 3 I a 6 Z z O Z m F 7 U W x e V P E w 8 l T j P l a S + J v 0 Z I 6 / I p A l o E A j 7 Q i p F J p C t p R V r Z O 2 W G S s k 2 9 3 h C c v W / R 5 7 k u q d c X o y 4 6 V w 0 k N 2 h 1 O G y Q N 6 y H M u y Y 4 y I D y u r d f k i S 5 Q I O C X I S z Q H K g 4 1 G N m n l V H Y W P B A M T b 5 Q a I 7 u w E 6 e n T Z 7 J w N A i G q A k Q Q 6 8 W v 7 K 2 I d M 8 X 7 5 0 j h w 5 n 9 V 4 8 v g p n b + g Z l o y v + e F L Q c N z T G x + J g m B 8 6 b 8 1 5 H n G 5 w u 0 k R J U O Y h 5 N O 2 g p z P l c D M V l A H L W 6 u + 7 M N V Z 6 R 4 p G O B + l 8 + e 6 6 f K 1 c 8 a d W A + W J h R Q m 9 i g U C p A r 5 Z 8 i l B 2 h 5 A J 0 x V r D X W c S N U a i N D Z l o Q I e Z S 1 Q y i Y H W w K V z G e G 5 4 2 J E z K v 7 2 1 T b 4 K n x D L 7 X b R G p M F n b n V 1 Z W s U Z x 8 X U K 8 c 1 g I o L m l m c n l o J r a W u r t 6 d 5 F R D P Q h 4 V F q 3 G N f s f Q o I + m 1 Z r I W i P p f N q z x 3 m H L U 6 f d B m E M p w O I M + 3 Y 0 7 J p w w t p L S P S j X e C C 1 u Y g Y s T S r 0 g y E p M i E y 4 m / + 9 s / k P q w K 2 9 0 R a x P K R z G a W r T R R i S j o U A q J J Y s o / Y + P o Q C f t N f X r g R t B V q d D g P E F b U J M u G 2 o R 8 c C Q g O g L D 5 m e m Z / j 9 2 a m 5 u U X O F Q M m 2 M S C A d C Q A N 7 x 0 K y L F r Y V u R S Z t F Z S W 0 l i 2 i X I a U v Q x y B U m k x J e j z l o M 2 Q s W 8 Q C l v M y w g C S R 6 a y a y d J M x I E a q j v Z E + / + q W 3 I 9 V Y Y n V N 4 r 9 C 5 O b w j G j b 0 M a p U Z B c F I m k J 6 g 4 / j g 7 n h 5 U e Z Y J F o v F 1 p X X 0 u n T / f J C h o I J 0 L b B 3 O m 4 x 1 h f N P o y J g I 7 F 5 A 2 w m a T J E m J V o J o U U 6 u s H s k V N E U g n l g q 2 Y e y Y y Y X q D N J m M 8 t N J O S d M i e 9 P T E B J s f T + F 1 9 9 b J I M a / 4 r X k 1 Z B J 2 N q I V N Z M r a o k C P l 4 b a i d p p c r X w c I p C w L s o t v 4 t C H f t + l V 6 + P C R a K B C w P t E B 6 / u b 3 o 1 7 6 T V H Z s i k U E k I Z a Z S C a C N V f G W L Q y + z D r H k w o U 0 + R x n S O y z D j B U S Z Z m s q T a y e H q U p r Y 4 j Q a i U 2 0 3 2 l H q 5 k s y k 4 o J A w R 4 v H U U 0 s s w C W G Y 9 g b b S X i u 0 Y 9 W M a 9 e u 0 e t X w x J S l A v U T Z h I E 4 4 A D I c H u T r 0 U A t D O + U j k u Q 5 + Z w J 6 k t 7 9 x S Z d s J M 0 G j m O m g k 5 R o 3 l a U k l K 8 m E + / D 7 O N 8 i i v T z 7 6 8 a d y h t X E k C A W c 7 V S 9 8 O m X b + R V 4 a B g j 5 e W A r C k Z j n A O y l l H g m f z 0 v t H e 3 i C c w N I w J Z M F k L F t L W 5 l 4 8 o c 0 8 v H d F D K 2 t d J t J k + V y a 8 a z J 6 R g s + / J N M p O E U m V m 3 F O 7 x s J x + J C J h B L k Q k k O 3 8 h u + / L y r B c t H m h l H K 5 p a E r D V j j p Y u b l Q t B F R z 6 q f Y X n W 1 V T K w 5 S 1 p r C U K P Q F Z 4 B I t 5 7 c x A u y o Y 3 E l P j o k + K z g 1 M G E m Q o 5 A T H w v i O B 1 K k 0 i 2 k V I l E n p 4 9 j q i A e j X L B d 2 U l R D I G w c p y v B 5 l g v m M f b S w p O y Q u T 3 F M q K T z N v 6 9 G 7 c u 5 Z U J K y Z + + / z 3 i K T + v g C l j B e u C y G t r d K F e L x I 9 e M 7 z 5 5 B I p j P 4 e 2 b d 1 R T W y N R 5 q X B R p s b W 0 y e D q r w V 0 i b C f O m Y 8 Y j u N 9 F + D n h n T I b 0 v v y r m U f 7 9 9 4 9 8 Z 5 I R s n q e S k P J L 0 f N a R I R O O 6 b a w f J b z c h 0 n E E h X l p y H M w L p T / / 8 N 3 K v R y U d G Z M P Q A 3 g d X G t m T Y H U D D Y m g r J y G t z B Y n / G N 9 w 9 I A 7 3 2 t G V g i k P 6 A i H U r R U N B G L 5 6 / o L P n z o p p h 6 E d c K u j M x m / l 4 5 q M N L T a a c Q J V s z c T I d w z 4 i y h V B e J / T q 3 l 4 B d U x l E m 6 z I x j U g H y s b T F A V K B T N x 2 Q v s p U O G l u v r d c 1 R Y G U e K U M C Z v i q W M h S E I p U y A Y 3 C 0 a a E s R U i g V T G Z 4 8 q 9 q o P 8 O z F J l k x A 2 R a X 1 + n y 1 c u S a e v e k U g E G L 2 v D Q / t 8 B 5 g z C S U r S 8 z d d w H q R S x 5 S Z l 7 l G m X r h a J I 2 g i n a D C F Y 1 k l L / D l V H o a Z p 8 l k E A l b t O H S h J K k N B O + 7 y / + 6 k + N u z 4 6 s G y 0 e b H U 1 6 N M P 6 n J p G B A I K P A O K V r P h S 0 S O P R p t R 6 C A 9 e G B B Y D N g r B l y D y V j e j L 2 h 9 v Z 2 e S + K T C A K 8 v x 5 / h n 0 P e F a t H s G 2 V z 7 w w i i y E G E D H n 0 F k K f I R a O J 1 i b O S T p 8 8 o B k U s m L i P O p 8 v P 2 A q Z J B + j r 3 7 z K d k Q u m 2 U + V F J R 6 o N p Z O / w k 2 V f r b N U Q h p e x t b l c y k U o V o C I A I z t E j 1 + u l 4 p 4 7 P P P k 5 G S W x w 4 R E n A y I B 4 Q A o / 2 E c K S L l + 5 L O 9 A m X U Q c k W I a D R G G + s b Y v o 9 n H T Q N 2 M u W t h k I q a 1 k v E O e Z u r n c z f k z H x e F / K I R + Z d L m p 8 5 K Y S D r V 1 9 d Q d 0 8 H P 0 X + 8 r d y s u z w j b 3 S 6 d 4 a 3 q K A U A i o 5 V B w R u E Y h a g L z K y 9 t A B I j S y a y / o E Y z k t C h C k v / + 0 T L I C g E h j r I k w K B C R E X q 6 L w w W h N B L Z S P v Q Z E A + y 9 e v G D S L T K B i N Z 2 u O I R c n D i c 4 p A + v 2 p v C Y O N E 3 u u 9 V J v X v j n J E y Z E J S Z Z c m U w z z 2 q f o z 3 / 7 x 7 v K + 8 i k + 2 P T R 6 / K N o B a 9 t H g A h e C k 8 0 D B z m 4 H a H j / L C P B r r K 6 z n A V W C p T n x C b Q 1 I z r R v J f y 6 P 6 z u L w 9 g y q F i w L N g A O D U 5 D T 1 n + 0 n F 7 8 P r Z G 1 d s 5 N 6 L 9 b X 1 u T 4 e 4 7 w R 0 K x Z 2 0 b D 8 t 7 y 1 t D o J E y P P 7 V s d U H m T J n F P k 1 I S T c 0 I y t Z + p 5 A w y C a k M I n F C z F 4 y E a X / 9 t / / U j T p U Y X t / p u j S y g g F I r R 0 M t l R S C H K y t 4 N p d M s s 0 i l t 6 C X E p c z Q S z E r B c Z 3 + j M u k g 5 G Z M T k 5 R V V W l x N + h / w j R E I A m j c 6 j A p J j + I e t s Q + h R 3 Q E Y g L v T V U J y c x k y i a W s Q V h z M T i f J p Q o p n U N W n N B T K B P E I q 1 W Z C N E a a T P E o / e c / + x W 1 t W P i y q O L I + f l y 4 X P 5 6 K A z y 4 F p G u 7 b N M P W 1 W o s t U F n J O U 4 C h B 4 j / G t 1 s H k 2 s q F A l z b U D 4 1 b 2 q h E 5 d x P A h V A h m H Y 6 l h Z s T 3 N g Z M 4 8 T 7 2 M + v v Q + P z P 6 n i Y 3 K u T 7 0 8 4 G + Y z x P U Y + 3 U b S x 3 V e v 1 u 8 c x y T d 4 9 z K i / k k b L Q Z F L l h e E Z 2 F Z V B Y 4 8 m Q D W U D N H W k N p P H g 0 x c L A 2 s a u h n h g b m 9 l 9 i E p z Z T R V B h T Z W g o 8 S S h M Y k t 7 + O f 5 N X 3 Y h / n N S S X + f P z Q U i S o M D a j + T 3 e 6 U D t 7 I y Q C s r q 0 K w K 1 c u G 5 c x y Y z r z a T T C U M y p q a m h I C V r N V q q m v k O I a l h 2 K Z 6 4 Q 8 W j M Z m k h r I a W p 1 F b n F X F A I J V X H j 6 u x H g r b V w h k 5 G E T B i W A T J F y e t x 0 d / 9 w 1 / K / R 9 1 2 B 4 c E 0 I B 9 + 5 P U B I 9 A W l S 6 b a U J h V v h U R G 0 q S S b X a e / x i 8 y W w 1 i d R f h j o h 2 X z I O p P 9 o R L B R a P + p / M O e 5 K + 7 I 0 Q F v e G p o G Q Y 9 V 8 n N R k U E l 9 x n w M 0 y 3 D L E Q 0 x O z s H G u 0 O t F M P 7 x 1 q 3 i 9 9 L U G W T i f 1 X Y y E U k T T h E s m 0 z p B E I J i Z A 3 i G S 0 m z S Z n A 4 b / e 5 / / p W U z 3 H A s S I U l z / d e z D O h Q 7 C K C K J p p J 2 F W s m m 2 p T i b b S x A J h 9 F a S y k P w 9 T E B 8 i C D 3 j X l d S a 9 q 6 E P 6 D e 8 6 w I G n y t c A M Y Z u Q Z / 5 C 9 d P R W h u g o I t D q f I Y L s m f Y z x 7 E N h U P 0 Z u w t V V T 4 q K 3 t l L y T R 1 M Y k q 4 G a Q p p s B W y Z P Z 3 a a U 0 k c w E M v J C L L V V J r f e g l D K 7 E O b C X n M R v u 7 / / H X M u j x u M D 2 4 O 3 x I R S A h v e d u 2 / 5 y Z h E x p B 5 7 a h Q J A N h M u Z f f k 2 l E v / J 5 J k N s p G t w Q y c U z n J a 5 i O F g S L q 5 E z Y J B B Q + 2 q f b n W O A U B x 6 x I X / S G j d M Q f C R 9 n d 4 3 H T f t Q 9 g B O B e e T r t o M 2 w 6 b 5 B F X a e 2 s i 9 k M c 4 h b z q m y a S 0 l N 5 X Z p 5 E R 4 h W M h I I Z S S s S Q X N 5 H S V P + 7 L y m B C z R p F d X w Q C k W 5 T T X O T 6 e I p I i F B A I Z p D I R S m k r R Z S 0 h p I 8 q K G 2 s o 8 v R 1 6 O y U 5 6 K + C N c V U O M u c F L K i 5 U E c g / Z J h Q J i N b D q v z v M e d d X G q a c O 4 5 T 0 e Z 3 U e e S x k z m u E o i 0 s m 2 T q b / U e R D F v C 2 P T C q v N J I m l 7 S Z 0 N 8 k m g n k g m Y y z D z e 2 v n + f v u X f 0 o N j X W 4 + W M F 2 8 N j S C g g G o 3 T j / f G + A k V o Y R I Q i z D K Z E m U o Z Y i l B I 5 j x Y A p o Y e U A f R x Y s 0 U S R a 4 x s 5 m A J U E X A M m z A y I A T 6 b y R M 7 a Y 0 v g L b k v J F S L 8 c t L I m x M + o v N J G V 4 f j a t 9 n M Q W J J G 8 E E Z d J 9 c L Q Y x 9 O Z d L J k U g M 6 E 0 i Z Q T Q p N J a 6 c o v 3 O i v / n b 3 1 J l V a l R 8 U c L x 5 Z Q Q C y W o B 9 + H O G n B G F y z T + D W A a Z 4 O V L k 0 s T R r a m f Y b a 6 v O S k + N 8 Q G 1 M + b L B Q i w b / V f 9 N x 1 P H 6 D u 2 p j 0 T e G U O g 7 B 1 w m 7 O K o G B + 5 E i S Z W H L Q a 1 G 0 l X K B I o 7 S P / p w m E r a K O I p M u I 4 J Z B B K Y i S F S M X I h L w i k n K R R 8 n B b P p r J h N c 5 M c V t o f v j i + h N L 7 + 5 i U L A 4 s + k w q a S n n / M p o K p N m r T c V / V F 5 Y J H 8 V c X R e j s t / l T d t T J l 0 T r 1 0 0 6 t P Z 0 E D 2 e g / I u R G x j i s 2 l G 9 D T F q C m C U a 4 r J Y q e 5 D Z t M 8 6 W u 1 y R R C Z 8 x 7 6 f J k 9 5 y S h O I i W L a z x B L 9 W e p Y y A O t j D v O B 9 n Q s k x g 0 y G R w / 9 T w h + R W T 7 P / z T 3 8 h 7 P s 5 g Q s 0 Z p X V 8 w b J B 3 3 w z J L P R 2 t L t q o y m E n M w T S a Q C 9 c h b h h b n R T B 5 B i + V L b Y x 3 9 1 X A 4 b 5 7 I h F + m c Q B E j / S c L E G 4 j p / + b 8 v g j f 7 O 3 8 h m 1 l b y c y 9 n P S i C I s d X 7 2 A q Z F H k U c V R e a y O V h 0 Y y t j D r Q C C d B 4 E M U o F M K S Y V J s r 8 3 T / + 9 b E n E 3 A i C A V A W J 4 + f U t L y 9 t M n I z 5 l 9 Z U B q G y 2 l U g j S n x n 0 y e q a G 2 O K z 2 M 7 x J Z x h 8 n Z E r B h Z l I 8 e Q r H G E 7 z u 9 p 4 + b t y C B n F P b 9 D E j q e u Q N H E 4 g S Q 6 n 3 W c S Z E + n y G S E A u m X J p g i j w g U T r 6 R G s m 2 S r N h O t a W 5 v p v / 7 F n 5 w I M g G 2 R y e E U B q D g + 9 o d m 5 d k c b o A F Z a y y B U m k z Y B 2 m Q 1 0 Q y a S 1 8 m Z E X 0 q g D + J O V F 6 g D u 4 i V 9 e J Z k M 1 g s T Y u g L C r r f z V 1 0 H w k X Q e O X 1 M D p q I g g P p v O l 4 m l i a O M Z 5 M 5 F 0 H i S S h H 3 W V N B G a V J p I s H U U 2 0 m / H 5 H x y m J H D 8 5 I P r / y e 5 8 s 2 y 5 H 7 c 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 N a m e = " L a a g   1 "   G u i d = " e c 7 b 5 b 4 1 - e d f e - 4 5 c a - 8 8 5 3 - 3 7 f 1 d 9 3 d 5 c 6 6 "   R e v = " 1 "   R e v G u i d = " 2 b b 6 d c c 0 - f e e 2 - 4 b 9 f - 8 2 c f - f 2 5 7 d c a 6 c f b 7 " 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d = " h t t p : / / w w w . w 3 . o r g / 2 0 0 1 / X M L S c h e m a "   x m l n s : x s i = " h t t p : / / w w w . w 3 . o r g / 2 0 0 1 / X M L S c h e m a - i n s t a n c e "   x m l n s = " h t t p : / / m i c r o s o f t . d a t a . v i s u a l i z a t i o n . C l i e n t . E x c e l / 1 . 0 " > < T o u r s > < T o u r   N a m e = " T o u r   1 "   I d = " { 4 7 2 1 4 7 E D - 5 6 F 0 - 4 C F B - 9 4 2 5 - 4 B 1 6 5 D 9 A D 5 B 6 } "   T o u r I d = " 6 1 5 d e 0 d 6 - 9 7 5 9 - 4 4 0 d - 8 f f 0 - 3 8 9 2 e a 6 1 b a d a "   X m l V e r = " 6 "   M i n X m l V e r = " 3 " > < D e s c r i p t i o n > H i e r   k o m t   e e n   o m s c h r i j v i n g   v a n   d e   t o u r < / D e s c r i p t i o n > < I m a g e > i V B O R w 0 K G g o A A A A N S U h E U g A A A N Q A A A B 1 C A Y A A A A 2 n s 9 T A A A A A X N S R 0 I A r s 4 c 6 Q A A A A R n Q U 1 B A A C x j w v 8 Y Q U A A A A J c E h Z c w A A B K o A A A S q A f V M / I A A A D 7 o S U R B V H h e 5 X 0 H c 1 v J d u Z B B g g w Z z G T E q m c R t K M J r 1 5 Y W 1 v e e 2 t V y 6 X 7 S p 7 / d a 7 L r t q 9 0 f 4 T 9 l b 6 3 1 + E z X S K I t U Y p D E n H N A D n u + 0 7 e B C x A A A Y o a X p K f 1 L x 9 A 4 B 7 b 5 + v z + n T p 7 t t / 3 r n U Y p O K J y + W r J 5 e y g W i 1 M i k a B U K p W V A L 3 N x d V T U a r x R m l 7 e 5 u q q 6 u N o 9 n 4 w 6 i X k g f 0 d m 2 c L p + K 0 b N Z l z p g w u n G G L V X J 8 j G F y W S N n o 8 7 a b t C D 5 B V O l J 0 s d d U c m X D p v c N x 4 9 m Y j S + s Y m e T 1 u W l l Z p e b m J n o 0 X 0 e x p J 1 u d M S o z p + i 6 e l p 2 k g 1 0 O X u A M 1 v B O n F 2 2 n j e 0 4 e b P / 6 4 8 k k l L / p G o V C K Y r H 4 5 R M J k s m E n C m A Q I c p T d v 3 t K Z M 6 e N o 9 k Y X 3 X S 2 L L T 2 N s b E H 8 Q Q h P Q Y W e i 8 O + c q k p I / j + Y n E V u i S 6 3 x q i p M k F v V 5 y 0 E b L T S p A / Z K C r L s 7 3 H D f 2 s j G 3 6 a A W / h x + O x c 2 0 8 H 5 + Q X y e b 2 0 s b l B P l 8 F 7 d g b 6 M 2 q T 6 6 5 2 b z A W z t V 1 9 R S O B S k 6 r p 6 + s O j F x R P J I 1 P n x z Y / u 2 E E c p b W U 8 p d x d F I g k h E 4 g D Q g H F y K S P Q b h / e T p M c 3 P z V F 9 f R 2 6 3 W 4 5 r h G I 2 G p p z 0 W Y 4 I 9 A A P l f l T V L A z S T m n 4 M Q u 5 3 8 n Y k w T U 1 M 0 L m z Z 0 Q 4 n 8 y w J t j J + S z L d W K P U o L o B 7 w p a v I n 6 A 2 T K h e n W I O B V C 7 H H l 9 U A E n + h Y W F R V p Z W q T K y k p q a z t F S Z u b 7 o x 7 + f 5 S 9 F n X N i 0 t L f N 7 j V B X V y d V V P h p 8 N 0 c L a 5 t G N 9 w M n C i C O X y 1 V H K 0 5 0 2 8 c y a C c h H J M B 8 H E R o 9 o f p 9 W y M v j j r l W N b b F 6 9 Y 4 0 E z R C J q 1 o d g n u R t U Y V m 1 w u h x z K i 8 2 t L f w A V V V V y f 6 D S Q 9 t h P O o i z I A x Z L 7 K G 6 + n 0 T K R k 5 7 i g K e l J D W z + S + 1 B q V / T i b i j A T Y w k i T 3 K d P B 4 P O Z 1 O c j g y N 5 9 i U s 3 N z J A v U E m h n W 0 5 9 j r Y y 3 9 t V M 2 V x a 2 u m B D K 5 1 O a C 2 l q Z Z v G p u f l 2 p O A E 0 O o 6 l N X a G v b L l o p t 7 0 E 5 C N T v m N m 1 P p S t B b K C D 8 I 2 s y 8 u N A S F Y 1 U C i 2 m p q a p q a l R B B j m 3 t c w 7 Y x z 7 w M 7 / z i I D C K B 8 K U i G t 6 h 1 u Q Q X b l 8 W Z 4 / F A r R 5 u Y W 7 e z s c D 7 M 2 i k g + d b e y 9 T g T 9 J O M E h 3 p + u E P P j N X / d H 0 m S K R q P k 9 / t Z k z n F B D w J Y E I 9 P o j y s z Q q W 6 / R 9 n a y r P Z S v m N m d N X B h I o Z e + r 6 + / c f 0 s c f 3 z S O 7 I 1 X r 1 7 T 6 d N 9 5 H I p R 8 P I k p O m 1 5 1 M L P x 2 6 S R 4 X 7 R y O 8 3 D 5 i f a f c D F p i C 1 1 G S b n b F Y j N b X 1 6 m x s V H 2 5 + c X q a W l m Y k j u 6 x Z 3 a x Z 7 U K k 3 / S H F c H s r L F Z Y 8 F E X F / f o A d v j r + m 4 j f A f 4 9 x 8 j d n k w n J 4 1 C k A n K J g / 2 9 y D T Q F M s i E w A B c r t 3 e + C K o b W 1 h V 6 + f J X + v f 7 G O H 3 S t k Y 9 n n G q q 0 h K g q C j 5 t 8 L 0 I h e v n Y / b S Q 4 J j S Z g H A s S Y O D g 8 a e A s y / x c U l Y 4 9 N 3 5 Y m b k f O U j g c l v 2 b n V H 6 s i 9 C F a 4 k f T O 0 Q S s r K + I V R G W h N F U F X e 9 u Y p L x w 5 j K 5 7 g l 2 7 / d P b 4 a C p 6 8 n R 3 l f C i l v b Q X k e p Z w K + 1 5 3 d B 4 7 N P n j y j S 5 c v k o u F r 1 R s b + / Q 2 7 d v 6 e L F C + L o C I W C 1 N 3 d L Q J s x o t 5 l w h + P t x i Y Y b D Q 2 N 5 2 0 E T a w 5 x k I S Y 9 y B 7 q c B z V K z f o / a W e n E u w D y e n p 4 R T d P e 3 k Y V F R W 0 x O 0 v m H t J P r e 6 u s o m a 5 P x 6 Q z M v x l k s x B t x J 2 d I J u P m z S 6 E j K 0 8 P G D 7 f 8 c U 0 J V H D C Z f s G 1 b 7 7 a H z X 0 N L e D v N w Q r 6 q q T D s X y s H Q 0 H M 6 d e q U 3 G d j Y 4 N x d D d 2 o j a a 3 X D Q A h M m z G T R 6 K i J s 9 b c 7 R b H M z 1 6 P E g d / d d o k T + z F r R T N J F N L u z l P l V t 8 D E F f E 4 h B b 4 D m h S a B s 4 G D T g x 4 O B Y W l q i u r q 6 X R U A o E m F 7 c b G h l w H 0 w + H n 0 2 u H E h b 0 W p g Q j 0 5 d s / l q T 1 H 4 a i z J D J h H w W c c z g L X / R G x P T K x d T U F N X X 1 0 u t / T 6 A Z p q d n a N L l y 7 s c s M X A h w Y s 6 y x l r f t 0 u G b z y z E s z 1 4 8 I h u 3 b p h H E H H L 4 h p p 5 k N O 5 1 m E 9 P F p i K e f Z G / Z 2 n H Q Y u r O 9 S Q G K N I O E g 3 b n x E I 8 M j F G b t V F 1 d J e 8 S x P d 6 l X d T Y 2 F h g W p r a + X e c 7 W h m V R w Z s D 5 s s q m I P T p 2 I o y F 4 8 T j l 0 b y t d w s S w y q a 1 s 8 u I 6 m 3 j 5 y T Q t Q v K + Z A J 8 P i 8 L a m v J Z A J A I E R H X G 3 L T y Y A 9 5 c j 3 + n + s H P N i k w A r m m u T N L F l h j 9 6 r y b 4 C m P R K L y + d 6 + X g o E A m K G 9 v b 2 i i Z 6 + / a d t I s 0 m p u b x b 2 O 4 4 X f c U o 8 f u P j E 9 T Y 1 E j t b a f o Y g d r Y 9 z f M U r Z r p w j j s q W q x Q K K 9 d 4 q W T a C + a 2 C b 5 z n U 2 X 4 e F h 6 u h o 5 z Z F u 3 H m / Q C B X V 1 d M f Y O F u i A R T u t F C B k C R j o H x B t g n c 0 O z M r 7 S S 8 U w C E 6 u 3 t k X M z M z N y D A C h e n q 6 2 Q R c L P i u s U W 7 D N 4 / 5 B v r q q n B F p J z x w V S u R 2 H 1 N R z l b a 2 d r v G A b 3 V y N 0 v B M T A O b n K g c d q Z G R U + m R 8 X h 8 N D A w Y V x w M c L 8 u V + n a q R z A Z R 0 M l k a o K 2 w 6 w v n h d D p o 4 K N f M W F m y c V a 8 + b N G 7 v a S D D d 2 t r a 6 N 2 7 c X F c A N B o e A 6 4 2 A u 9 c 3 w P w p j w z E j n z 5 + j p i p / 3 j I 9 i o n F J d / h o 5 V c 3 m p a X t 4 d l w c U K t h c w B T S Q C 3 z 6 z N h C S w d H R 2 l G m 4 f 9 P e f E Z P F 4 z l 4 w Y + y A E I Y P w R g R i 4 v r x p 7 x e G w p 2 i g M S Z R H 0 4 m R l t 7 m 5 i i x Q C t B C / e 3 N y c O G h A s G e j q / R 0 x k 3 R H D + J f v f o y I Z G 1 v u N F X Z q r P Z z L r t c j 2 I 6 F i Z f 0 q M i x n W t V y 6 Z 8 C r 0 K Q S Y / v J 0 S E w e x K 7 V 1 z e w o H 2 4 1 4 R 7 W l 9 b F 0 3 y I Q D v X C R S e u O f l R P V + p L 0 e s F F / z H i F d f 7 X s C 9 t 7 S 0 S K V w q r W V 6 n x h W t 6 x 0 7 d v P B T O 7 q 7 L l I G 7 T p w Z A L x / H b U V X J H t / V t W x 5 F 3 S r j r r n A D O R N O p F E K m X T 5 4 Y w 7 u U H X G 2 b p U k t U v g s d k S D V u 3 f v 2 J T c U h d + A O C + E F Q K L 9 q H A I R c V z S l o o Y J h U 5 l 4 M 4 7 j 3 g G 9 w J + B 2 Z g c 0 s z d X d 1 0 M W a K T n + / V s P / / b u s k C w L b R n w v j y i Y l J u t b d m C 7 X o 5 q O t I b y N 1 5 g M y O R J p M 5 m Z G 7 r 6 E P g 1 i f D 3 i k p t Q A m W D K X L 1 6 R f p a 4 M H S b Y W D B B r o / f 2 n x W 3 + I a A E 3 c v m c H n 3 D u + m 9 h 5 + P Z b t J t 8 L e K Y W N u s 6 a 5 X N 9 z 2 T M r c M a n 0 J 6 b N 7 + f K l 7 P s q f K x N n X S h N f / Y s q M C x 9 / 9 4 z / / i 4 l g R y a 5 K + o p H K / O 2 2 4 y o x C Z N L r r 4 n S j Q 2 m l p 0 8 H W d t F J A 9 T C X 0 u 8 F 7 B p I F g 3 r v 3 g E 3 A 2 l 3 9 M O 8 L 1 N T b O 9 v 0 + v U w b b M 2 r G V i S 4 j O A W G H v x v t P w h s O W i r S d D E m v o M 2 l W 9 9 f n H V B V C v T 9 J 1 a z t Z t a d M k 6 r 0 p s k f 0 4 T F O 2 p O a 5 M t j a 3 q a G R z W t + 3 x 5 u 0 G 4 E I 3 n L 3 f L p / / 7 0 r L j E W R A Y z G a r v M h t g 5 g I f 6 F 2 0 1 5 k g g f v q 9 O q f Q H P U 0 N D / S 5 v F o B I B g S C V l V V G / F r E Q l q z X f t + w L t N n j l E I Q K 4 u r f w H P C / e 3 1 e s S 0 K g d o q 3 i 9 v p L N S r w 1 C A e A E c J L 2 y r k q d h A x W L A Q M t J J i Y s P 5 A M f W e v F 1 1 0 v j n j j E G / F x w + e E 6 Y 2 M O L w S M Z n n Q k 2 1 C e h o s U i 2 V M P Y 2 9 C J S L m 5 0 R I 0 e 0 u L i Y l y D 6 O y H g K H B 0 c K J v 5 + G D R 7 S 6 t l b 2 b x Y C Y u V e v n j F p N m S B j 4 0 7 z B r r L G x M Y l 2 e P T o C V c c C R p / N 0 7 P h 1 6 k + 4 l K A Q i I 6 0 v F E J N I f z V c 6 Q g x A i Z Y S w 2 a z p W K 0 0 x C e E w x U B L j s D A 1 w O R K g t 4 s O 9 L P Y G e t B H I h o b N 8 o M m f t + y t n o 5 c G 8 p X 1 U y h Y C p N J n M y I 3 c / F 7 e 7 I z L A D o A w Y / R t P k D 7 5 Z p 4 M A F v 3 r o h I T Q v X 7 3 O i h o o F / j s 6 O i Y t N F O n + m j v r 4 + i Z m r q a m h C x c v U F d X F 1 2 4 c E 7 I j P C e g b M D n P p p e X l Z g n E x p G I v h w N M S n T O 5 m r z X G x H b e K A 6 K l P Z M X 8 N S R H j R x C l B x 0 b 6 I 8 D Q l c a Q l S k 0 e 5 7 / H 7 P r d L K r H V o O r k h S c V Q c J o f 4 F U E 5 O T 1 F E L V / r R g u 3 / 3 j 9 a J p + j 6 j K b X N m m X q 6 A F B I Y j S 5 u L J 9 p V K Y L B B M N d p h 0 + Q C y 4 R p 0 Y u Y D z L D B w S E a G D g j T g 0 I Q y n A / S N 8 a W t z S 4 h k D j z N B Z 7 z + + / v 0 J d f f p 7 1 / f i O t b V 1 e s d k 7 O h s F y 1 q H m G r A d L + + O M 9 e U a 8 m n g c H a / 8 e d a C + D 5 o B 7 i s M S J 3 K 1 l J 7 b V 2 b n P x / d g c r C V f i 2 N m J + 6 m J 7 M + E X j g H J t r b d X l O T o i 0 T j 9 / i V X U P 4 q c c 0 7 V x / T o v e G 3 M P p x g R 5 w l P S 7 4 X n W l x a o s p A g F 7 N b 1 I 8 x 0 t o Z d j + / f 7 g k b l b X 8 N 5 2 t q G Q G Q 7 I s o h F N r 6 v z q j 2 k 2 4 b n h 4 h M 5 y r V 8 I m N U I v w e N U Q g Q A J n 5 Z 2 N T h m F o o S s E a B W Q E I J a a n T 6 0 6 f P p N 2 G M K V c 4 D k Q x Q 0 X P w S y o a E h y 3 z F / T 1 6 9 F g i H n I J r 9 8 V t j r h 3 a I i Q a R E b V 0 t J V l t I f o B b d b h Y B d 5 f X 6 J b 0 T Q c L m A 6 Q m H D z q O l 1 l D 2 X z 1 N L i g n i n B R P d 5 n E z U O H V U h e V a P M f L + Q / X b X H Q O F I m X z D k E O E w F z 6 S G b n 7 Z o B M 2 g k B o G e / 2 H A J Y J s Z v F f Q K r R C Z 2 e n C O v E + I Q I X z 5 A U J 8 / f y H C + s U X n 5 c 1 1 G N g o J + G B p / n f T 7 8 b m 1 t D V 2 7 d l X a H 0 + f D U o k v A 4 B Q o W A 9 5 b b H w T g s 0 i o B P A c E G A 8 L 8 x a V D T N T U 0 y f K O z s 4 P O n O m l r i Z l / m L u j L A x f 0 Y 5 g L c R 3 R F v 2 M y F 0 6 H a m 5 A K D m X j c L p k e r J 3 q y 5 6 O O 0 V 4 n E J G 5 8 8 G r D 9 + 4 O j o a E 8 d Z d Y W 8 R F O C A k E E 7 A L G D F y A R 0 e O e o y h U R j x 6 E q K a m W o I 1 k S 8 E 1 P q t r a 0 l u c r x + z D B R k Z G y O v x 0 p W r l + W 7 I c z w X K G d h G n H 9 h M V A S / Y 0 2 f P 6 F Y e L Z M P q N 0 H m Y D V 1 Z U s m N z + Y k 1 T X 4 Z J W g i b E R v d N 7 W h M N x 9 v 0 B Z w q u J g Y v A 7 0 e 8 c n + q f B P U 7 N s h 2 8 a I k H l 4 O S j X W B 1 H g l B 2 p 4 f i r j N S 4 + Z q K D N y 9 8 2 I R S P U 6 t + m K 9 0 V Z Q k V + o Z A g n x t k 0 K A o H z z z X f U y K Z X i L U g h m d A a D A h Z j 5 P Y i k A I e H + P n 0 6 / z y A h Q D z E u 8 M 4 7 Y O C h B 8 M z 7 t j l C F 4 e A p F 8 F g S B w u e C / 4 B o Q 7 A S m u M B O J G F 1 u W K Y K N g M n 1 s O s E U s I 2 T h k H A m T z x H o N 0 y W / X f g u t w e c n p r y q 6 h Y Z 6 V + x k I B w b 1 d X Z 1 i L P i y p X L I t D 7 J R O A E B 2 n s / z A X F Q E p Q 7 f K B W N g W x n x N 1 x R E I Y O 2 U C H d h 6 X o r c t 4 z + x q c L t e J x b K 8 s b 7 6 O w w I / j r X / O d 0 B F m p l 4 p l J U y h f C C g s T K 5 S D v C 9 8 Z j y h J U L t I / Q V n g f E p m B C I 6 q q t 0 O i b 2 A 9 t D m x s F O N n m p N Z Y 1 H Q B y D 6 b 2 H 4 W v + 9 T g Q s 8 C 3 j u n U J y P c 7 b K 7 T C k w r r / L N + x a 6 v o E R O q m H Y q B f g U 3 M L l A L / l d K m 5 F f Y D a I a 9 P H 6 l A m O x 9 g N o q M h 7 9 J P l A x w I X / S E K L Y 0 Z B z h t l X Y T s s 7 x c 1 i l C P m l k B s J G I X n z 0 b p M n J q X S b M m t 2 X O O d 4 9 0 P z X k o l r B T v R c C g Y P W T Z Y 2 + Z x u v 2 i n X C I V y h c D n h e T P p Y D f H e + o F J M k D K 1 7 p B w m m n e F g I c F P B U v S + g 6 R Y X l v b 0 N u Y D B B L m 8 k E C p H j 4 8 D F 9 d C Y 7 k P X p j E s m k o E J h 3 s G g T R Q I T 5 9 8 k y O Y d A i H E L o q M Y 4 M 9 0 H V 1 + R u U / c N / 5 J y X E e A x / h p K x 2 4 5 h 1 Y W l C O Q I 9 u 9 p O p R I o F 7 5 9 N J r x W + i D w e 8 D Y Z Y P F K r X l a K O m o R E U y O f D x A q 3 P t + S G D G 1 t Y 2 1 + R D d O 7 C u b x 9 U M W A + 0 a n b j Q S 3 f d 7 y 4 f Z 2 V l u F 1 6 S 6 c N y z W i 0 p 8 L 8 e 5 g u D P N H P H n y V K J J o J X a O 9 q k L V l T X S 3 u / W o 2 i 8 2 k w 2 c V 1 L 0 K q Q x i 7 c Q c 9 H z e T V U F 3 r d V o I x T K y Z u k K K t q s m U D 6 U K C a 7 r d E 3 S I A v m T / f u S 2 d t L n A N C l c E k B M 8 i t h n S o n Z t r R t J y 8 3 h 2 D u m I H 5 6 R a 2 1 A y p q 6 t r 4 p K f m Z 6 R P q O r V y 8 b V + 0 P u A f M L g v h D f j L D 8 N B a A 8 m 0 u w x 5 o A 4 K O C r t C m L i i U X P 7 x Y F 8 K g I x p 9 Y + f O D k j l g i h 6 M 6 p Z S 4 F 0 A E K a g q z d 1 H 0 a W / 2 u m V T Y 2 Y 6 w N Y D f N v a t m G y / f / j 8 4 N 7 0 A a K m / Q I L h J p X D 4 W h B c I s G D q P R y n 2 E M G N R f r 1 e Y c U M j Q H o h Q Q N Y C B f R U V P h H c 8 f F J w l w K T m 5 z x N j M c z j U O C L E + C G k C O a d H t 8 D k q u 2 w L K 4 f Y P c R K n 0 2 q m p O R M h D l P v f b U T l s u B a b Q f l z f c 7 A i 2 v X r t i g T H H h T w 7 I 8 f P 6 G P P r o u 2 g P A a i M L W x n T F 4 c x h U A p W N + O 0 t s V F 6 1 G M q F X + F 5 V t i p m M y k y E K N E P E q n A m F q q 4 r S b L j 0 b o y f E 7 b f P 7 I m o c i P w Y O F Y / b M + b 1 w 5 V S U G g O Z P g x M u g I t t b K y x o L v l I 5 b T F J Z i A B o L E N 0 o J 3 g k Y L W Q M Q 5 B H 1 6 a o Y C N f X U V J 8 / 6 g H 3 j m e A c 6 A c B w U q k h / v P a B b t 2 6 R 1 1 2 + 8 C w t L 9 P a 6 i q 3 U f q N I w c H h D F h c h X M H 4 F I E 7 y 3 m M 1 P L 5 b 8 F E u o l s 9 X T C h E l + 8 F m H l o d + W D l L m 8 P 5 C J S c W E S n H + R t s 2 z c e s 6 U a 3 b B s q H s + 4 y s s h T y 4 Q h G k m E w C N A 4 1 0 6 d J F u n j x o o y D y k c m t J f U Z C M Q k p Q y 5 2 Z m x Z Q B C f G Z + o Y 6 m n g 7 K o 1 w M 3 D v G H 4 B E x M C e P / + A w m y R b g N N C L M S v 1 8 0 J o g O b Q K 8 j i H 3 w o G I 7 S 8 X n 6 E A L 5 3 d G R U B k h + C K B i Q N Q H p g m A N k E l M z f + m r q d Y + R x s D X B 1 8 w X m D Z a A + / 2 5 Y J y Y h S C n N F / s O X f w t B 5 9 E u 5 b P u X i Q 8 J 1 l A v L H d n r p p z r E H y T 6 O s U S r J o F W + 7 N m W N g 4 0 B W L J o C 0 w x u i j j 6 4 V 1 B q w 5 + F w w O c R F b 6 2 t i a N 8 H x R 6 d A G m O c b 0 d 7 6 + x C h g N / E M Q g d n u X F i 5 e i G V 1 O r l 3 5 G P 8 X M x Q E w l K b 4 m b n g 1 i C s 6 u r g y r 8 A f r 6 2 3 v U d 6 a f + n r b W V j l q / c E y H 3 3 x 5 / o 9 q e f i E l 7 0 H j 8 + D F X R p f F R N Z m H 4 B n Q y j R o u O s z E 6 b L y w J x T a 8 6 K L p j e I P g 2 / l U p f y T y a g n Z C U 2 V f l j t D p u h A t J Q / + 2 d 4 X l i R U q u I 8 1 9 R q W L o m k 5 l A p Z I J C O 1 s U k P 4 s R Q k + n L O n R u Q m h t h P G j r 5 L Z P Y L K Y O y 1 R o B h M e P b c W T E L 8 w E z L i F + b 3 5 u n q 5 c v c K a y y X t l + t M W L P m w / M A O o w J J I M Q F o p k x 2 9 j 2 A U 6 i X t 6 u k q O A Q S R l x a X R B s i D u 4 g g Q X i n g 8 9 p 0 8 + + T h v Z Y R x V 1 g U Y D h 0 m r 7 o i 3 A l o N 4 l F n J 7 u e A W 5 0 4 5 Q E x f m l B i + s U o z h r + Z v s W L S f f f 9 b e g 4 b j 7 / / 5 f / 0 L K h m r J E Q c R 1 O 1 W W R 6 H 1 R G R u n c m U 6 q r a 0 W Q i w u s j Z h Q V 1 Z X h X B x / f D w Y B Z d 1 z + J v J 7 M r + H e 8 D K E x h B i 2 j u Q n A 4 7 N K W g A D j u z B Q D p o M 2 s k M C K B Z C J E v F n S L 2 h 9 O E Q x A h G O h 2 D 2 Y g Y r C 4 / W I q Y l Z X s 1 a p F T g v c D V D S 8 h 7 h M L r c X 5 f T z m 7 0 Q o l Z v v B 0 W T + 9 X o U 0 J U h 3 N n n B 5 M e a g y U E F j y w 5 6 x W S C 1 i 8 X W g Y k w V q B x m K S 1 f n i F E l x u 5 Q b a l p 2 r J D K q y 5 + B t g r u k X g 9 U s E 9 B Y w 5 0 s B h p S j g 9 X u 5 A I N h b n G b h f h a G s / J a Y c 1 j C C A O 6 w u e W 2 Z U c U v G A t g 7 4 f P Z o X v y 0 m i J G g 8 T C / B N z l a C u h / Y N A W k z R v J + I 8 l x g j B P u A S N 2 c 9 t o x a D f U T / f C 9 p 8 + w F I i H f T 1 a m W t A E w g Q y C c / F O W H a k s z U f o I H r m P x 9 p y r p 5 b y T V v a I o A B y u y P S y F f c f G 9 D s 2 6 q o Y O N U T w I W I 5 Q s Y T S G u U S p x C c r b d p J j V A 2 5 s b I g T o n Y c J h e 2 t W z d l 5 l M 4 K f x V t W y q q J g 3 / D b M M T S 2 t V a A U N 2 7 9 x O 3 v R 6 y G X a X 7 t 6 9 J y R C u w i a A O b d h Q v n x c T D T D 7 o k H 0 f g L D Q T F i R w 8 9 t K Y z L w r F S A O c G w n q 2 + f 5 X u H 2 n C Y H n Q g U A k 7 A U o F J I p p K 0 Y U S s q 8 i P T G w i Y v r y Y X l 5 h d t / f p o a H 9 m z H B v 9 6 t 7 y D N X K D 4 N 4 e B N 2 + W s t O P 7 + n / 7 3 v 6 i 7 t E a K 2 x p E m A + S V J j q + F Q A C 5 l 1 Z Z l c Z l M I X r y w a J y w t H + C o a A I s J 4 R F c c h V H A X d 3 R 0 i B Z C H 1 G Q 2 w s 2 / k 6 Q S I c Z o X 8 K 5 m W x Y e 1 7 Y X l l R X 4 T 7 b P F x Q X R V q j 5 8 Z v F A A / i c y Y 5 T D 1 M K I N X C A F H B S I d v a 9 e 0 c z U D L X K F G n q X e C 4 z 1 c h J h 4 W A I A G g k a E B s d 3 Y I o z r K + L 7 8 4 d D Z w P e A 8 z M 9 P k T g X J U 9 2 W X s g b c N l T d K o q S a 3 G q v T o G J 9 a L / x 9 L A W G L C h z D 3 m Y f C m M l / J H K e q A y Z w t Q 4 e Z b P / x + O X B S O 0 B w O l v o 5 2 I X w o O w q w J l b s t H y m q 4 r b R r S 5 l 0 k H z o L Z F u 0 d 3 e g q R X r 6 m U 6 d a x B O I a y J c m 2 + z Y G E s F Z w k g Y B f h r h r 4 D 5 / + u k + n T t 3 T m p 9 D D + H B n j F Q g u X / F 6 C V w j 4 X o T s w D 2 P Q Y L w R o J M S I U 6 a f G Z a D R G b 9 6 8 E Y 9 h U 3 O z F H G C 3 + O d H + 6 I N r 7 H G v W z z 2 5 L O 2 9 k Z I z v z y F m 6 6 V L l + j O n R 9 F E 1 6 + f F F G + 8 L j i N + F F x J A + B M 8 h j B p S w H K C p E p l 6 9 c o t l N p 6 z j i / o L 9 5 S L 3 P F V G W g v H 2 a 4 y j g m 4 J R I x F n L J m P U X h 0 l X + 2 H m X V 3 P 7 D 9 4 Y l 1 C G W v h L v 8 Y D p z 8 w G z o S a D S 1 z 7 7 k g t D K H R X j D U y F h D F l r M j D V u H 1 X 4 K + S e h o d H 6 d q 1 K 8 Y Z h R / v 3 K X z 3 M a Z 4 l o f H k T M R N R 3 u p f b E L X G F e U D L n p E Y 8 O E x D 1 h k O P 1 6 1 f l n n O B i g B d A N A 2 0 E L Q l G b P J S I 5 V E f s W a l E Q F I A B M Q z 4 Z 1 q z a q d J v r d a 2 8 k g P g 9 k K v Y 3 B q 5 w B w b I I J 5 R t 5 8 y E 8 o l D 3 K v B C h o p I u N Q c p H i j + / T 8 n L N W G 4 v c l B f m + x C m E H 1 7 t 0 O b m F p O o U w o Z 3 j i Y V I D d 7 p C + o 1 x g 6 D i 0 A t p G e t J 9 3 B 3 M G N w n B B A a D c 4 P C C i E s L Y M o c s F 2 j 8 g k C Y 2 C I K Y Q G g q m M J m o P 8 K s y Y h 2 P T 2 7 U + Y 0 G d 3 d Q N g Y s w + N v + w Q r 1 5 / g y Q C B 5 G m K X Q p E j a H M b W T C b c E 9 4 B t G 8 5 w M S a a E v C U w o C l w W 8 5 F 1 y k L 0 P i 9 V u s Q 5 e v q W M / X f Y K Z H I k O l D k A o F 3 M V t A g C 1 8 O b G F j 1 8 + E j M H s w d g c j y Q r 8 L c w p D O X A e d 4 u p h Q d n 3 T L E H Y A A g l A 6 e m C / m J 9 b k M l R Q F I N O A d g x q G P B 5 X A / P y 8 k O 7 J 4 2 d y / i x r x k K / C X K c a j s l p h 5 i A 0 d H 3 x h n S g O e F 7 F 7 M B P r u H I p F 5 i z A + 2 + 5 8 9 f S i A s i G V + x w X 7 p f h 5 9 F U s F U Y u G x g R D y 9 i r h w d Z r K M h n L 6 G l j I 1 Y v T L 9 z 8 4 s 3 5 / S K W x O r o q l 0 D E k E Q z 5 z p M z o j d + g c m 0 W F B B M m z z U 2 u 3 A e d w L v F N o n 6 J u B 5 o D g Y p s v h K k Y Q E L 8 N u 4 H Z u f 0 z M w u l z v I D z M Q J p u / w i / a B C s o 3 r z 1 k S y v q U 2 2 Y o B n E + 0 6 d G j j e f G d p Q D P i 6 V A l 5 Z W R C P u B z B V o W W h I e G 5 h L b U E f / r o c I i i J K Q c s c L 1 + V v 3 v A f h I U t L l t n F U T L j N i 1 u w N p 2 / 1 D A l H j M 6 t o D 4 1 Q X 1 + v a B b 0 I 8 H 0 K 9 T J C q F H W 6 b C 8 N r h l h F T h i m v 3 C 6 n 1 L r i Y u b 7 L y f U B 5 + D I 2 S K T a K n T 5 6 K 9 s B c f b n O D M T 1 o Z M Y U 4 l h u R h 4 2 q D B t I l W K k C 8 m z c / E n I i s L V U g L x o O w 4 N v U g T o V y A m L h n m K U X L 1 1 I O z u m i 3 j 4 z M i W i s w e A p c T Y S Z U j j w d V p L + N C u k W M I r Z P r Q h I K Z 8 H S K q L 7 r i m r v c E M e x E J n L 4 i T D 5 j C C 7 W r W X s 1 s I Z K p m z U 0 9 M j h I w w I V d 3 W P h 3 K t g M c c k c 4 B t F a l 9 8 5 + P H T 6 m 1 t Z n O M l G u X b 8 m 4 U W 5 b n G 0 X + B 1 K z R z b b l A W w j T O 8 P p A c 1 Y K q B 5 r / M 9 w m w s u z 1 k A t 4 h n A y o D G C Q Z A 1 7 z w c 5 r y 5 S s q G c F W a G O V K x v D J 1 G I l L P N / h n z 9 B l j 8 0 m T Q 8 P j + N r l T Q m 2 V V O 6 K 2 B G H Q a Z v v H h C i B D P J 7 B R A T d R e w x o 1 0 E W D a y 0 0 5 7 h M b 3 d a a C n e S L O b D h k w 9 3 D K n T V H u B m r a 6 t 0 + n S v a B s A 2 h F m m Z m 0 A G b + A Q n g 4 j 4 o o C L B o E W s K o J o i F K B 6 b 7 g z C m H i L n 4 5 p v v 0 y Z t M X M v A 0 0 g V S 6 Z 0 s n s z 2 3 g e z K y d J i p P J v h A 8 J s 0 v 9 c x M K a R 5 t h v A j i R n + z C L X 5 t 1 G D Q q P F O A U C l e K i B j A h C V y 9 w 4 t O G l 1 2 U 4 W / m o V 0 t + m C b 7 o / k b 9 N N T M 9 y 0 T d e + A f i I R g 0 2 J A h + z k 5 K R s c z 2 B E P 4 Y H 8 P w E L S f v v v u e / r 6 6 + 8 k 4 B c e z / H x 8 Z L b U w A q n s e P n s j 3 l Q s M h f / q q y + M P b W a R 2 E o V 4 Q q D Z N b Q r F L Z Y 0 / V l r 2 x v G 7 f 0 a k x O H C Z n d Q j A o H x H 5 I g s 1 s O E W L + J 0 R 2 t r Y o K q 6 Z v p h 3 E N j y y 4 h 3 D g n F P x S h A l l r x a t N l m i 3 Q 8 k k m w W 1 m E q M i U A G P / z d j 5 I K y E 3 9 X f W 7 t J I u 2 E T r x 4 a 9 v n a e G g P j Y 2 9 k f 4 0 E P 7 V q 2 E + q k a 6 w s m B 0 c l o L + H z 0 M T o f E b n L L x v c M 3 D E S S r v X N b U I Z e c F u x 0 A h h n P / u + x + E p K h A 4 H K H 9 t 7 r G W B e 4 j f Q B t T X o k h f L B R 3 p o g s o F 3 N 9 6 i C Y j k Z E R P i k U U k u h E 1 U V 3 p 5 m c 4 O C 2 + X 9 i + f v b 6 0 O l t d 1 d S M N 4 i t n k + U n 1 I Q m l g i E B w b Z Y C D Z 3 G k Y O D X l 8 p z u T S w D O d a U z I I m Z 7 U Q q O g J c v h + n m T T X s H F p I t / d A G I R D a T c 7 S C R B u 5 E I b a x v i E M B R D L 3 K 5 m B + 0 C o F N z i u G a L f 6 u 1 p V l I B a 8 e 2 j r Y 4 v f Q Q Y y I C + D J t J O 6 K p a k j Q e C a u 8 m T O P 1 9 U 1 x s e O e X g + P 0 O V L m e g S D c w a h X F R h S A y w M R J J O P S 5 p I h H L y V 4 R s y L k q l e A w d v B H q b K + k x o b D X / 7 G 9 o 0 F C E V O J l S i W Q i l P X 1 m E p n z x w V f 9 k X o u z c e + q g j K q O K i w H v B M P u 0 c a C V k B A L m I F M Y 4 Y t f 8 X X 3 4 u T p W D A I Q W E S F r 6 5 g e w C U D H k E M x C u 6 n U 7 y B / x i H v / I W h x T M I P s o y N j 5 G J N h f Y V O s c x B f X E 5 J Q 4 W f J p O 5 T m H 9 h k L l a q E i E h m k h F S W S 2 I F T c I B L y v O V 8 Y 5 2 H u r v 2 H 5 1 y U L C G U 8 J W K J b r + O L J j K q d x 5 b 2 N h + h J d D Z i 6 m 5 E L y K i V f g X s e g R 6 / P K 8 6 C g w K 0 V F 9 f j 4 w q v v H R d T V r E f 8 O P J G t b C 7 C J E Q F N 9 A Y o y g 3 1 6 S P i e 8 H W g r t P W x B O n Q n F D I d H 0 2 5 i 5 I J k D r U V L F y T v 3 l T d Y x y a Z k 7 a l d c n U I y R J O i e Z q f s H G S z o p 2 A p j 5 T 4 2 a V Z f S w M f C Q 4 C R C V M T E z I / B P 6 O N p J 0 N 6 Y x 0 K G R r C W g u k H M w 1 j p c r t T N 4 L K A t 0 X 8 P U M 5 u K 0 I 7 Q W n D 5 Y 6 3 c 8 T V V K e B e 4 I n E F A E 4 j 3 C j n t 5 e O Z c L D D L c y 7 s n s s B J y Y T K 5 + 6 r a / B f 5 S P h / b v y D x K W 6 N h N 2 A / G X D l q g E u 8 r l 7 N O Q H z Z m Z 6 T m Z S r a m p p X f v J u Q Y z k F A 7 z 9 4 J G O w o K l 0 Z A S c D T A D D x o g h 6 / C T 5 v B J K 0 F 7 T I 7 L m b L B W D + Y V V 5 o J + 1 V D 4 U W s F + Z s M h p u K e M A i j y a I S j u M U j s p F k p c T n M I R v h e T T B 1 W s o S G 0 m 5 P e U E n C P F Y h N t P U R n r h N A e z K A E E w r t I z X 0 / Q 2 9 f j 0 i f V W f f 3 a b / u i P f i M x f f J Z t C O 4 D a H J d V B A G 2 p 0 7 B 0 F U 3 6 q r f L J M j X r r E 3 h 3 d w O p 1 h j r q a j H A o B l U B u U b 5 b c d K r P b x 6 G v i o 0 E Y y y O k j / A / 7 R p J j c p n e P 3 x w X X L 4 / w J u F b l 9 0 o A 5 5 j C s H A G 1 b W 2 t 6 a E k E E i 4 t L E k D q Y 4 2 + K 2 E 9 p R I I 8 O S w K h P G z q l R t + t B f Q R n L w b 9 y 4 0 M H t K D b l n C k u n x R V e p P 0 c G R N i A 7 T r x h w / x B z D W i 5 N 0 y o U q C J A q Y I c d R B / q + c V c j r J O f l O H Z h p h 7 + P 0 t o q M 3 S J h k 9 0 q g 0 T f 6 i U V 3 l l y H 4 8 J p h M T Z z z Q + i w G O 2 u b H J m m t 3 4 x 6 E w o Q 2 B w k I J d p x n e 2 t a a I m k q r d s x a 0 0 f b C S N 5 p 1 H I B U 1 a E n 4 H N 4 5 k S 2 3 j G Z x S f 5 I 9 s V V L n 0 / + M f b l c z q v 8 Y c M S b S i P / W C X W 7 E i t i J 4 2 G w U W m h A A 9 o I U Q 7 o V 8 o F O l c R t X C Q G g r m H j p 6 z Y 6 I O + 8 8 E k q 1 s G m j Y M w p s 8 P u B S g o f c 9 3 J 0 p b j E 1 I o X L y L 5 0 z a a Y 0 c e T a n H 1 s T T J 1 W M k S G q q t B n d z s o B p i q + 3 F a 9 I q q t r Z E g + Q o T M Q O f p M L e t y h k 9 W w o w H M X F J F Y e x w l 6 M T J J 8 1 N j t D o 7 S i u z w z I l 9 L m G v a P N Y f K B U G h 3 l T N 1 W C 5 B c v P 5 k y Z c 6 e F T H x K W I F Q F t 6 H E 7 D 5 B Q J S 1 O X L C D B E Q B t 6 J H h a i g c g E e P d u c v v q o D p z N a D 1 E D k / M z P H v 5 m g l s Y a 8 l Y 1 k r e 6 m f x 1 7 X S 2 v 0 t i A P c a T w X P 4 9 z c P L 1 d K T M U K A 9 R F F n M x D H y / P u 5 1 1 o B l n B K A G e b s o M 6 T w J + y g m c R b s I N f u z p 4 M y B g r 9 T 5 i r Q j s B Y P 5 h p K 5 5 k T I M E T k I U c J v P 3 v y j D 7 7 / L Z E w W M + i G 2 q p Y p A D V X 4 q + h s W w X 1 d 9 b J x C 3 z 8 4 v 0 / P m L v K Y o g D b U m h + r 1 R s H y k G a J B m i 6 H / Q Q v o c / 8 n a I p l l 6 r D + W U J D 8 V u h 9 p o E 1 f v K m 7 P g q C M U s 6 W j 3 Q G s C o i w I o T 5 q J m J R i k U D K b n B o x G I t L B a x 7 R G 5 a F D N 4 f C C E K s M b D 1 G G Y / h m r 1 s O 7 d 7 s 7 I p 6 + l i o V O 4 g A X U x G A y 8 k o s 7 n 5 q D N M t o K 0 f n o a / L 4 o D 3 L v z M z Y Z D M + z o v C f + E Y D r x N R a A J Z w S Q X T K M S 6 f i l F H b f 5 B f s c V 9 y c 9 M h w E g J M B g o y p v B C Z / f H H t + j j T 2 6 l n Q Q Q G n g D N S B D z Z U H 8 7 4 w h R i G 2 O P 7 Q R h E l i M a w s + k 6 u Q y q f J m B B Z t J J h 1 t z 6 + K d E U C I n S w D g w V B R l I 0 2 S 7 C T H O c F Z o o 4 Z W s o w + f R x j 9 u 5 S 6 4 O I 1 l C Q y 1 s R K S Q Y C o g R u y k 4 f 6 k m + Z X Q j K e a W x 0 T A R E Q / X p K D K h j W O e 3 3 x f J l U B Y B q y C P m Z 1 I 0 0 y 2 0 o D O / Q 6 D I W m s s F + s V w P b S a n m + i 1 M 5 b Q I h h 0 j C Z l N l H p 7 8 i j 5 G E Q P q 8 P p Y k d 6 l L k 3 x g M K F M 9 D q k F I s p U 0 + 7 g N 1 k n U k 3 f i 7 c G 7 d R W / c A 3 f 7 0 t r R N M L Y J b m w 4 I W C O I S g W w y w K B Z y + L / D u k + 4 a m p y c o N 6 + n i y z s h j Q d 4 b F 5 7 A g 9 e p m m A X c O F E q l B J K m 3 B q B 3 m d N H l M + 5 p U J s e E G x o q j 2 z 9 3 M k S c 0 p g z I s Z X / a r Q X k n C Y H K G h r e b K G F 1 W 1 p S 3 3 z z X d 0 5 8 4 9 m c R l Y m K K h Y Z k 3 B P i 7 D 4 U Q q E I 3 0 e V a J 1 y g G E b m D H q z l j 5 Z c Z 0 y C G Q T o o w n J G 8 3 u p z a R P Q 0 F 6 1 N f 6 8 s v V z J 0 u Y f H F + O Z g V V J s w W A 6 l o z b T 0 D 1 J u P s G 8 y n Z 6 F P W V J h p C H M / I C w J I 2 0 P s h M 3 H / x N f b Q W 2 d + a S 5 g i o K p 6 f 9 q T a S G k 4 D + y 3 U U s v W U 5 g Q M k y w S U 4 0 n y H u A Q l v e B J Z w S 2 + E o 6 i m 8 W X m p m G v B Z c 8 0 t n U 7 4 i T A 7 u R n d 7 t Z c N S A O p h / E C g E 0 G J I B 2 L t 0 J b 6 E M C i 3 L N q A Z K y g U k / V Y G W A 2 g n F L l B H k P r y D D 3 N F k U m U C k z P H M M X 1 d X U N V l k w d V r K E h g J h 8 J L s D q z A H h P X 8 E m F 1 + u n u K 9 N 2 k t Y s w r z r 2 N Y O 6 a B R n 5 r e 0 u m N v 4 Q a A g 4 y R F e l L I o F z 3 1 X G 4 l O B w V G X Q y 9 k X r K J J I E q K o a 9 Q c E v p 6 8 z F 1 j d Z Y c G h Z A X w X e W j 2 M y d + L 0 I q 7 e n D g D k M e T 6 J c L F 2 j v l 7 Z W G z t v Y 2 m R M C c / J h G V P 0 / b R z f n l p R R w W G h A q d P i i 7 Q W y g Y D 7 q Z R a G / y 0 v J W g o X f l q y m 4 1 Z 2 m p V T 3 h r C J / 2 v y a A 1 k E C d N M L 1 V x E k n 0 z 6 + S 1 k x h 5 8 s 4 Z R A U i 9 R D a i D h 8 u J o Q r W q H R + d m A C z Y m 1 / G 5 g V D Y Y 0 o E o C r w z E A u a C 5 7 A g b P 9 Y i Z O T U 7 J 8 j P l A m 2 0 P / m k g y Y n J u S 7 C 6 1 Q W A j x A n M Q 7 g Z I g j I H M c z E U T K Q d Y z 3 d 7 W b j G N 6 x i O P x 5 V X p g 4 j W W Y q 5 t n 1 H Z k n f H D e r + b H 4 x e 2 5 6 y i x x h v V / I L M y q c r u 5 O m S 7 s + + / u 0 J 0 7 d 2 l o a E j N f h s I y K y w H Z 0 d M r l K O U A / E k g Z C Q V p d Y t J u R S S x d A Q b c 5 F s S c w z G N v Z A p 0 N 5 l A F J h z m W P m N h K O K x I h r 7 Z C L M 5 X V n p 3 y d N h J c v o g I W t i L y k G 5 0 x E R r E r a m 7 V F A q / e S A Z U v m 8 M s H V D h Y T e P z L z 6 l z z / / V D y C m F J a A + d X j X k o S g G E 9 / 9 9 9 1 Q W 7 o b Q / 5 f P e + n 1 0 C N K 7 c z Q J 5 1 B 1 l z q u m I o 5 R r + G W M L 0 h g J p p 2 Q Q x P J I I p o H 7 2 v r 8 k Q K T M n X 5 I 1 c / a a X o c J S 7 S h d M I L 1 r A 5 D n b w 3 F H D u e a Y h P 0 U A s w z n X I r G w S 6 4 n i p w + O H h q c o 7 O u S B d 7 Q c Y w 5 9 X 7 z y 8 / A L f r 2 2 + 9 l C R 1 t Y h Y C 7 g A x f 4 W h z q V J p L W M k M h E p n R e X 5 M 5 p 5 0 R a V I Z + 3 4 / A o W z Z e m w k q V a K R A M e V m c R y D o S c b 8 1 v u F 0 o B M c E 6 U g s Y a L 5 2 t y 1 5 s D o R s a W 1 h 7 f e J T B g z P P K W h u e L E Y Y o 4 E 5 Q z A h B y g Z I g Y 2 J O J o Q W Q T i J G Q x t s Y 5 y E S 2 x s J C D e o 4 G 5 t y r 1 a B m N p W S U u b Q e W 9 4 h f p 8 e 6 v g / G 4 A F N t I Z J 8 P 4 D j o r e 3 u + D w i l x g F c C G A o u p w X z E u s L d 3 R 3 0 6 v W o c X Q 3 s L p h a v E h x W O F f 1 O T x u z N S + e F N E a S Y y q v j i s y a W J J Y j k B s X x e d 1 5 Z O q x k K Q 2 1 y S Z / 5 k X z 3 T H M 5 s x J a k f x K y i 4 0 E A p w N z j G O m L O c W H B p 9 L A C v m 0 8 u n t d D W y l 2 T y g y s 7 l h d V U V t 3 f 1 S N r h e J y x A g C E n M A v P D J w j n 3 / 3 K v V 4 F i E I i C I k U Q T S K U 0 i 7 B v b D J n U M b U P M p n O J e J 0 9 p x a k d I q s F Q b K h R L i r c J h Q Y t f p I I l A / F D a z i w A B E k A R r 7 G K V Q 7 j R B 5 8 N y j T L o Z A K v E V 0 O 7 Y Y q o H l U v M B Z Y G F r 9 0 e L 7 1 6 9 p C + + / Y H W a E e 3 4 X p o T G 0 B P 1 j E m f I v 7 U b q o I U s i C B M J w 6 a 7 A 0 K P I 5 5 0 z X a G 2 k z 2 t S p R 0 S f E 1 7 R w v / x m 5 Z O q x k u / P q 3 f u U 2 4 F j o N 4 r U Q G I d t a r g + O l a 5 j z x x 1 Y T O I X f e 8 / J R Q G A c I M h C c Q w 9 e f D 7 2 Q v r 4 u J g I C W 8 N h D B 1 Z F n L A M W G e i R Y O D q y b t V 1 x i T y O G H 1 x o b p g R Y d x U H C z m y F E E H I Y Z A E Z e P / z 7 h B 9 O + a S f j N F F m X G Y Q u S q 3 n M 9 c r v a i v z m B s L B M R j Y U r y / m / / 4 t f G L 1 k D l j L 5 g O 0 Y O u q 8 o q l c e X r e T 5 L W O t + 8 / 9 m g l F C q B A 0 D g U b j H Z N m f v X L X 9 A f / f F / k r 6 r M L e z R k b G Z D o z k M 0 8 4 x G A o e 4 D A w N 0 v j V B T h f a K 4 X f / 8 J W t j i J l u G k N Y z a T 1 G V J 8 F 1 u S I R K k h t x m W I p 7 S S + Z j S V B n S Y d v W V l 5 U / M 8 B S z k l k G a 3 1 A o c K L g z D U q g T q L p h 6 H n j Y G S e k t 3 A W 0 b L K w G z Y I l a B B U 6 8 4 Z 9 g F y Q R N B S 1 2 6 e I E m J 6 Y p G o l l e c z w P f F Y X J Y p x Q K K 8 a 1 5 0 V i F U O M z W x I g h m H O I S / 7 i K R P 0 p V W N j l x P M 9 5 R Z 5 M k v M g E C d U D o p M r N V S C b p x 6 2 K W 7 F g h W U 5 D A S h I v E y / A x 6 j k 2 P i a a A / p 1 g f 1 F 7 A u 8 O U z h h C f / P m D V n T C U 6 F Q k A b a + D s G d Z c X 7 J Q s F Q w 8 B 1 w Y G w a A x z 9 P r d M 2 g I n R y E s b i t x U u 0 i a B 6 t g X i f t y D T J 5 1 K W 8 b j i k Q Z 0 m T y a m t o J E k 4 p r W W O s Y 7 M s r Y a u A 7 w g u 0 V l p h W x y 1 k c e J 9 w b B y h a u 4 6 6 x / H t M g L k X I L z Q N H h P O h U D z D y M v I U j A w 6 L W W 5 z Q b t h y A h W j Y f Z N z r 8 m n 5 1 0 U d r q 2 s F t R T C j x S B W O h F 6 4 B I 2 L L w U 4 J N 2 A g L n E E Y T S Z s j b w k 1 j z 6 X D p J e 4 o 1 F L 7 X a F v 1 9 y M 6 I l t u r J A s q a G 2 o y k x C f A y f U 5 4 g 3 a T 6 j g D q x q + D / D e 4 N 0 r F 4 i G w F T M A X 9 A N B v m l Y B z 6 P b t T y g S i Q j x m C K 7 2 l k A i m h m 3 c G / r b S S a B 2 D G G g z X W 8 P U 4 2 X y S D H U v T T u E v O i 9 Z h J u K 6 T N s p o 5 X S b S a d h 7 n H + b P n + 4 x f t h Y s E x y b m + K G 2 d f k Z 0 L h Z Q u p M j j O W q r a 1 B b Z D 3 L f 1 V 5 A B z C m L H v 2 b J B C S T + 9 W n D T d 2 9 9 t L S j 6 l u c b 2 l p E c 8 g 2 l 2 5 7 x 6 / 9 8 N b l 5 S X m U x I v + g N 0 d V T / D k 7 S K G I E 4 w m K R x T e U V A E I n P G w T U x z W B c v M I h n V Z Z J a j 3 G S Z 4 R u 5 a S E G l 2 q S W v x s c / P L P C k K C j F 8 e k 3 e / Q I C W S q n Y F q j j w r T l 0 E r d T R 5 q T o x T u 7 F b 8 k R W R G C Y B 4 L T L y J + S 0 w y a Y Z O P 9 8 z k m h K A J 6 + X f l t x U p 2 q p U X 5 N y J m T I I t o J 1 4 E o p u N a O 8 n x 9 G d 0 H k m Z e 1 e v n c 8 r M 1 Z I l m x D I S V S q h 0 l / R H G y 8 y t e Y + j l s L S L x A k O G b w / P s B C L C 1 u Z U 1 X 1 4 + j M + u 0 b 9 / + 1 i W / E Q b C o u p Y Y I W L O p 2 / f p V W U k R 9 w E T D 9 d g C j M d c J t g s 2 1 w 1 k m / H / H Q 3 I a 6 Z z O Z m F 7 U W x e V P E w 8 l T j P l a S + J v 0 Z I 6 / I p A l o E A j 7 Q i p F J p C t p R V r Z O 2 W G S s k 2 9 3 h C c v W / R 5 7 k u q d c X o y 4 6 V w 0 k N 2 h 1 O G y Q N 6 y H M u y Y 4 y I D y u r d f k i S 5 Q I O C X I S z Q H K g 4 1 G N m n l V H Y W P B A M T b 5 Q a I 7 u w E 6 e n T Z 7 J w N A i G q A k Q Q 6 8 W v 7 K 2 I d M 8 X 7 5 0 j h w 5 n 9 V 4 8 v g p n b + g Z l o y v + e F L Q c N z T G x + J g m B 8 6 b 8 1 5 H n G 5 w u 0 k R J U O Y h 5 N O 2 g p z P l c D M V l A H L W 6 u + 7 M N V Z 6 R 4 p G O B + l 8 + e 6 6 f K 1 c 8 a d W A + W J h R Q m 9 i g U C p A r 5 Z 8 i l B 2 h 5 A J 0 x V r D X W c S N U a i N D Z l o Q I e Z S 1 Q y i Y H W w K V z G e G 5 4 2 J E z K v 7 2 1 T b 4 K n x D L 7 X b R G p M F n b n V 1 Z W s U Z x 8 X U K 8 c 1 g I o L m l m c n l o J r a W u r t 6 d 5 F R D P Q h 4 V F q 3 G N f s f Q o I + m 1 Z r I W i P p f N q z x 3 m H L U 6 f d B m E M p w O I M + 3 Y 0 7 J p w w t p L S P S j X e C C 1 u Y g Y s T S r 0 g y E p M i E y 4 m / + 9 s / k P q w K 2 9 0 R a x P K R z G a W r T R R i S j o U A q J J Y s o / Y + P o Q C f t N f X r g R t B V q d D g P E F b U J M u G 2 o R 8 c C Q g O g L D 5 m e m Z / j 9 2 a m 5 u U X O F Q M m 2 M S C A d C Q A N 7 x 0 K y L F r Y V u R S Z t F Z S W 0 l i 2 i X I a U v Q x y B U m k x J e j z l o M 2 Q s W 8 Q C l v M y w g C S R 6 a y a y d J M x I E a q j v Z E + / + q W 3 I 9 V Y Y n V N 4 r 9 C 5 O b w j G j b 0 M a p U Z B c F I m k J 6 g 4 / j g 7 n h 5 U e Z Y J F o v F 1 p X X 0 u n T / f J C h o I J 0 L b B 3 O m 4 x 1 h f N P o y J g I 7 F 5 A 2 w m a T J E m J V o J o U U 6 u s H s k V N E U g n l g q 2 Y e y Y y Y X q D N J m M 8 t N J O S d M i e 9 P T E B J s f T + F 1 9 9 b J I M a / 4 r X k 1 Z B J 2 N q I V N Z M r a o k C P l 4 b a i d p p c r X w c I p C w L s o t v 4 t C H f t + l V 6 + P C R a K B C w P t E B 6 / u b 3 o 1 7 6 T V H Z s i k U E k I Z a Z S C a C N V f G W L Q y + z D r H k w o U 0 + R x n S O y z D j B U S Z Z m s q T a y e H q U p r Y 4 j Q a i U 2 0 3 2 l H q 5 k s y k 4 o J A w R 4 v H U U 0 s s w C W G Y 9 g b b S X i u 0 Y 9 W M a 9 e u 0 e t X w x J S l A v U T Z h I E 4 4 A D I c H u T r 0 U A t D O + U j k u Q 5 + Z w J 6 k t 7 9 x S Z d s J M 0 G j m O m g k 5 R o 3 l a U k l K 8 m E + / D 7 O N 8 i i v T z 7 6 8 a d y h t X E k C A W c 7 V S 9 8 O m X b + R V 4 a B g j 5 e W A r C k Z j n A O y l l H g m f z 0 v t H e 3 i C c w N I w J Z M F k L F t L W 5 l 4 8 o c 0 8 v H d F D K 2 t d J t J k + V y a 8 a z J 6 R g s + / J N M p O E U m V m 3 F O 7 x s J x + J C J h B L k Q k k O 3 8 h u + / L y r B c t H m h l H K 5 p a E r D V j j p Y u b l Q t B F R z 6 q f Y X n W 1 V T K w 5 S 1 p r C U K P Q F Z 4 B I t 5 7 c x A u y o Y 3 E l P j o k + K z g 1 M G E m Q o 5 A T H w v i O B 1 K k 0 i 2 k V I l E n p 4 9 j q i A e j X L B d 2 U l R D I G w c p y v B 5 l g v m M f b S w p O y Q u T 3 F M q K T z N v 6 9 G 7 c u 5 Z U J K y Z + + / z 3 i K T + v g C l j B e u C y G t r d K F e L x I 9 e M 7 z 5 5 B I p j P 4 e 2 b d 1 R T W y N R 5 q X B R p s b W 0 y e D q r w V 0 i b C f O m Y 8 Y j u N 9 F + D n h n T I b 0 v v y r m U f 7 9 9 4 9 8 Z 5 I R s n q e S k P J L 0 f N a R I R O O 6 b a w f J b z c h 0 n E E h X l p y H M w L p T / / 8 N 3 K v R y U d G Z M P Q A 3 g d X G t m T Y H U D D Y m g r J y G t z B Y n / G N 9 w 9 I A 7 3 2 t G V g i k P 6 A i H U r R U N B G L 5 6 / o L P n z o p p h 6 E d c K u j M x m / l 4 5 q M N L T a a c Q J V s z c T I d w z 4 i y h V B e J / T q 3 l 4 B d U x l E m 6 z I x j U g H y s b T F A V K B T N x 2 Q v s p U O G l u v r d c 1 R Y G U e K U M C Z v i q W M h S E I p U y A Y 3 C 0 a a E s R U i g V T G Z 4 8 q 9 q o P 8 O z F J l k x A 2 R a X 1 + n y 1 c u S a e v e k U g E G L 2 v D Q / t 8 B 5 g z C S U r S 8 z d d w H q R S x 5 S Z l 7 l G m X r h a J I 2 g i n a D C F Y 1 k l L / D l V H o a Z p 8 l k E A l b t O H S h J K k N B O + 7 y / + 6 k + N u z 4 6 s G y 0 e b H U 1 6 N M P 6 n J p G B A I K P A O K V r P h S 0 S O P R p t R 6 C A 9 e G B B Y D N g r B l y D y V j e j L 2 h 9 v Z 2 e S + K T C A K 8 v x 5 / h n 0 P e F a t H s G 2 V z 7 w w i i y E G E D H n 0 F k K f I R a O J 1 i b O S T p 8 8 o B k U s m L i P O p 8 v P 2 A q Z J B + j r 3 7 z K d k Q u m 2 U + V F J R 6 o N p Z O / w k 2 V f r b N U Q h p e x t b l c y k U o V o C I A I z t E j 1 + u l 4 p 4 7 P P P k 5 G S W x w 4 R E n A y I B 4 Q A o / 2 E c K S L l + 5 L O 9 A m X U Q c k W I a D R G G + s b Y v o 9 n H T Q N 2 M u W t h k I q a 1 k v E O e Z u r n c z f k z H x e F / K I R + Z d L m p 8 5 K Y S D r V 1 9 d Q d 0 8 H P 0 X + 8 r d y s u z w j b 3 S 6 d 4 a 3 q K A U A i o 5 V B w R u E Y h a g L z K y 9 t A B I j S y a y / o E Y z k t C h C k v / + 0 T L I C g E h j r I k w K B C R E X q 6 L w w W h N B L Z S P v Q Z E A + y 9 e v G D S L T K B i N Z 2 u O I R c n D i c 4 p A + v 2 p v C Y O N E 3 u u 9 V J v X v j n J E y Z E J S Z Z c m U w z z 2 q f o z 3 / 7 x 7 v K + 8 i k + 2 P T R 6 / K N o B a 9 t H g A h e C k 8 0 D B z m 4 H a H j / L C P B r r K 6 z n A V W C p T n x C b Q 1 I z r R v J f y 6 P 6 z u L w 9 g y q F i w L N g A O D U 5 D T 1 n + 0 n F 7 8 P r Z G 1 d s 5 N 6 L 9 b X 1 u T 4 e 4 7 w R 0 K x Z 2 0 b D 8 t 7 y 1 t D o J E y P P 7 V s d U H m T J n F P k 1 I S T c 0 I y t Z + p 5 A w y C a k M I n F C z F 4 y E a X / 9 t / / U j T p U Y X t / p u j S y g g F I r R 0 M t l R S C H K y t 4 N p d M s s 0 i l t 6 C X E p c z Q S z E r B c Z 3 + j M u k g 5 G Z M T k 5 R V V W l x N + h / w j R E I A m j c 6 j A p J j + I e t s Q + h R 3 Q E Y g L v T V U J y c x k y i a W s Q V h z M T i f J p Q o p n U N W n N B T K B P E I q 1 W Z C N E a a T P E o / e c / + x W 1 t W P i y q O L I + f l y 4 X P 5 6 K A z y 4 F p G u 7 b N M P W 1 W o s t U F n J O U 4 C h B 4 j / G t 1 s H k 2 s q F A l z b U D 4 1 b 2 q h E 5 d x P A h V A h m H Y 6 l h Z s T 3 N g Z M 4 8 T 7 2 M + v v Q + P z P 6 n i Y 3 K u T 7 0 8 4 G + Y z x P U Y + 3 U b S x 3 V e v 1 u 8 c x y T d 4 9 z K i / k k b L Q Z F L l h e E Z 2 F Z V B Y 4 8 m Q D W U D N H W k N p P H g 0 x c L A 2 s a u h n h g b m 9 l 9 i E p z Z T R V B h T Z W g o 8 S S h M Y k t 7 + O f 5 N X 3 Y h / n N S S X + f P z Q U i S o M D a j + T 3 e 6 U D t 7 I y Q C s r q 0 K w K 1 c u G 5 c x y Y z r z a T T C U M y p q a m h I C V r N V q q m v k O I a l h 2 K Z 6 4 Q 8 W j M Z m k h r I a W p 1 F b n F X F A I J V X H j 6 u x H g r b V w h k 5 G E T B i W A T J F y e t x 0 d / 9 w 1 / K / R 9 1 2 B 4 c E 0 I B 9 + 5 P U B I 9 A W l S 6 b a U J h V v h U R G 0 q S S b X a e / x i 8 y W w 1 i d R f h j o h 2 X z I O p P 9 o R L B R a P + p / M O e 5 K + 7 I 0 Q F v e G p o G Q Y 9 V 8 n N R k U E l 9 x n w M 0 y 3 D L E Q 0 x O z s H G u 0 O t F M P 7 x 1 q 3 i 9 9 L U G W T i f 1 X Y y E U k T T h E s m 0 z p B E I J i Z A 3 i G S 0 m z S Z n A 4 b / e 5 / / p W U z 3 H A s S I U l z / d e z D O h Q 7 C K C K J p p J 2 F W s m m 2 p T i b b S x A J h 9 F a S y k P w 9 T E B 8 i C D 3 j X l d S a 9 q 6 E P 6 D e 8 6 w I G n y t c A M Y Z u Q Z / 5 C 9 d P R W h u g o I t D q f I Y L s m f Y z x 7 E N h U P 0 Z u w t V V T 4 q K 3 t l L y T R 1 M Y k q 4 G a Q p p s B W y Z P Z 3 a a U 0 k c w E M v J C L L V V J r f e g l D K 7 E O b C X n M R v u 7 / / H X M u j x u M D 2 4 O 3 x I R S A h v e d u 2 / 5 y Z h E x p B 5 7 a h Q J A N h M u Z f f k 2 l E v / J 5 J k N s p G t w Q y c U z n J a 5 i O F g S L q 5 E z Y J B B Q + 2 q f b n W O A U B x 6 x I X / S G j d M Q f C R 9 n d 4 3 H T f t Q 9 g B O B e e T r t o M 2 w 6 b 5 B F X a e 2 s i 9 k M c 4 h b z q m y a S 0 l N 5 X Z p 5 E R 4 h W M h I I Z S S s S Q X N 5 H S V P + 7 L y m B C z R p F d X w Q C k W 5 T T X O T 6 e I p I i F B A I Z p D I R S m k r R Z S 0 h p I 8 q K G 2 s o 8 v R 1 6 O y U 5 6 K + C N c V U O M u c F L K i 5 U E c g / Z J h Q J i N b D q v z v M e d d X G q a c O 4 5 T 0 e Z 3 U e e S x k z m u E o i 0 s m 2 T q b / U e R D F v C 2 P T C q v N J I m l 7 S Z 0 N 8 k m g n k g m Y y z D z e 2 v n + f v u X f 0 o N j X W 4 + W M F 2 8 N j S C g g G o 3 T j / f G + A k V o Y R I Q i z D K Z E m U o Z Y i l B I 5 j x Y A p o Y e U A f R x Y s 0 U S R a 4 x s 5 m A J U E X A M m z A y I A T 6 b y R M 7 a Y 0 v g L b k v J F S L 8 c t L I m x M + o v N J G V 4 f j a t 9 n M Q W J J G 8 E E Z d J 9 c L Q Y x 9 O Z d L J k U g M 6 E 0 i Z Q T Q p N J a 6 c o v 3 O i v / n b 3 1 J l V a l R 8 U c L x 5 Z Q Q C y W o B 9 + H O G n B G F y z T + D W A a Z 4 O V L k 0 s T R r a m f Y b a 6 v O S k + N 8 Q G 1 M + b L B Q i w b / V f 9 N x 1 P H 6 D u 2 p j 0 T e G U O g 7 B 1 w m 7 O K o G B + 5 E i S Z W H L Q a 1 G 0 l X K B I o 7 S P / p w m E r a K O I p M u I 4 J Z B B K Y i S F S M X I h L w i k n K R R 8 n B b P p r J h N c 5 M c V t o f v j i + h N L 7 + 5 i U L A 4 s + k w q a S n n / M p o K p N m r T c V / V F 5 Y J H 8 V c X R e j s t / l T d t T J l 0 T r 1 0 0 6 t P Z 0 E D 2 e g / I u R G x j i s 2 l G 9 D T F q C m C U a 4 r J Y q e 5 D Z t M 8 6 W u 1 y R R C Z 8 x 7 6 f J k 9 5 y S h O I i W L a z x B L 9 W e p Y y A O t j D v O B 9 n Q s k x g 0 y G R w / 9 T w h + R W T 7 P / z T 3 8 h 7 P s 5 g Q s 0 Z p X V 8 w b J B 3 3 w z J L P R 2 t L t q o y m E n M w T S a Q C 9 c h b h h b n R T B 5 B i + V L b Y x 3 9 1 X A 4 b 5 7 I h F + m c Q B E j / S c L E G 4 j p / + b 8 v g j f 7 O 3 8 h m 1 l b y c y 9 n P S i C I s d X 7 2 A q Z F H k U c V R e a y O V h 0 Y y t j D r Q C C d B 4 E M U o F M K S Y V J s r 8 3 T / + 9 b E n E 3 A i C A V A W J 4 + f U t L y 9 t M n I z 5 l 9 Z U B q G y 2 l U g j S n x n 0 y e q a G 2 O K z 2 M 7 x J Z x h 8 n Z E r B h Z l I 8 e Q r H G E 7 z u 9 p 4 + b t y C B n F P b 9 D E j q e u Q N H E 4 g S Q 6 n 3 W c S Z E + n y G S E A u m X J p g i j w g U T r 6 R G s m 2 S r N h O t a W 5 v p v / 7 F n 5 w I M g G 2 R y e E U B q D g + 9 o d m 5 d k c b o A F Z a y y B U m k z Y B 2 m Q 1 0 Q y a S 1 8 m Z E X 0 q g D + J O V F 6 g D u 4 i V 9 e J Z k M 1 g s T Y u g L C r r f z V 1 0 H w k X Q e O X 1 M D p q I g g P p v O l 4 m l i a O M Z 5 M 5 F 0 H i S S h H 3 W V N B G a V J p I s H U U 2 0 m / H 5 H x y m J H D 8 5 I P r / y e 5 8 s 2 y 5 H 7 c A A A A A S U V O R K 5 C Y I I = < / I m a g e > < / T o u r > < / T o u r s > < / V i s u a l i z a t i o n > 
</file>

<file path=customXml/item3.xml><?xml version="1.0" encoding="utf-8"?>
<ct:contentTypeSchema xmlns:ct="http://schemas.microsoft.com/office/2006/metadata/contentType" xmlns:ma="http://schemas.microsoft.com/office/2006/metadata/properties/metaAttributes" ct:_="" ma:_="" ma:contentTypeName="Document" ma:contentTypeID="0x0101005A684669C4F10646965A639A06F3BA99" ma:contentTypeVersion="18" ma:contentTypeDescription="Een nieuw document maken." ma:contentTypeScope="" ma:versionID="794ec5a261c0430190fa120e8d2627b2">
  <xsd:schema xmlns:xsd="http://www.w3.org/2001/XMLSchema" xmlns:xs="http://www.w3.org/2001/XMLSchema" xmlns:p="http://schemas.microsoft.com/office/2006/metadata/properties" xmlns:ns2="c2ecf5db-7d4d-4dbe-bce7-39d49be64e81" xmlns:ns3="b6647730-621b-45fb-9aac-463b4d877dcd" targetNamespace="http://schemas.microsoft.com/office/2006/metadata/properties" ma:root="true" ma:fieldsID="d06bdda523cfe15de60291488c796d59" ns2:_="" ns3:_="">
    <xsd:import namespace="c2ecf5db-7d4d-4dbe-bce7-39d49be64e81"/>
    <xsd:import namespace="b6647730-621b-45fb-9aac-463b4d877d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cf5db-7d4d-4dbe-bce7-39d49be64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1dde8c01-f805-4697-8e18-a3d0ede4f3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647730-621b-45fb-9aac-463b4d877dc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05be2ee-fb15-4b1c-b803-75bb16bbbb9c}" ma:internalName="TaxCatchAll" ma:showField="CatchAllData" ma:web="b6647730-621b-45fb-9aac-463b4d877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2ecf5db-7d4d-4dbe-bce7-39d49be64e81">
      <Terms xmlns="http://schemas.microsoft.com/office/infopath/2007/PartnerControls"/>
    </lcf76f155ced4ddcb4097134ff3c332f>
    <TaxCatchAll xmlns="b6647730-621b-45fb-9aac-463b4d877dcd"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2147ED-56F0-4CFB-9425-4B165D9AD5B6}">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15BCC9EE-CA87-4129-8F30-FF7D6F19CD00}">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57867C9B-8BA7-4113-8AE0-AF5E5BB2C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ecf5db-7d4d-4dbe-bce7-39d49be64e81"/>
    <ds:schemaRef ds:uri="b6647730-621b-45fb-9aac-463b4d877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DDB937B-C96C-4588-93FE-01FACEDD7115}">
  <ds:schemaRefs>
    <ds:schemaRef ds:uri="http://schemas.microsoft.com/office/2006/metadata/properties"/>
    <ds:schemaRef ds:uri="http://schemas.microsoft.com/office/infopath/2007/PartnerControls"/>
    <ds:schemaRef ds:uri="c2ecf5db-7d4d-4dbe-bce7-39d49be64e81"/>
    <ds:schemaRef ds:uri="b6647730-621b-45fb-9aac-463b4d877dcd"/>
  </ds:schemaRefs>
</ds:datastoreItem>
</file>

<file path=customXml/itemProps5.xml><?xml version="1.0" encoding="utf-8"?>
<ds:datastoreItem xmlns:ds="http://schemas.openxmlformats.org/officeDocument/2006/customXml" ds:itemID="{72949195-AA8A-41AA-BBA9-06ACEC59BF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57</vt:i4>
      </vt:variant>
      <vt:variant>
        <vt:lpstr>Benoemde bereiken</vt:lpstr>
      </vt:variant>
      <vt:variant>
        <vt:i4>45</vt:i4>
      </vt:variant>
    </vt:vector>
  </HeadingPairs>
  <TitlesOfParts>
    <vt:vector size="102" baseType="lpstr">
      <vt:lpstr>info-1</vt:lpstr>
      <vt:lpstr>info-2</vt:lpstr>
      <vt:lpstr>info-3</vt:lpstr>
      <vt:lpstr>info-4</vt:lpstr>
      <vt:lpstr>info-5</vt:lpstr>
      <vt:lpstr>info-6</vt:lpstr>
      <vt:lpstr>info-7</vt:lpstr>
      <vt:lpstr>info-8</vt:lpstr>
      <vt:lpstr>info-9</vt:lpstr>
      <vt:lpstr>info-10</vt:lpstr>
      <vt:lpstr>info-11</vt:lpstr>
      <vt:lpstr>info-12</vt:lpstr>
      <vt:lpstr>info-13</vt:lpstr>
      <vt:lpstr>info-14</vt:lpstr>
      <vt:lpstr>info-15</vt:lpstr>
      <vt:lpstr>info-16</vt:lpstr>
      <vt:lpstr>NIVEAU WAARDE - vorig jaar</vt:lpstr>
      <vt:lpstr>NIVEAU WAARDE - 1e toetsperiode</vt:lpstr>
      <vt:lpstr>NIVEAU WAARDE - 2e toetsperiode</vt:lpstr>
      <vt:lpstr>Referentieniveau</vt:lpstr>
      <vt:lpstr>schoolweging</vt:lpstr>
      <vt:lpstr>OPP vorige jaar</vt:lpstr>
      <vt:lpstr>OPP 1e periode</vt:lpstr>
      <vt:lpstr>OPP 2e periode</vt:lpstr>
      <vt:lpstr>ONTW.PERSPECTIEF</vt:lpstr>
      <vt:lpstr>DL - DLE</vt:lpstr>
      <vt:lpstr>OPO</vt:lpstr>
      <vt:lpstr>LIJV</vt:lpstr>
      <vt:lpstr>TOETSAFSPRAKEN</vt:lpstr>
      <vt:lpstr>NOTITIES</vt:lpstr>
      <vt:lpstr>INTENSIEF - 1e periode</vt:lpstr>
      <vt:lpstr>INTENSIEF - 2e periode</vt:lpstr>
      <vt:lpstr>BASISAANPAK - 1e periode</vt:lpstr>
      <vt:lpstr>BASISAANPAK - 2e periode</vt:lpstr>
      <vt:lpstr>VERRIJKT - 1e periode</vt:lpstr>
      <vt:lpstr>VERRIJKT - 2e periode</vt:lpstr>
      <vt:lpstr>BEGINBLAD</vt:lpstr>
      <vt:lpstr>AANLEG</vt:lpstr>
      <vt:lpstr>GROEPSBESPREKING</vt:lpstr>
      <vt:lpstr>SOCIAAL EMOTIONEEL</vt:lpstr>
      <vt:lpstr>VERWIJZING - VO</vt:lpstr>
      <vt:lpstr>2.2</vt:lpstr>
      <vt:lpstr>3.0</vt:lpstr>
      <vt:lpstr>TECHNISCH LEZEN - 1e periode</vt:lpstr>
      <vt:lpstr>TECHNISCH LEZEN - 2e periode</vt:lpstr>
      <vt:lpstr>BEGRIJPEND LEZEN - 1e periode</vt:lpstr>
      <vt:lpstr>BEGRIJPEND LEZEN - 2e periode</vt:lpstr>
      <vt:lpstr>SPELLEN - 1e periode</vt:lpstr>
      <vt:lpstr>SPELLEN - 2e periode</vt:lpstr>
      <vt:lpstr>REKENEN - 1e periode</vt:lpstr>
      <vt:lpstr>REKENEN - 2e periode</vt:lpstr>
      <vt:lpstr>HOOFDREKENEN - 1e periode</vt:lpstr>
      <vt:lpstr>HOOFDREKENEN - 2e periode</vt:lpstr>
      <vt:lpstr>DIVERSITEIT</vt:lpstr>
      <vt:lpstr>SIGNALERING HB</vt:lpstr>
      <vt:lpstr>LEERLING PROFIEL HB</vt:lpstr>
      <vt:lpstr>OUDERBRIEF</vt:lpstr>
      <vt:lpstr>'2.2'!Afdrukbereik</vt:lpstr>
      <vt:lpstr>'3.0'!Afdrukbereik</vt:lpstr>
      <vt:lpstr>AANLEG!Afdrukbereik</vt:lpstr>
      <vt:lpstr>'BASISAANPAK - 1e periode'!Afdrukbereik</vt:lpstr>
      <vt:lpstr>'BASISAANPAK - 2e periode'!Afdrukbereik</vt:lpstr>
      <vt:lpstr>BEGINBLAD!Afdrukbereik</vt:lpstr>
      <vt:lpstr>'BEGRIJPEND LEZEN - 1e periode'!Afdrukbereik</vt:lpstr>
      <vt:lpstr>'BEGRIJPEND LEZEN - 2e periode'!Afdrukbereik</vt:lpstr>
      <vt:lpstr>DIVERSITEIT!Afdrukbereik</vt:lpstr>
      <vt:lpstr>'DL - DLE'!Afdrukbereik</vt:lpstr>
      <vt:lpstr>'HOOFDREKENEN - 1e periode'!Afdrukbereik</vt:lpstr>
      <vt:lpstr>'HOOFDREKENEN - 2e periode'!Afdrukbereik</vt:lpstr>
      <vt:lpstr>'info-16'!Afdrukbereik</vt:lpstr>
      <vt:lpstr>'info-4'!Afdrukbereik</vt:lpstr>
      <vt:lpstr>'info-5'!Afdrukbereik</vt:lpstr>
      <vt:lpstr>'INTENSIEF - 1e periode'!Afdrukbereik</vt:lpstr>
      <vt:lpstr>'INTENSIEF - 2e periode'!Afdrukbereik</vt:lpstr>
      <vt:lpstr>'LEERLING PROFIEL HB'!Afdrukbereik</vt:lpstr>
      <vt:lpstr>LIJV!Afdrukbereik</vt:lpstr>
      <vt:lpstr>'NIVEAU WAARDE - 1e toetsperiode'!Afdrukbereik</vt:lpstr>
      <vt:lpstr>'NIVEAU WAARDE - 2e toetsperiode'!Afdrukbereik</vt:lpstr>
      <vt:lpstr>'NIVEAU WAARDE - vorig jaar'!Afdrukbereik</vt:lpstr>
      <vt:lpstr>NOTITIES!Afdrukbereik</vt:lpstr>
      <vt:lpstr>ONTW.PERSPECTIEF!Afdrukbereik</vt:lpstr>
      <vt:lpstr>OPO!Afdrukbereik</vt:lpstr>
      <vt:lpstr>'OPP 1e periode'!Afdrukbereik</vt:lpstr>
      <vt:lpstr>'OPP 2e periode'!Afdrukbereik</vt:lpstr>
      <vt:lpstr>'OPP vorige jaar'!Afdrukbereik</vt:lpstr>
      <vt:lpstr>OUDERBRIEF!Afdrukbereik</vt:lpstr>
      <vt:lpstr>Referentieniveau!Afdrukbereik</vt:lpstr>
      <vt:lpstr>'REKENEN - 1e periode'!Afdrukbereik</vt:lpstr>
      <vt:lpstr>'REKENEN - 2e periode'!Afdrukbereik</vt:lpstr>
      <vt:lpstr>'SIGNALERING HB'!Afdrukbereik</vt:lpstr>
      <vt:lpstr>'SOCIAAL EMOTIONEEL'!Afdrukbereik</vt:lpstr>
      <vt:lpstr>'SPELLEN - 1e periode'!Afdrukbereik</vt:lpstr>
      <vt:lpstr>'SPELLEN - 2e periode'!Afdrukbereik</vt:lpstr>
      <vt:lpstr>'TECHNISCH LEZEN - 1e periode'!Afdrukbereik</vt:lpstr>
      <vt:lpstr>'TECHNISCH LEZEN - 2e periode'!Afdrukbereik</vt:lpstr>
      <vt:lpstr>TOETSAFSPRAKEN!Afdrukbereik</vt:lpstr>
      <vt:lpstr>'VERRIJKT - 1e periode'!Afdrukbereik</vt:lpstr>
      <vt:lpstr>'VERRIJKT - 2e periode'!Afdrukbereik</vt:lpstr>
      <vt:lpstr>'VERWIJZING - VO'!Afdrukbereik</vt:lpstr>
      <vt:lpstr>OUDERBRIEF!Dropdown2</vt:lpstr>
      <vt:lpstr>OUDERBRIEF!Text1</vt:lpstr>
      <vt:lpstr>OUDERBRIEF!Text2</vt:lpstr>
    </vt:vector>
  </TitlesOfParts>
  <Manager/>
  <Company>Thuis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School</dc:creator>
  <cp:keywords/>
  <dc:description/>
  <cp:lastModifiedBy>Directie PCB De Triangel | Harrie Meinen</cp:lastModifiedBy>
  <cp:revision/>
  <cp:lastPrinted>2025-03-14T11:38:01Z</cp:lastPrinted>
  <dcterms:created xsi:type="dcterms:W3CDTF">2009-03-13T17:46:41Z</dcterms:created>
  <dcterms:modified xsi:type="dcterms:W3CDTF">2025-04-11T06:33:17Z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0x0101005A684669C4F10646965A639A06F3BA99</vt:lpwstr>
  </property>
  <property fmtid="{D5CDD505-2E9C-101B-9397-08002B2CF9AE}" pid="3" name="MediaServiceImageTags">
    <vt:lpwstr/>
  </property>
</Properties>
</file>